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7003d10a3e16e67/Skrivebord/Larvik Atletklubb/2026/"/>
    </mc:Choice>
  </mc:AlternateContent>
  <xr:revisionPtr revIDLastSave="1077" documentId="8_{F2926125-7BCA-41D7-BC2F-B845232CFF7B}" xr6:coauthVersionLast="47" xr6:coauthVersionMax="47" xr10:uidLastSave="{B01C58DE-E281-4A0D-9A6B-ED7A7A8492B3}"/>
  <bookViews>
    <workbookView xWindow="0" yWindow="840" windowWidth="23040" windowHeight="10908" tabRatio="178" firstSheet="2" activeTab="2" xr2:uid="{00000000-000D-0000-FFFF-FFFF00000000}"/>
  </bookViews>
  <sheets>
    <sheet name="Pulje 1" sheetId="34" r:id="rId1"/>
    <sheet name="Pulje 2 " sheetId="52" r:id="rId2"/>
    <sheet name="Pulje 3" sheetId="51" r:id="rId3"/>
    <sheet name="Meltzer-Faber" sheetId="23" state="hidden" r:id="rId4"/>
    <sheet name="Module1" sheetId="2" state="veryHidden" r:id="rId5"/>
  </sheets>
  <definedNames>
    <definedName name="_xlnm.Print_Area" localSheetId="0">'Pulje 1'!$B$1:$AB$46</definedName>
    <definedName name="_xlnm.Print_Area" localSheetId="1">'Pulje 2 '!$B$1:$AB$46</definedName>
    <definedName name="_xlnm.Print_Area" localSheetId="2">'Pulje 3'!$B$1:$AB$46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51" l="1"/>
  <c r="Q15" i="51"/>
  <c r="AF33" i="52"/>
  <c r="AE33" i="52"/>
  <c r="X32" i="52"/>
  <c r="W32" i="52"/>
  <c r="V32" i="52"/>
  <c r="Y32" i="52" s="1"/>
  <c r="AJ31" i="52"/>
  <c r="AI31" i="52"/>
  <c r="AD31" i="52"/>
  <c r="AC31" i="52"/>
  <c r="AE31" i="52" s="1"/>
  <c r="AF31" i="52" s="1"/>
  <c r="R31" i="52"/>
  <c r="Q31" i="52"/>
  <c r="S31" i="52" s="1"/>
  <c r="T31" i="52" s="1"/>
  <c r="S32" i="52" s="1"/>
  <c r="X30" i="52"/>
  <c r="W30" i="52"/>
  <c r="V30" i="52"/>
  <c r="Y30" i="52" s="1"/>
  <c r="AJ29" i="52"/>
  <c r="AI29" i="52"/>
  <c r="AD29" i="52"/>
  <c r="AC29" i="52"/>
  <c r="AE29" i="52" s="1"/>
  <c r="AF29" i="52" s="1"/>
  <c r="U29" i="52" s="1"/>
  <c r="S29" i="52"/>
  <c r="T29" i="52" s="1"/>
  <c r="S30" i="52" s="1"/>
  <c r="R29" i="52"/>
  <c r="Q29" i="52"/>
  <c r="X28" i="52"/>
  <c r="W28" i="52"/>
  <c r="V28" i="52"/>
  <c r="Y28" i="52" s="1"/>
  <c r="AJ27" i="52"/>
  <c r="AD27" i="52"/>
  <c r="AI27" i="52" s="1"/>
  <c r="AC27" i="52"/>
  <c r="AE27" i="52" s="1"/>
  <c r="R27" i="52"/>
  <c r="Q27" i="52"/>
  <c r="S27" i="52" s="1"/>
  <c r="T27" i="52" s="1"/>
  <c r="S28" i="52" s="1"/>
  <c r="X26" i="52"/>
  <c r="W26" i="52"/>
  <c r="V26" i="52"/>
  <c r="AJ25" i="52"/>
  <c r="AD25" i="52"/>
  <c r="AC25" i="52"/>
  <c r="AE25" i="52" s="1"/>
  <c r="AF25" i="52" s="1"/>
  <c r="R25" i="52"/>
  <c r="Q25" i="52"/>
  <c r="X24" i="52"/>
  <c r="W24" i="52"/>
  <c r="V24" i="52"/>
  <c r="AJ23" i="52"/>
  <c r="AD23" i="52"/>
  <c r="AC23" i="52"/>
  <c r="AE23" i="52" s="1"/>
  <c r="R23" i="52"/>
  <c r="Q23" i="52"/>
  <c r="X22" i="52"/>
  <c r="W22" i="52"/>
  <c r="V22" i="52"/>
  <c r="AJ21" i="52"/>
  <c r="AD21" i="52"/>
  <c r="AC21" i="52"/>
  <c r="AE21" i="52" s="1"/>
  <c r="R21" i="52"/>
  <c r="Q21" i="52"/>
  <c r="X20" i="52"/>
  <c r="W20" i="52"/>
  <c r="V20" i="52"/>
  <c r="AJ19" i="52"/>
  <c r="AD19" i="52"/>
  <c r="AC19" i="52"/>
  <c r="AE19" i="52" s="1"/>
  <c r="R19" i="52"/>
  <c r="Q19" i="52"/>
  <c r="X18" i="52"/>
  <c r="W18" i="52"/>
  <c r="V18" i="52"/>
  <c r="AJ17" i="52"/>
  <c r="AD17" i="52"/>
  <c r="AC17" i="52"/>
  <c r="AE17" i="52" s="1"/>
  <c r="R17" i="52"/>
  <c r="Q17" i="52"/>
  <c r="X16" i="52"/>
  <c r="W16" i="52"/>
  <c r="Y16" i="52" s="1"/>
  <c r="V16" i="52"/>
  <c r="AJ15" i="52"/>
  <c r="AD15" i="52"/>
  <c r="AC15" i="52"/>
  <c r="AE15" i="52" s="1"/>
  <c r="AF15" i="52" s="1"/>
  <c r="R15" i="52"/>
  <c r="Q15" i="52"/>
  <c r="X14" i="52"/>
  <c r="W14" i="52"/>
  <c r="V14" i="52"/>
  <c r="AJ13" i="52"/>
  <c r="AD13" i="52"/>
  <c r="AC13" i="52"/>
  <c r="AE13" i="52" s="1"/>
  <c r="R13" i="52"/>
  <c r="Q13" i="52"/>
  <c r="X12" i="52"/>
  <c r="W12" i="52"/>
  <c r="Y12" i="52" s="1"/>
  <c r="V12" i="52"/>
  <c r="AJ11" i="52"/>
  <c r="AD11" i="52"/>
  <c r="AC11" i="52"/>
  <c r="AE11" i="52" s="1"/>
  <c r="R11" i="52"/>
  <c r="Q11" i="52"/>
  <c r="S11" i="52" s="1"/>
  <c r="T11" i="52" s="1"/>
  <c r="S12" i="52" s="1"/>
  <c r="X10" i="52"/>
  <c r="W10" i="52"/>
  <c r="V10" i="52"/>
  <c r="AJ9" i="52"/>
  <c r="AD9" i="52"/>
  <c r="AC9" i="52"/>
  <c r="AE9" i="52" s="1"/>
  <c r="R9" i="52"/>
  <c r="Q9" i="52"/>
  <c r="S9" i="52" s="1"/>
  <c r="T9" i="52" s="1"/>
  <c r="S10" i="52" s="1"/>
  <c r="AF33" i="51"/>
  <c r="AE33" i="51"/>
  <c r="X32" i="51"/>
  <c r="W32" i="51"/>
  <c r="V32" i="51"/>
  <c r="AJ31" i="51"/>
  <c r="AD31" i="51"/>
  <c r="AC31" i="51"/>
  <c r="AE31" i="51" s="1"/>
  <c r="AF31" i="51" s="1"/>
  <c r="AH31" i="51" s="1"/>
  <c r="R31" i="51"/>
  <c r="Q31" i="51"/>
  <c r="X30" i="51"/>
  <c r="W30" i="51"/>
  <c r="V30" i="51"/>
  <c r="AJ29" i="51"/>
  <c r="AD29" i="51"/>
  <c r="AC29" i="51"/>
  <c r="AE29" i="51" s="1"/>
  <c r="AF29" i="51" s="1"/>
  <c r="AH29" i="51" s="1"/>
  <c r="R29" i="51"/>
  <c r="Q29" i="51"/>
  <c r="X28" i="51"/>
  <c r="W28" i="51"/>
  <c r="V28" i="51"/>
  <c r="Y28" i="51" s="1"/>
  <c r="AJ27" i="51"/>
  <c r="AD27" i="51"/>
  <c r="AC27" i="51"/>
  <c r="AE27" i="51" s="1"/>
  <c r="R27" i="51"/>
  <c r="Q27" i="51"/>
  <c r="X26" i="51"/>
  <c r="W26" i="51"/>
  <c r="V26" i="51"/>
  <c r="AJ25" i="51"/>
  <c r="AD25" i="51"/>
  <c r="AC25" i="51"/>
  <c r="AE25" i="51" s="1"/>
  <c r="R25" i="51"/>
  <c r="Q25" i="51"/>
  <c r="X24" i="51"/>
  <c r="W24" i="51"/>
  <c r="V24" i="51"/>
  <c r="AJ23" i="51"/>
  <c r="AD23" i="51"/>
  <c r="AC23" i="51"/>
  <c r="AE23" i="51" s="1"/>
  <c r="AF23" i="51" s="1"/>
  <c r="R23" i="51"/>
  <c r="Q23" i="51"/>
  <c r="X22" i="51"/>
  <c r="W22" i="51"/>
  <c r="V22" i="51"/>
  <c r="AJ21" i="51"/>
  <c r="AD21" i="51"/>
  <c r="AC21" i="51"/>
  <c r="AE21" i="51" s="1"/>
  <c r="AF21" i="51" s="1"/>
  <c r="R21" i="51"/>
  <c r="Q21" i="51"/>
  <c r="X20" i="51"/>
  <c r="W20" i="51"/>
  <c r="V20" i="51"/>
  <c r="AJ19" i="51"/>
  <c r="AD19" i="51"/>
  <c r="AC19" i="51"/>
  <c r="AE19" i="51" s="1"/>
  <c r="R19" i="51"/>
  <c r="Q19" i="51"/>
  <c r="X18" i="51"/>
  <c r="W18" i="51"/>
  <c r="V18" i="51"/>
  <c r="AJ17" i="51"/>
  <c r="AD17" i="51"/>
  <c r="AC17" i="51"/>
  <c r="AE17" i="51" s="1"/>
  <c r="R17" i="51"/>
  <c r="X16" i="51"/>
  <c r="V16" i="51"/>
  <c r="AJ15" i="51"/>
  <c r="W16" i="51" s="1"/>
  <c r="AD15" i="51"/>
  <c r="AC15" i="51"/>
  <c r="AE15" i="51" s="1"/>
  <c r="AF15" i="51" s="1"/>
  <c r="R15" i="51"/>
  <c r="X14" i="51"/>
  <c r="W14" i="51"/>
  <c r="V14" i="51"/>
  <c r="AJ13" i="51"/>
  <c r="AD13" i="51"/>
  <c r="AC13" i="51"/>
  <c r="AE13" i="51" s="1"/>
  <c r="AF13" i="51" s="1"/>
  <c r="R13" i="51"/>
  <c r="Q13" i="51"/>
  <c r="S13" i="51" s="1"/>
  <c r="T13" i="51" s="1"/>
  <c r="S14" i="51" s="1"/>
  <c r="X12" i="51"/>
  <c r="W12" i="51"/>
  <c r="V12" i="51"/>
  <c r="Y12" i="51" s="1"/>
  <c r="AJ11" i="51"/>
  <c r="AD11" i="51"/>
  <c r="AC11" i="51"/>
  <c r="AE11" i="51" s="1"/>
  <c r="R11" i="51"/>
  <c r="Q11" i="51"/>
  <c r="X10" i="51"/>
  <c r="V10" i="51"/>
  <c r="AJ9" i="51"/>
  <c r="W10" i="51" s="1"/>
  <c r="AD9" i="51"/>
  <c r="AC9" i="51"/>
  <c r="AE9" i="51" s="1"/>
  <c r="R9" i="51"/>
  <c r="Q9" i="51"/>
  <c r="Y32" i="51" l="1"/>
  <c r="Y20" i="51"/>
  <c r="Y16" i="51"/>
  <c r="Y24" i="52"/>
  <c r="Y10" i="52"/>
  <c r="S19" i="51"/>
  <c r="T19" i="51" s="1"/>
  <c r="S20" i="51" s="1"/>
  <c r="Z20" i="51" s="1"/>
  <c r="S17" i="51"/>
  <c r="T17" i="51" s="1"/>
  <c r="S18" i="51" s="1"/>
  <c r="Z18" i="51" s="1"/>
  <c r="S25" i="51"/>
  <c r="T25" i="51" s="1"/>
  <c r="S26" i="51" s="1"/>
  <c r="S27" i="51"/>
  <c r="T27" i="51" s="1"/>
  <c r="S28" i="51" s="1"/>
  <c r="S15" i="51"/>
  <c r="T15" i="51" s="1"/>
  <c r="S16" i="51" s="1"/>
  <c r="Z16" i="51" s="1"/>
  <c r="S31" i="51"/>
  <c r="T31" i="51" s="1"/>
  <c r="S32" i="51" s="1"/>
  <c r="S11" i="51"/>
  <c r="T11" i="51" s="1"/>
  <c r="S12" i="51" s="1"/>
  <c r="Z12" i="51" s="1"/>
  <c r="S29" i="51"/>
  <c r="T29" i="51" s="1"/>
  <c r="S30" i="51" s="1"/>
  <c r="S13" i="52"/>
  <c r="T13" i="52" s="1"/>
  <c r="S14" i="52" s="1"/>
  <c r="Z14" i="52" s="1"/>
  <c r="S25" i="52"/>
  <c r="T25" i="52" s="1"/>
  <c r="S26" i="52" s="1"/>
  <c r="Z26" i="52" s="1"/>
  <c r="S23" i="52"/>
  <c r="T23" i="52" s="1"/>
  <c r="S24" i="52" s="1"/>
  <c r="S21" i="52"/>
  <c r="T21" i="52" s="1"/>
  <c r="S22" i="52" s="1"/>
  <c r="Z22" i="52" s="1"/>
  <c r="S17" i="52"/>
  <c r="T17" i="52" s="1"/>
  <c r="S18" i="52" s="1"/>
  <c r="Z18" i="52" s="1"/>
  <c r="S19" i="52"/>
  <c r="T19" i="52" s="1"/>
  <c r="S20" i="52" s="1"/>
  <c r="Z20" i="52" s="1"/>
  <c r="S15" i="52"/>
  <c r="T15" i="52" s="1"/>
  <c r="S16" i="52" s="1"/>
  <c r="Z16" i="52" s="1"/>
  <c r="Y20" i="52"/>
  <c r="Y18" i="52"/>
  <c r="Y14" i="52"/>
  <c r="U31" i="52"/>
  <c r="AG31" i="52"/>
  <c r="Z32" i="52"/>
  <c r="Z30" i="52"/>
  <c r="Y24" i="51"/>
  <c r="S23" i="51"/>
  <c r="T23" i="51" s="1"/>
  <c r="S24" i="51" s="1"/>
  <c r="S21" i="51"/>
  <c r="T21" i="51" s="1"/>
  <c r="S22" i="51" s="1"/>
  <c r="S9" i="51"/>
  <c r="T9" i="51" s="1"/>
  <c r="S10" i="51" s="1"/>
  <c r="Z10" i="51" s="1"/>
  <c r="Y22" i="52"/>
  <c r="Y26" i="52"/>
  <c r="AG29" i="51"/>
  <c r="AI29" i="51" s="1"/>
  <c r="AG31" i="51"/>
  <c r="AI31" i="51" s="1"/>
  <c r="AF13" i="52"/>
  <c r="AF17" i="52"/>
  <c r="Z12" i="52"/>
  <c r="AF11" i="52"/>
  <c r="AF19" i="52"/>
  <c r="AG25" i="52"/>
  <c r="AH25" i="52"/>
  <c r="AI25" i="52" s="1"/>
  <c r="AF27" i="52"/>
  <c r="Z28" i="52"/>
  <c r="Z10" i="52"/>
  <c r="AF9" i="52"/>
  <c r="AH15" i="52"/>
  <c r="AI15" i="52" s="1"/>
  <c r="AG15" i="52"/>
  <c r="U15" i="52"/>
  <c r="AF23" i="52"/>
  <c r="AG29" i="52"/>
  <c r="AH29" i="52"/>
  <c r="AH31" i="52"/>
  <c r="AF21" i="52"/>
  <c r="AG21" i="51"/>
  <c r="AI21" i="51" s="1"/>
  <c r="AH21" i="51"/>
  <c r="AG13" i="51"/>
  <c r="AI13" i="51" s="1"/>
  <c r="AH13" i="51"/>
  <c r="U13" i="51"/>
  <c r="Z14" i="51"/>
  <c r="Y10" i="51"/>
  <c r="Y18" i="51"/>
  <c r="Y26" i="51"/>
  <c r="Y14" i="51"/>
  <c r="Y22" i="51"/>
  <c r="Y30" i="51"/>
  <c r="U15" i="51"/>
  <c r="AH15" i="51"/>
  <c r="AG15" i="51"/>
  <c r="AI15" i="51" s="1"/>
  <c r="AF17" i="51"/>
  <c r="AH23" i="51"/>
  <c r="AG23" i="51"/>
  <c r="AI23" i="51" s="1"/>
  <c r="AF25" i="51"/>
  <c r="AF11" i="51"/>
  <c r="AF19" i="51"/>
  <c r="AF27" i="51"/>
  <c r="AF9" i="51"/>
  <c r="U9" i="51" s="1"/>
  <c r="U29" i="51" l="1"/>
  <c r="U25" i="52"/>
  <c r="U21" i="51"/>
  <c r="U23" i="51"/>
  <c r="U31" i="51"/>
  <c r="Z32" i="51"/>
  <c r="Z24" i="51"/>
  <c r="Z30" i="51"/>
  <c r="Z22" i="51"/>
  <c r="AH25" i="51"/>
  <c r="AG25" i="51"/>
  <c r="AI25" i="51" s="1"/>
  <c r="Z26" i="51" s="1"/>
  <c r="AH27" i="51"/>
  <c r="AG27" i="51"/>
  <c r="AI27" i="51" s="1"/>
  <c r="Z28" i="51" s="1"/>
  <c r="AG9" i="52"/>
  <c r="AH9" i="52"/>
  <c r="AI9" i="52" s="1"/>
  <c r="U9" i="52"/>
  <c r="U19" i="52"/>
  <c r="AG19" i="52"/>
  <c r="AH19" i="52"/>
  <c r="AI19" i="52" s="1"/>
  <c r="AH21" i="52"/>
  <c r="AI21" i="52" s="1"/>
  <c r="AG21" i="52"/>
  <c r="U21" i="52"/>
  <c r="AG17" i="52"/>
  <c r="U17" i="52"/>
  <c r="AH17" i="52"/>
  <c r="AI17" i="52" s="1"/>
  <c r="AH13" i="52"/>
  <c r="AI13" i="52" s="1"/>
  <c r="AG13" i="52"/>
  <c r="U13" i="52"/>
  <c r="AH27" i="52"/>
  <c r="AG27" i="52"/>
  <c r="U27" i="52"/>
  <c r="AG11" i="52"/>
  <c r="AH11" i="52"/>
  <c r="AI11" i="52" s="1"/>
  <c r="U11" i="52"/>
  <c r="AH23" i="52"/>
  <c r="AI23" i="52" s="1"/>
  <c r="Z24" i="52" s="1"/>
  <c r="AG23" i="52"/>
  <c r="AG9" i="51"/>
  <c r="AI9" i="51" s="1"/>
  <c r="AH9" i="51"/>
  <c r="AG17" i="51"/>
  <c r="AI17" i="51" s="1"/>
  <c r="U17" i="51"/>
  <c r="AH17" i="51"/>
  <c r="AH19" i="51"/>
  <c r="AG19" i="51"/>
  <c r="AI19" i="51" s="1"/>
  <c r="U19" i="51"/>
  <c r="AH11" i="51"/>
  <c r="U11" i="51"/>
  <c r="AG11" i="51"/>
  <c r="AI11" i="51" s="1"/>
  <c r="U23" i="52" l="1"/>
  <c r="U27" i="51"/>
  <c r="U25" i="51"/>
  <c r="AJ31" i="34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W16" i="34" s="1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X10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H9" i="34" l="1"/>
  <c r="AI9" i="34" s="1"/>
  <c r="AG9" i="34"/>
  <c r="Y32" i="34"/>
  <c r="Y30" i="34"/>
  <c r="AF31" i="34"/>
  <c r="AF27" i="34"/>
  <c r="AF29" i="34"/>
  <c r="AF17" i="34"/>
  <c r="AG17" i="34" s="1"/>
  <c r="AF25" i="34"/>
  <c r="AF21" i="34"/>
  <c r="AH21" i="34" s="1"/>
  <c r="AF11" i="34"/>
  <c r="AG11" i="34" s="1"/>
  <c r="AF23" i="34"/>
  <c r="AH23" i="34" s="1"/>
  <c r="AI23" i="34" s="1"/>
  <c r="AF19" i="34"/>
  <c r="AH19" i="34" s="1"/>
  <c r="AF15" i="34"/>
  <c r="AG15" i="34" s="1"/>
  <c r="AF13" i="34"/>
  <c r="AH13" i="34" s="1"/>
  <c r="Y26" i="34"/>
  <c r="Y22" i="34"/>
  <c r="Y28" i="34"/>
  <c r="Y12" i="34"/>
  <c r="Y14" i="34"/>
  <c r="Y18" i="34"/>
  <c r="AH25" i="34" l="1"/>
  <c r="AG25" i="34"/>
  <c r="AH29" i="34"/>
  <c r="AG29" i="34"/>
  <c r="AG27" i="34"/>
  <c r="AH27" i="34"/>
  <c r="AI31" i="34"/>
  <c r="AG31" i="34"/>
  <c r="AH31" i="34"/>
  <c r="AG21" i="34"/>
  <c r="AI21" i="34" s="1"/>
  <c r="AH17" i="34"/>
  <c r="AI17" i="34" s="1"/>
  <c r="AH15" i="34"/>
  <c r="AI15" i="34" s="1"/>
  <c r="AG23" i="34"/>
  <c r="AI25" i="34"/>
  <c r="AG19" i="34"/>
  <c r="AI19" i="34" s="1"/>
  <c r="AG13" i="34"/>
  <c r="AI13" i="34" s="1"/>
  <c r="AI27" i="34"/>
  <c r="AH11" i="34"/>
  <c r="AI11" i="34" s="1"/>
  <c r="AI29" i="34"/>
  <c r="U27" i="34"/>
  <c r="U17" i="34"/>
  <c r="U11" i="34"/>
  <c r="R31" i="34" l="1"/>
  <c r="Q31" i="34"/>
  <c r="R29" i="34"/>
  <c r="Q29" i="34"/>
  <c r="R27" i="34"/>
  <c r="Q27" i="34"/>
  <c r="R25" i="34"/>
  <c r="Q25" i="34"/>
  <c r="S27" i="34" l="1"/>
  <c r="T27" i="34" s="1"/>
  <c r="S28" i="34" s="1"/>
  <c r="Z28" i="34" s="1"/>
  <c r="S31" i="34"/>
  <c r="T31" i="34" s="1"/>
  <c r="U31" i="34" s="1"/>
  <c r="S29" i="34"/>
  <c r="T29" i="34" s="1"/>
  <c r="S25" i="34"/>
  <c r="T25" i="34" s="1"/>
  <c r="S32" i="34" l="1"/>
  <c r="Z32" i="34" s="1"/>
  <c r="S30" i="34"/>
  <c r="Z30" i="34" s="1"/>
  <c r="U29" i="34"/>
  <c r="S26" i="34"/>
  <c r="Z26" i="34" s="1"/>
  <c r="U25" i="34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2" i="34" s="1"/>
  <c r="S15" i="34"/>
  <c r="S13" i="34"/>
  <c r="Z12" i="34" l="1"/>
  <c r="Y16" i="34"/>
  <c r="T15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S17" i="34"/>
  <c r="Z20" i="34" l="1"/>
  <c r="T17" i="34"/>
  <c r="S18" i="34" s="1"/>
  <c r="T21" i="34"/>
  <c r="S22" i="34" s="1"/>
  <c r="Z22" i="34" s="1"/>
  <c r="Z18" i="34" l="1"/>
  <c r="S24" i="34"/>
  <c r="Y24" i="34"/>
  <c r="Z24" i="34" l="1"/>
  <c r="U19" i="34"/>
  <c r="U21" i="34"/>
  <c r="S14" i="34"/>
  <c r="Z14" i="34" l="1"/>
  <c r="T9" i="34"/>
  <c r="U9" i="34" s="1"/>
  <c r="S16" i="34"/>
  <c r="U23" i="34"/>
  <c r="Z16" i="34" l="1"/>
  <c r="U13" i="34"/>
  <c r="S10" i="34"/>
  <c r="Y10" i="34"/>
  <c r="Z10" i="34" l="1"/>
  <c r="U1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0B33C6C9-9DE1-4383-83D8-6E1DA57E3B6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FA0B8907-A78F-4B31-8D99-6348D30B9C3A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7B1ED28-B4A6-43B9-BBEE-F233047B3E8C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02A3F8FA-53B5-458E-B100-A96ED4F8DE09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D47C73CC-B4CA-4107-9DA6-0EC05C9DD0C2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A5EC1D72-7310-4D75-87E3-46453A394DE3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950B12CC-AB82-4FD1-A7FD-EDA30742B7D5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13192313-27B9-4164-945E-2394BEF5D6DF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C1337627-7D4F-47F6-80C2-7B59E0418E7E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A041EB5E-96E5-449D-8142-AA161DA78BF5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ACD7B96F-1CAF-4BDF-85A5-145847ECC02C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1DFB5258-1788-4D28-B8BB-70A11BF99E1E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93DACDE-836A-420E-98B7-18A53B13A7E8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6FF29D93-5C59-2F48-A977-43D41D6350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9EDA0D1-6E28-E841-AC45-F51B9EF0D5EC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1F4062EB-88EB-914A-8C1E-60EE227B32A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B9014B8A-E9E7-3740-BC02-8ECA6FEA2A9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476E605-EDF9-CC47-A3AC-85D1AE6B597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6A88DB57-7AF3-844D-B152-7728F0953B2A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F162DDC-072B-8446-BEBD-30B0668559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055E7DA-FD1F-E443-AAEF-6414B2FC3A4E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80439C31-21F0-B14C-8F6C-EDB1352A384C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376C01A8-A381-3A46-8DAE-960433F88EA9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20B40039-1127-3845-B773-C5B9D50DCC8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83DFD18-FFFF-CD49-BD5A-0FDE5DEE25D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D4CACCD2-13D7-AE4C-9FE0-B72EF2DCB8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<sst xmlns="http://schemas.openxmlformats.org/spreadsheetml/2006/main" count="462" uniqueCount="161">
  <si>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</si>
  <si>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</si>
  <si>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</si>
  <si>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</si>
  <si>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</si>
  <si>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</si>
  <si>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</si>
  <si>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</si>
  <si>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</si>
  <si>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</si>
  <si>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</si>
  <si>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</si>
  <si>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</si>
  <si>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</si>
  <si>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</si>
  <si>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</si>
  <si>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</si>
  <si>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</si>
  <si>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</si>
  <si>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</si>
  <si>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</si>
  <si>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</si>
  <si>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</si>
  <si>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</si>
  <si>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</si>
  <si>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</si>
  <si>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</si>
  <si>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</si>
  <si>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</si>
  <si>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</si>
  <si>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</si>
  <si>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</si>
  <si>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</si>
  <si>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</si>
  <si>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</si>
  <si>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</si>
  <si>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</si>
  <si>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</si>
  <si>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</si>
  <si>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</si>
  <si>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</si>
  <si>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</si>
  <si>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</si>
  <si>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</si>
  <si>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</si>
  <si>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</si>
  <si>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</si>
  <si>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</si>
  <si>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</si>
  <si>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</si>
  <si>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Kat
5 kamp</t>
  </si>
  <si>
    <t>Kropps-
vekt</t>
  </si>
  <si>
    <t>Vekt
kl</t>
  </si>
  <si>
    <t xml:space="preserve"> Kate-vekt</t>
  </si>
  <si>
    <t>.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</si>
  <si>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</si>
  <si>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</si>
  <si>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</si>
  <si>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</si>
  <si>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</si>
  <si>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</si>
  <si>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13-14</t>
  </si>
  <si>
    <t>15-16</t>
  </si>
  <si>
    <t>17-18</t>
  </si>
  <si>
    <t>19-23</t>
  </si>
  <si>
    <t>24-34</t>
  </si>
  <si>
    <t>+35</t>
  </si>
  <si>
    <t>71</t>
  </si>
  <si>
    <t>JM</t>
  </si>
  <si>
    <t>Samuel Dantas De Sousa Juliussen</t>
  </si>
  <si>
    <t>Larvik AK</t>
  </si>
  <si>
    <t>Terje Gulvik</t>
  </si>
  <si>
    <t>M65</t>
  </si>
  <si>
    <t>1961003</t>
  </si>
  <si>
    <t>Kent Raymond Fjelløve</t>
  </si>
  <si>
    <t>M45</t>
  </si>
  <si>
    <t>1979016</t>
  </si>
  <si>
    <t>Morten Garvåg</t>
  </si>
  <si>
    <t>1988029</t>
  </si>
  <si>
    <t>94</t>
  </si>
  <si>
    <t>M35</t>
  </si>
  <si>
    <t>Erlend Raastad</t>
  </si>
  <si>
    <t>SM</t>
  </si>
  <si>
    <t>110</t>
  </si>
  <si>
    <t>1993012</t>
  </si>
  <si>
    <t>Heidrun S. Sigurdardottir</t>
  </si>
  <si>
    <t>K45</t>
  </si>
  <si>
    <t>1981012</t>
  </si>
  <si>
    <t>1989003</t>
  </si>
  <si>
    <t>K35</t>
  </si>
  <si>
    <t>Melissa Schanche</t>
  </si>
  <si>
    <t>Martina Elise Gregersen</t>
  </si>
  <si>
    <t>SK</t>
  </si>
  <si>
    <t>JK</t>
  </si>
  <si>
    <t>1998019</t>
  </si>
  <si>
    <t>Rebekka Tao Jacobsen</t>
  </si>
  <si>
    <t>1996005</t>
  </si>
  <si>
    <t>Leo-Alander Fjelløve</t>
  </si>
  <si>
    <t>UM</t>
  </si>
  <si>
    <t>UK</t>
  </si>
  <si>
    <t>2012029</t>
  </si>
  <si>
    <t>Haakon Aursnes Ingebrigtsen</t>
  </si>
  <si>
    <t xml:space="preserve">Grenland AK </t>
  </si>
  <si>
    <t>Grenland AK</t>
  </si>
  <si>
    <t>2013011</t>
  </si>
  <si>
    <t>Troy Aleksander Paulsen</t>
  </si>
  <si>
    <t>Mikkel Lynum Refsdal</t>
  </si>
  <si>
    <t>2010006</t>
  </si>
  <si>
    <t>Margret Isabella Olfjörd Sigmarsdottir</t>
  </si>
  <si>
    <t>2009035</t>
  </si>
  <si>
    <t>Isach August Lamø Larsen</t>
  </si>
  <si>
    <t>Gytautas Juonys</t>
  </si>
  <si>
    <t>Fride Olsen Mork</t>
  </si>
  <si>
    <t>AK Bjørgvin</t>
  </si>
  <si>
    <t>Tønsberg Kam.</t>
  </si>
  <si>
    <t>69</t>
  </si>
  <si>
    <t>Pavel Petukhov</t>
  </si>
  <si>
    <t>Yuri Petukhov</t>
  </si>
  <si>
    <t>88</t>
  </si>
  <si>
    <t>1982014</t>
  </si>
  <si>
    <t>M40</t>
  </si>
  <si>
    <t>1988023</t>
  </si>
  <si>
    <t>Szymon Aleksander Korzeniowski</t>
  </si>
  <si>
    <t>79</t>
  </si>
  <si>
    <t>56</t>
  </si>
  <si>
    <t>65</t>
  </si>
  <si>
    <t>1994014</t>
  </si>
  <si>
    <t>Oliver Haugan</t>
  </si>
  <si>
    <t>Emil Harcourth</t>
  </si>
  <si>
    <t>Elnaz Tajik</t>
  </si>
  <si>
    <t>77</t>
  </si>
  <si>
    <t>58</t>
  </si>
  <si>
    <t>86</t>
  </si>
  <si>
    <t>Johan Fredrik Murberg</t>
  </si>
  <si>
    <t>Hilde Næss</t>
  </si>
  <si>
    <t>Lars Hage</t>
  </si>
  <si>
    <t>Gunnar Knudsen</t>
  </si>
  <si>
    <t>Per Marstad</t>
  </si>
  <si>
    <t xml:space="preserve">Per Marstad </t>
  </si>
  <si>
    <t>Kira Ingelsrudøyen</t>
  </si>
  <si>
    <t>2009038</t>
  </si>
  <si>
    <t>2002018</t>
  </si>
  <si>
    <t>2007003</t>
  </si>
  <si>
    <t>2005022</t>
  </si>
  <si>
    <t>Sarah Hovden Øvsthus</t>
  </si>
  <si>
    <t>2001032</t>
  </si>
  <si>
    <t>Ronja Smerud</t>
  </si>
  <si>
    <t>Stavernhallen</t>
  </si>
  <si>
    <t>1.</t>
  </si>
  <si>
    <t>3.</t>
  </si>
  <si>
    <t>2.</t>
  </si>
  <si>
    <t>4.</t>
  </si>
  <si>
    <t>x</t>
  </si>
  <si>
    <t xml:space="preserve">Beskrivelse rekorder: NR K45 86 kg, Heidrun S. Sigurdardottir Rykk 74 kg. K35 77 kg, Melissa Schanche Støt 97 kg og 99 kg, SML 178 kg og 180 kg. </t>
  </si>
  <si>
    <t>xxx</t>
  </si>
  <si>
    <t>60+</t>
  </si>
  <si>
    <t>8</t>
  </si>
  <si>
    <t>9</t>
  </si>
  <si>
    <t>10</t>
  </si>
  <si>
    <t>Regionsmesterskap</t>
  </si>
  <si>
    <t>Jostein Frøyd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</si>
</sst>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ashed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44" xfId="8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49" fontId="9" fillId="0" borderId="49" xfId="7" applyNumberFormat="1" applyFont="1" applyBorder="1" applyAlignment="1" applyProtection="1">
      <alignment horizontal="center" vertical="center"/>
      <protection locked="0"/>
    </xf>
    <xf numFmtId="2" fontId="9" fillId="0" borderId="49" xfId="7" applyNumberFormat="1" applyFont="1" applyBorder="1" applyAlignment="1" applyProtection="1">
      <alignment horizontal="center" vertical="center"/>
      <protection locked="0"/>
    </xf>
    <xf numFmtId="49" fontId="9" fillId="0" borderId="49" xfId="7" quotePrefix="1" applyNumberFormat="1" applyFont="1" applyBorder="1" applyAlignment="1" applyProtection="1">
      <alignment horizontal="center" vertical="center"/>
      <protection locked="0"/>
    </xf>
    <xf numFmtId="167" fontId="9" fillId="0" borderId="49" xfId="0" applyNumberFormat="1" applyFont="1" applyBorder="1" applyAlignment="1" applyProtection="1">
      <alignment horizontal="center" vertical="center"/>
      <protection locked="0"/>
    </xf>
    <xf numFmtId="1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vertical="center"/>
      <protection locked="0"/>
    </xf>
    <xf numFmtId="0" fontId="9" fillId="0" borderId="49" xfId="7" applyFont="1" applyBorder="1" applyAlignment="1" applyProtection="1">
      <alignment horizontal="left" vertical="center"/>
      <protection locked="0"/>
    </xf>
    <xf numFmtId="1" fontId="9" fillId="0" borderId="49" xfId="7" applyNumberFormat="1" applyFont="1" applyBorder="1" applyAlignment="1" applyProtection="1">
      <alignment horizontal="center" vertical="center"/>
      <protection locked="0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90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3C714CA2-93AE-4363-87C2-00F083A3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" y="180340"/>
          <a:ext cx="8737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15EEE418-C3A6-6944-BD4F-E5E448BF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showOutlineSymbols="0" topLeftCell="A8" zoomScale="80" zoomScaleNormal="80" zoomScaleSheetLayoutView="75" zoomScalePageLayoutView="120" workbookViewId="0">
      <selection activeCell="D26" sqref="D26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5" width="6.44140625" style="16" customWidth="1"/>
    <col min="6" max="6" width="6.7773437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186" t="s">
        <v>57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5"/>
      <c r="T2" s="15"/>
      <c r="U2" s="83" t="s">
        <v>58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84"/>
      <c r="F3" s="15"/>
      <c r="G3" s="187" t="s">
        <v>21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188" t="s">
        <v>159</v>
      </c>
      <c r="E5" s="188"/>
      <c r="F5" s="188"/>
      <c r="G5" s="188"/>
      <c r="H5" s="188"/>
      <c r="I5" s="188"/>
      <c r="J5" s="24" t="s">
        <v>0</v>
      </c>
      <c r="K5" s="188" t="s">
        <v>70</v>
      </c>
      <c r="L5" s="188"/>
      <c r="M5" s="188"/>
      <c r="N5" s="188"/>
      <c r="O5" s="24" t="s">
        <v>1</v>
      </c>
      <c r="P5" s="189" t="s">
        <v>147</v>
      </c>
      <c r="Q5" s="189"/>
      <c r="R5" s="189"/>
      <c r="S5" s="189"/>
      <c r="T5" s="24" t="s">
        <v>2</v>
      </c>
      <c r="U5" s="190">
        <v>46179</v>
      </c>
      <c r="V5" s="190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177" t="s">
        <v>56</v>
      </c>
    </row>
    <row r="7" spans="1:36" s="1" customFormat="1" x14ac:dyDescent="0.25">
      <c r="B7" s="178" t="s">
        <v>33</v>
      </c>
      <c r="C7" s="180" t="s">
        <v>52</v>
      </c>
      <c r="D7" s="180" t="s">
        <v>51</v>
      </c>
      <c r="E7" s="182" t="s">
        <v>53</v>
      </c>
      <c r="F7" s="184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77"/>
    </row>
    <row r="8" spans="1:36" s="1" customFormat="1" x14ac:dyDescent="0.25">
      <c r="B8" s="179"/>
      <c r="C8" s="181"/>
      <c r="D8" s="181"/>
      <c r="E8" s="183"/>
      <c r="F8" s="185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50">
        <v>2013040</v>
      </c>
      <c r="C9" s="167" t="s">
        <v>131</v>
      </c>
      <c r="D9" s="168">
        <v>57.69</v>
      </c>
      <c r="E9" s="167" t="s">
        <v>99</v>
      </c>
      <c r="F9" s="169" t="s">
        <v>61</v>
      </c>
      <c r="G9" s="170">
        <v>41422</v>
      </c>
      <c r="H9" s="171">
        <v>1</v>
      </c>
      <c r="I9" s="172" t="s">
        <v>108</v>
      </c>
      <c r="J9" s="173" t="s">
        <v>70</v>
      </c>
      <c r="K9" s="174">
        <v>15</v>
      </c>
      <c r="L9" s="175">
        <v>17</v>
      </c>
      <c r="M9" s="175">
        <v>18</v>
      </c>
      <c r="N9" s="174">
        <v>20</v>
      </c>
      <c r="O9" s="159">
        <v>22</v>
      </c>
      <c r="P9" s="159">
        <v>23</v>
      </c>
      <c r="Q9" s="160">
        <f>IF(MAX(K9:M9)&gt;0,IF(MAX(K9:M9)&lt;0,0,TRUNC(MAX(K9:M9)/1)*1),"")</f>
        <v>18</v>
      </c>
      <c r="R9" s="161">
        <f>IF(MAX(N9:P9)&gt;0,IF(MAX(N9:P9)&lt;0,0,TRUNC(MAX(N9:P9)/1)*1),"")</f>
        <v>23</v>
      </c>
      <c r="S9" s="161">
        <f>IF(Q9="","",IF(R9="","",IF(SUM(Q9:R9)=0,"",SUM(Q9:R9))))</f>
        <v>41</v>
      </c>
      <c r="T9" s="162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56.941406658572987</v>
      </c>
      <c r="U9" s="163" t="str">
        <f>IF(AF9=1,T9*AI9,"")</f>
        <v/>
      </c>
      <c r="V9" s="164">
        <v>5.82</v>
      </c>
      <c r="W9" s="164">
        <v>8.86</v>
      </c>
      <c r="X9" s="164">
        <v>7.65</v>
      </c>
      <c r="Y9" s="162"/>
      <c r="Z9" s="165"/>
      <c r="AA9" s="165" t="s">
        <v>148</v>
      </c>
      <c r="AB9" s="166"/>
      <c r="AC9" s="68">
        <f>U5</f>
        <v>46179</v>
      </c>
      <c r="AD9" s="69" t="str">
        <f>IF(ISNUMBER(FIND("M",E9)),"m",IF(ISNUMBER(FIND("K",E9)),"k"))</f>
        <v>k</v>
      </c>
      <c r="AE9" s="67">
        <f>IF(OR(G9="",AC9=""),0,(YEAR(AC9)-YEAR(G9)))</f>
        <v>13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1.5843021332567873</v>
      </c>
    </row>
    <row r="10" spans="1:36" s="8" customFormat="1" ht="19.95" customHeight="1" x14ac:dyDescent="0.25">
      <c r="B10" s="94"/>
      <c r="C10" s="95"/>
      <c r="D10" s="95"/>
      <c r="E10" s="95"/>
      <c r="F10" s="96"/>
      <c r="G10" s="97"/>
      <c r="H10" s="98"/>
      <c r="I10" s="99"/>
      <c r="J10" s="99"/>
      <c r="K10" s="191"/>
      <c r="L10" s="191"/>
      <c r="M10" s="191"/>
      <c r="N10" s="192"/>
      <c r="O10" s="192"/>
      <c r="P10" s="192"/>
      <c r="Q10" s="100"/>
      <c r="R10" s="95"/>
      <c r="S10" s="191">
        <f>IF(T9="","",T9*1.2)</f>
        <v>68.329687990287582</v>
      </c>
      <c r="T10" s="191"/>
      <c r="U10" s="95"/>
      <c r="V10" s="95">
        <f>IF(V9&gt;0,V9*20,"")</f>
        <v>116.4</v>
      </c>
      <c r="W10" s="95">
        <f>IF(W9="","",(W9*10)*AJ9)</f>
        <v>140.36916900655135</v>
      </c>
      <c r="X10" s="101">
        <f>IF(ROUNDUP(X9,1)&gt;0,IF((80+(8-ROUNDUP(X9,1))*40)&lt;0,0,80+(8-ROUNDUP(X9,1))*40),"")</f>
        <v>92.000000000000028</v>
      </c>
      <c r="Y10" s="102">
        <f>IF(SUM(V10,W10,X10)&gt;0,SUM(V10,W10,X10),"")</f>
        <v>348.76916900655135</v>
      </c>
      <c r="Z10" s="103">
        <f>IF(AE9&gt;34,(IF(OR(S10="",V10="",W10="",X10=""),"",SUM(S10,V10,W10,X10))*AI9),IF(OR(S10="",V10="",W10="",X10=""),"", SUM(S10,V10,W10,X10)))</f>
        <v>417.09885699683889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19.95" customHeight="1" x14ac:dyDescent="0.25">
      <c r="B11" s="106">
        <v>2013029</v>
      </c>
      <c r="C11" s="167" t="s">
        <v>124</v>
      </c>
      <c r="D11" s="168">
        <v>36.54</v>
      </c>
      <c r="E11" s="167" t="s">
        <v>98</v>
      </c>
      <c r="F11" s="169" t="s">
        <v>61</v>
      </c>
      <c r="G11" s="170">
        <v>41547</v>
      </c>
      <c r="H11" s="171">
        <v>2</v>
      </c>
      <c r="I11" s="172" t="s">
        <v>101</v>
      </c>
      <c r="J11" s="173" t="s">
        <v>70</v>
      </c>
      <c r="K11" s="174">
        <v>18</v>
      </c>
      <c r="L11" s="175">
        <v>20</v>
      </c>
      <c r="M11" s="175">
        <v>22</v>
      </c>
      <c r="N11" s="174">
        <v>22</v>
      </c>
      <c r="O11" s="115">
        <v>24</v>
      </c>
      <c r="P11" s="115">
        <v>26</v>
      </c>
      <c r="Q11" s="116">
        <f>IF(MAX(K11:M11)&gt;0,IF(MAX(K11:M11)&lt;0,0,TRUNC(MAX(K11:M11)/1)*1),"")</f>
        <v>22</v>
      </c>
      <c r="R11" s="117">
        <f>IF(MAX(N11:P11)&gt;0,IF(MAX(N11:P11)&lt;0,0,TRUNC(MAX(N11:P11)/1)*1),"")</f>
        <v>26</v>
      </c>
      <c r="S11" s="117">
        <f>IF(Q11="","",IF(R11="","",IF(SUM(Q11:R11)=0,"",SUM(Q11:R11))))</f>
        <v>48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114.88420706644385</v>
      </c>
      <c r="U11" s="119" t="str">
        <f>IF(AF11=1,T11*AI11,"")</f>
        <v/>
      </c>
      <c r="V11" s="120">
        <v>4.8899999999999997</v>
      </c>
      <c r="W11" s="120">
        <v>4.3899999999999997</v>
      </c>
      <c r="X11" s="120">
        <v>8</v>
      </c>
      <c r="Y11" s="121"/>
      <c r="Z11" s="122"/>
      <c r="AA11" s="122" t="s">
        <v>149</v>
      </c>
      <c r="AB11" s="123"/>
      <c r="AC11" s="66">
        <f>U5</f>
        <v>46179</v>
      </c>
      <c r="AD11" s="69" t="str">
        <f>IF(ISNUMBER(FIND("M",E11)),"m",IF(ISNUMBER(FIND("K",E11)),"k"))</f>
        <v>m</v>
      </c>
      <c r="AE11" s="67">
        <f>IF(OR(G11="",AC11=""),0,(YEAR(AC11)-YEAR(G11)))</f>
        <v>13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2.3934209805509137</v>
      </c>
    </row>
    <row r="12" spans="1:36" s="8" customFormat="1" ht="19.95" customHeight="1" x14ac:dyDescent="0.25">
      <c r="B12" s="105"/>
      <c r="C12" s="95"/>
      <c r="D12" s="95"/>
      <c r="E12" s="95"/>
      <c r="F12" s="96"/>
      <c r="G12" s="97"/>
      <c r="H12" s="98"/>
      <c r="I12" s="99"/>
      <c r="J12" s="99"/>
      <c r="K12" s="191"/>
      <c r="L12" s="191"/>
      <c r="M12" s="191"/>
      <c r="N12" s="192"/>
      <c r="O12" s="192"/>
      <c r="P12" s="192"/>
      <c r="Q12" s="100"/>
      <c r="R12" s="95"/>
      <c r="S12" s="191">
        <f>IF(T11="","",T11*1.2)</f>
        <v>137.8610484797326</v>
      </c>
      <c r="T12" s="191"/>
      <c r="U12" s="103"/>
      <c r="V12" s="95">
        <f>IF(V11&gt;0,V11*20,"")</f>
        <v>97.8</v>
      </c>
      <c r="W12" s="95">
        <f>IF(W11="","",(W11*10)*AJ11)</f>
        <v>105.0711810461851</v>
      </c>
      <c r="X12" s="101">
        <f>IF(ROUNDUP(X11,1)&gt;0,IF((80+(8-ROUNDUP(X11,1))*40)&lt;0,0,80+(8-ROUNDUP(X11,1))*40),"")</f>
        <v>80</v>
      </c>
      <c r="Y12" s="102">
        <f>IF(SUM(V12,W12,X12)&gt;0,SUM(V12,W12,X12),"")</f>
        <v>282.87118104618509</v>
      </c>
      <c r="Z12" s="103">
        <f>IF(AE11&gt;34,(IF(OR(S12="",V12="",W12="",X12=""),"",SUM(S12,V12,W12,X12))*AI11),IF(OR(S12="",V12="",W12="",X12=""),"", SUM(S12,V12,W12,X12)))</f>
        <v>420.73222952591766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19.95" customHeight="1" x14ac:dyDescent="0.25">
      <c r="B13" s="124" t="s">
        <v>104</v>
      </c>
      <c r="C13" s="107" t="s">
        <v>124</v>
      </c>
      <c r="D13" s="108">
        <v>51.26</v>
      </c>
      <c r="E13" s="107" t="s">
        <v>98</v>
      </c>
      <c r="F13" s="109" t="s">
        <v>61</v>
      </c>
      <c r="G13" s="110">
        <v>41504</v>
      </c>
      <c r="H13" s="111">
        <v>3</v>
      </c>
      <c r="I13" s="112" t="s">
        <v>105</v>
      </c>
      <c r="J13" s="113" t="s">
        <v>70</v>
      </c>
      <c r="K13" s="114">
        <v>38</v>
      </c>
      <c r="L13" s="115">
        <v>40</v>
      </c>
      <c r="M13" s="115">
        <v>42</v>
      </c>
      <c r="N13" s="114">
        <v>42</v>
      </c>
      <c r="O13" s="115">
        <v>45</v>
      </c>
      <c r="P13" s="115">
        <v>47</v>
      </c>
      <c r="Q13" s="116">
        <f>IF(MAX(K13:M13)&gt;0,IF(MAX(K13:M13)&lt;0,0,TRUNC(MAX(K13:M13)/1)*1),"")</f>
        <v>42</v>
      </c>
      <c r="R13" s="117">
        <f>IF(MAX(N13:P13)&gt;0,IF(MAX(N13:P13)&lt;0,0,TRUNC(MAX(N13:P13)/1)*1),"")</f>
        <v>47</v>
      </c>
      <c r="S13" s="117">
        <f>IF(Q13="","",IF(R13="","",IF(SUM(Q13:R13)=0,"",SUM(Q13:R13))))</f>
        <v>89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154.93202010134576</v>
      </c>
      <c r="U13" s="119" t="str">
        <f>IF(AF13=1,T13*AI13,"")</f>
        <v/>
      </c>
      <c r="V13" s="120">
        <v>6.3</v>
      </c>
      <c r="W13" s="120">
        <v>6.33</v>
      </c>
      <c r="X13" s="120">
        <v>7.56</v>
      </c>
      <c r="Y13" s="125"/>
      <c r="Z13" s="122"/>
      <c r="AA13" s="122" t="s">
        <v>148</v>
      </c>
      <c r="AB13" s="123"/>
      <c r="AC13" s="66">
        <f>U5</f>
        <v>46179</v>
      </c>
      <c r="AD13" s="69" t="str">
        <f>IF(ISNUMBER(FIND("M",E13)),"m",IF(ISNUMBER(FIND("K",E13)),"k"))</f>
        <v>m</v>
      </c>
      <c r="AE13" s="67">
        <f>IF(OR(G13="",AC13=""),0,(YEAR(AC13)-YEAR(G13)))</f>
        <v>13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1.7408092146218623</v>
      </c>
    </row>
    <row r="14" spans="1:36" s="8" customFormat="1" ht="19.95" customHeight="1" x14ac:dyDescent="0.25">
      <c r="B14" s="105"/>
      <c r="C14" s="95"/>
      <c r="D14" s="95"/>
      <c r="E14" s="95"/>
      <c r="F14" s="96"/>
      <c r="G14" s="97"/>
      <c r="H14" s="98"/>
      <c r="I14" s="99"/>
      <c r="J14" s="99"/>
      <c r="K14" s="191"/>
      <c r="L14" s="191"/>
      <c r="M14" s="191"/>
      <c r="N14" s="192"/>
      <c r="O14" s="192"/>
      <c r="P14" s="192"/>
      <c r="Q14" s="100"/>
      <c r="R14" s="95"/>
      <c r="S14" s="191">
        <f>IF(T13="","",T13*1.2)</f>
        <v>185.91842412161489</v>
      </c>
      <c r="T14" s="191"/>
      <c r="U14" s="95"/>
      <c r="V14" s="95">
        <f>IF(V13&gt;0,V13*20,"")</f>
        <v>126</v>
      </c>
      <c r="W14" s="95">
        <f>IF(W13="","",(W13*10)*AJ13)</f>
        <v>110.19322328556387</v>
      </c>
      <c r="X14" s="101">
        <f>IF(ROUNDUP(X13,1)&gt;0,IF((80+(8-ROUNDUP(X13,1))*40)&lt;0,0,80+(8-ROUNDUP(X13,1))*40),"")</f>
        <v>96.000000000000014</v>
      </c>
      <c r="Y14" s="102">
        <f>IF(SUM(V14,W14,X14)&gt;0,SUM(V14,W14,X14),"")</f>
        <v>332.19322328556387</v>
      </c>
      <c r="Z14" s="103">
        <f>IF(AE13&gt;34,(IF(OR(S14="",V14="",W14="",X14=""),"",SUM(S14,V14,W14,X14))*AI13),IF(OR(S14="",V14="",W14="",X14=""),"", SUM(S14,V14,W14,X14)))</f>
        <v>518.11164740717879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19.95" customHeight="1" x14ac:dyDescent="0.25">
      <c r="B15" s="124" t="s">
        <v>100</v>
      </c>
      <c r="C15" s="107" t="s">
        <v>125</v>
      </c>
      <c r="D15" s="108">
        <v>64.62</v>
      </c>
      <c r="E15" s="107" t="s">
        <v>98</v>
      </c>
      <c r="F15" s="109" t="s">
        <v>61</v>
      </c>
      <c r="G15" s="110">
        <v>41248</v>
      </c>
      <c r="H15" s="111">
        <v>4</v>
      </c>
      <c r="I15" s="112" t="s">
        <v>97</v>
      </c>
      <c r="J15" s="113" t="s">
        <v>70</v>
      </c>
      <c r="K15" s="114">
        <v>38</v>
      </c>
      <c r="L15" s="115">
        <v>40</v>
      </c>
      <c r="M15" s="115">
        <v>-44</v>
      </c>
      <c r="N15" s="114">
        <v>42</v>
      </c>
      <c r="O15" s="115">
        <v>45</v>
      </c>
      <c r="P15" s="115">
        <v>48</v>
      </c>
      <c r="Q15" s="116">
        <f>IF(MAX(K15:M15)&gt;0,IF(MAX(K15:M15)&lt;0,0,TRUNC(MAX(K15:M15)/1)*1),"")</f>
        <v>40</v>
      </c>
      <c r="R15" s="117">
        <f>IF(MAX(N15:P15)&gt;0,IF(MAX(N15:P15)&lt;0,0,TRUNC(MAX(N15:P15)/1)*1),"")</f>
        <v>48</v>
      </c>
      <c r="S15" s="117">
        <f>IF(Q15="","",IF(R15="","",IF(SUM(Q15:R15)=0,"",SUM(Q15:R15))))</f>
        <v>88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128.41858678887482</v>
      </c>
      <c r="U15" s="119" t="str">
        <f>IF(AF15=1,T15*AI15,"")</f>
        <v/>
      </c>
      <c r="V15" s="120">
        <v>6.04</v>
      </c>
      <c r="W15" s="120">
        <v>7.69</v>
      </c>
      <c r="X15" s="120">
        <v>7.88</v>
      </c>
      <c r="Y15" s="121"/>
      <c r="Z15" s="122"/>
      <c r="AA15" s="122" t="s">
        <v>150</v>
      </c>
      <c r="AB15" s="123"/>
      <c r="AC15" s="66">
        <f>U5</f>
        <v>46179</v>
      </c>
      <c r="AD15" s="69" t="str">
        <f>IF(ISNUMBER(FIND("M",E15)),"m",IF(ISNUMBER(FIND("K",E15)),"k"))</f>
        <v>m</v>
      </c>
      <c r="AE15" s="67">
        <f>IF(OR(G15="",AC15=""),0,(YEAR(AC15)-YEAR(G15)))</f>
        <v>14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1.4593021226008502</v>
      </c>
    </row>
    <row r="16" spans="1:36" s="8" customFormat="1" ht="19.95" customHeight="1" x14ac:dyDescent="0.25">
      <c r="B16" s="105"/>
      <c r="C16" s="95"/>
      <c r="D16" s="95"/>
      <c r="E16" s="95"/>
      <c r="F16" s="96"/>
      <c r="G16" s="97"/>
      <c r="H16" s="98"/>
      <c r="I16" s="99"/>
      <c r="J16" s="99"/>
      <c r="K16" s="191"/>
      <c r="L16" s="191"/>
      <c r="M16" s="191"/>
      <c r="N16" s="192"/>
      <c r="O16" s="192"/>
      <c r="P16" s="192"/>
      <c r="Q16" s="139"/>
      <c r="R16" s="140"/>
      <c r="S16" s="191">
        <f>IF(T15="","",T15*1.2)</f>
        <v>154.10230414664977</v>
      </c>
      <c r="T16" s="191"/>
      <c r="U16" s="95"/>
      <c r="V16" s="95">
        <f>IF(V15&gt;0,V15*20,"")</f>
        <v>120.8</v>
      </c>
      <c r="W16" s="95">
        <f>IF(W15="","",(W15*10)*AJ15)</f>
        <v>112.22033322800539</v>
      </c>
      <c r="X16" s="101">
        <f>IF(ROUNDUP(X15,1)&gt;0,IF((80+(8-ROUNDUP(X15,1))*40)&lt;0,0,80+(8-ROUNDUP(X15,1))*40),"")</f>
        <v>84.000000000000028</v>
      </c>
      <c r="Y16" s="102">
        <f>IF(SUM(V16,W16,X16)&gt;0,SUM(V16,W16,X16),"")</f>
        <v>317.02033322800537</v>
      </c>
      <c r="Z16" s="103">
        <f>IF(AE15&gt;34,(IF(OR(S16="",V16="",W16="",X16=""),"",SUM(S16,V16,W16,X16))*AI15),IF(OR(S16="",V16="",W16="",X16=""),"", SUM(S16,V16,W16,X16)))</f>
        <v>471.12263737465514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19.95" customHeight="1" x14ac:dyDescent="0.3">
      <c r="B17" s="124" t="s">
        <v>107</v>
      </c>
      <c r="C17" s="107" t="s">
        <v>123</v>
      </c>
      <c r="D17" s="108">
        <v>76.39</v>
      </c>
      <c r="E17" s="107" t="s">
        <v>98</v>
      </c>
      <c r="F17" s="109" t="s">
        <v>62</v>
      </c>
      <c r="G17" s="110">
        <v>40257</v>
      </c>
      <c r="H17" s="111">
        <v>5</v>
      </c>
      <c r="I17" s="126" t="s">
        <v>106</v>
      </c>
      <c r="J17" s="113" t="s">
        <v>70</v>
      </c>
      <c r="K17" s="114">
        <v>55</v>
      </c>
      <c r="L17" s="115">
        <v>58</v>
      </c>
      <c r="M17" s="115">
        <v>60</v>
      </c>
      <c r="N17" s="114">
        <v>65</v>
      </c>
      <c r="O17" s="115">
        <v>68</v>
      </c>
      <c r="P17" s="115">
        <v>70</v>
      </c>
      <c r="Q17" s="116">
        <f>IF(MAX(K17:M17)&gt;0,IF(MAX(K17:M17)&lt;0,0,TRUNC(MAX(K17:M17)/1)*1),"")</f>
        <v>60</v>
      </c>
      <c r="R17" s="117">
        <f>IF(MAX(N17:P17)&gt;0,IF(MAX(N17:P17)&lt;0,0,TRUNC(MAX(N17:P17)/1)*1),"")</f>
        <v>70</v>
      </c>
      <c r="S17" s="127">
        <f>IF(Q17="","",IF(R17="","",IF(SUM(Q17:R17)=0,"",SUM(Q17:R17))))</f>
        <v>130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170.54734553629845</v>
      </c>
      <c r="U17" s="119" t="str">
        <f>IF(AF17=1,T17*AI17,"")</f>
        <v/>
      </c>
      <c r="V17" s="120">
        <v>6.96</v>
      </c>
      <c r="W17" s="120">
        <v>7.29</v>
      </c>
      <c r="X17" s="120">
        <v>7.25</v>
      </c>
      <c r="Y17" s="121"/>
      <c r="Z17" s="122"/>
      <c r="AA17" s="122" t="s">
        <v>148</v>
      </c>
      <c r="AB17" s="123"/>
      <c r="AC17" s="66">
        <f>U5</f>
        <v>46179</v>
      </c>
      <c r="AD17" s="69" t="str">
        <f>IF(ISNUMBER(FIND("M",E17)),"m",IF(ISNUMBER(FIND("K",E17)),"k"))</f>
        <v>m</v>
      </c>
      <c r="AE17" s="67">
        <f>IF(OR(G17="",AC17=""),0,(YEAR(AC17)-YEAR(G17)))</f>
        <v>16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1.3119026579715265</v>
      </c>
    </row>
    <row r="18" spans="2:36" s="8" customFormat="1" ht="19.95" customHeight="1" x14ac:dyDescent="0.25">
      <c r="B18" s="105"/>
      <c r="C18" s="95"/>
      <c r="D18" s="95"/>
      <c r="E18" s="95"/>
      <c r="F18" s="96"/>
      <c r="G18" s="97"/>
      <c r="H18" s="98"/>
      <c r="I18" s="99"/>
      <c r="J18" s="99"/>
      <c r="K18" s="191"/>
      <c r="L18" s="191"/>
      <c r="M18" s="191"/>
      <c r="N18" s="192"/>
      <c r="O18" s="192"/>
      <c r="P18" s="192"/>
      <c r="Q18" s="100"/>
      <c r="R18" s="95"/>
      <c r="S18" s="191">
        <f>IF(T17="","",T17*1.2)</f>
        <v>204.65681464355814</v>
      </c>
      <c r="T18" s="191"/>
      <c r="U18" s="95"/>
      <c r="V18" s="95">
        <f>IF(V17&gt;0,V17*20,"")</f>
        <v>139.19999999999999</v>
      </c>
      <c r="W18" s="95">
        <f>IF(W17="","",(W17*10)*AJ17)</f>
        <v>95.637703766124289</v>
      </c>
      <c r="X18" s="101">
        <f>IF(ROUNDUP(X17,1)&gt;0,IF((80+(8-ROUNDUP(X17,1))*40)&lt;0,0,80+(8-ROUNDUP(X17,1))*40),"")</f>
        <v>108</v>
      </c>
      <c r="Y18" s="102">
        <f>IF(SUM(V18,W18,X18)&gt;0,SUM(V18,W18,X18),"")</f>
        <v>342.83770376612426</v>
      </c>
      <c r="Z18" s="103">
        <f>IF(AE17&gt;34,(IF(OR(S18="",V18="",W18="",X18=""),"",SUM(S18,V18,W18,X18))*AI17),IF(OR(S18="",V18="",W18="",X18=""),"", SUM(S18,V18,W18,X18)))</f>
        <v>547.49451840968231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19.95" customHeight="1" x14ac:dyDescent="0.25">
      <c r="B19" s="124" t="s">
        <v>140</v>
      </c>
      <c r="C19" s="107" t="s">
        <v>67</v>
      </c>
      <c r="D19" s="108">
        <v>68.349999999999994</v>
      </c>
      <c r="E19" s="107" t="s">
        <v>98</v>
      </c>
      <c r="F19" s="109" t="s">
        <v>63</v>
      </c>
      <c r="G19" s="110">
        <v>40089</v>
      </c>
      <c r="H19" s="111">
        <v>6</v>
      </c>
      <c r="I19" s="112" t="s">
        <v>111</v>
      </c>
      <c r="J19" s="113" t="s">
        <v>102</v>
      </c>
      <c r="K19" s="114">
        <v>42</v>
      </c>
      <c r="L19" s="115">
        <v>46</v>
      </c>
      <c r="M19" s="115">
        <v>50</v>
      </c>
      <c r="N19" s="114">
        <v>52</v>
      </c>
      <c r="O19" s="115">
        <v>56</v>
      </c>
      <c r="P19" s="115">
        <v>60</v>
      </c>
      <c r="Q19" s="116">
        <f>IF(MAX(K19:M19)&gt;0,IF(MAX(K19:M19)&lt;0,0,TRUNC(MAX(K19:M19)/1)*1),"")</f>
        <v>50</v>
      </c>
      <c r="R19" s="117">
        <f>IF(MAX(N19:P19)&gt;0,IF(MAX(N19:P19)&lt;0,0,TRUNC(MAX(N19:P19)/1)*1),"")</f>
        <v>60</v>
      </c>
      <c r="S19" s="127">
        <f>IF(Q19="","",IF(R19="","",IF(SUM(Q19:R19)=0,"",SUM(Q19:R19))))</f>
        <v>110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154.58885520326999</v>
      </c>
      <c r="U19" s="119" t="str">
        <f>IF(AF19=1,T19*AI19,"")</f>
        <v/>
      </c>
      <c r="V19" s="120">
        <v>7.52</v>
      </c>
      <c r="W19" s="120">
        <v>9.4700000000000006</v>
      </c>
      <c r="X19" s="120">
        <v>6.47</v>
      </c>
      <c r="Y19" s="121"/>
      <c r="Z19" s="122"/>
      <c r="AA19" s="122" t="s">
        <v>150</v>
      </c>
      <c r="AB19" s="123"/>
      <c r="AC19" s="66">
        <f>U5</f>
        <v>46179</v>
      </c>
      <c r="AD19" s="69" t="str">
        <f>IF(ISNUMBER(FIND("M",E19)),"m",IF(ISNUMBER(FIND("K",E19)),"k"))</f>
        <v>m</v>
      </c>
      <c r="AE19" s="67">
        <f>IF(OR(G19="",AC19=""),0,(YEAR(AC19)-YEAR(G19)))</f>
        <v>17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1.4053532291206363</v>
      </c>
    </row>
    <row r="20" spans="2:36" s="8" customFormat="1" ht="19.95" customHeight="1" x14ac:dyDescent="0.25">
      <c r="B20" s="105"/>
      <c r="C20" s="95"/>
      <c r="D20" s="95"/>
      <c r="E20" s="95"/>
      <c r="F20" s="96"/>
      <c r="G20" s="97"/>
      <c r="H20" s="98"/>
      <c r="I20" s="99"/>
      <c r="J20" s="99"/>
      <c r="K20" s="191"/>
      <c r="L20" s="191"/>
      <c r="M20" s="191"/>
      <c r="N20" s="192"/>
      <c r="O20" s="192"/>
      <c r="P20" s="192"/>
      <c r="Q20" s="100"/>
      <c r="R20" s="95"/>
      <c r="S20" s="191">
        <f>IF(T19="","",T19*1.2)</f>
        <v>185.50662624392399</v>
      </c>
      <c r="T20" s="191"/>
      <c r="U20" s="95"/>
      <c r="V20" s="95">
        <f>IF(V19&gt;0,V19*20,"")</f>
        <v>150.39999999999998</v>
      </c>
      <c r="W20" s="95">
        <f>IF(W19="","",(W19*10)*AJ19)</f>
        <v>133.08695079772426</v>
      </c>
      <c r="X20" s="101">
        <f>IF(ROUNDUP(X19,1)&gt;0,IF((80+(8-ROUNDUP(X19,1))*40)&lt;0,0,80+(8-ROUNDUP(X19,1))*40),"")</f>
        <v>140</v>
      </c>
      <c r="Y20" s="102">
        <f>IF(SUM(V20,W20,X20)&gt;0,SUM(V20,W20,X20),"")</f>
        <v>423.48695079772426</v>
      </c>
      <c r="Z20" s="103">
        <f>IF(AE19&gt;34,(IF(OR(S20="",V20="",W20="",X20=""),"",SUM(S20,V20,W20,X20))*AI19),IF(OR(S20="",V20="",W20="",X20=""),"", SUM(S20,V20,W20,X20)))</f>
        <v>608.99357704164822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19.95" customHeight="1" x14ac:dyDescent="0.25">
      <c r="B21" s="124" t="s">
        <v>109</v>
      </c>
      <c r="C21" s="107" t="s">
        <v>118</v>
      </c>
      <c r="D21" s="108">
        <v>81.75</v>
      </c>
      <c r="E21" s="107" t="s">
        <v>98</v>
      </c>
      <c r="F21" s="109" t="s">
        <v>63</v>
      </c>
      <c r="G21" s="110">
        <v>39836</v>
      </c>
      <c r="H21" s="111">
        <v>7</v>
      </c>
      <c r="I21" s="112" t="s">
        <v>110</v>
      </c>
      <c r="J21" s="113" t="s">
        <v>103</v>
      </c>
      <c r="K21" s="114">
        <v>63</v>
      </c>
      <c r="L21" s="115">
        <v>66</v>
      </c>
      <c r="M21" s="115">
        <v>70</v>
      </c>
      <c r="N21" s="114">
        <v>80</v>
      </c>
      <c r="O21" s="115">
        <v>85</v>
      </c>
      <c r="P21" s="115">
        <v>90</v>
      </c>
      <c r="Q21" s="116">
        <f>IF(MAX(K21:M21)&gt;0,IF(MAX(K21:M21)&lt;0,0,TRUNC(MAX(K21:M21)/1)*1),"")</f>
        <v>70</v>
      </c>
      <c r="R21" s="117">
        <f>IF(MAX(N21:P21)&gt;0,IF(MAX(N21:P21)&lt;0,0,TRUNC(MAX(N21:P21)/1)*1),"")</f>
        <v>90</v>
      </c>
      <c r="S21" s="127">
        <f>IF(Q21="","",IF(R21="","",IF(SUM(Q21:R21)=0,"",SUM(Q21:R21))))</f>
        <v>160</v>
      </c>
      <c r="T21" s="118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202.04770753446016</v>
      </c>
      <c r="U21" s="119" t="str">
        <f>IF(AF21=1,T21*AI21,"")</f>
        <v/>
      </c>
      <c r="V21" s="120">
        <v>7.5</v>
      </c>
      <c r="W21" s="120">
        <v>9.36</v>
      </c>
      <c r="X21" s="120">
        <v>6.56</v>
      </c>
      <c r="Y21" s="121"/>
      <c r="Z21" s="122"/>
      <c r="AA21" s="122" t="s">
        <v>148</v>
      </c>
      <c r="AB21" s="123"/>
      <c r="AC21" s="66">
        <f>U5</f>
        <v>46179</v>
      </c>
      <c r="AD21" s="69" t="str">
        <f>IF(ISNUMBER(FIND("M",E21)),"m",IF(ISNUMBER(FIND("K",E21)),"k"))</f>
        <v>m</v>
      </c>
      <c r="AE21" s="67">
        <f>IF(OR(G21="",AC21=""),0,(YEAR(AC21)-YEAR(G21)))</f>
        <v>17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6">
        <f>IF(D21="","",IF(D21&gt;193.609,1,IF(D21&lt;32,10^(0.722762521*LOG10(32/193.609)^2),10^(0.722762521*LOG10(D21/193.609)^2))))</f>
        <v>1.262798172090376</v>
      </c>
    </row>
    <row r="22" spans="2:36" s="8" customFormat="1" ht="19.95" customHeight="1" x14ac:dyDescent="0.25">
      <c r="B22" s="105"/>
      <c r="C22" s="95"/>
      <c r="D22" s="95"/>
      <c r="E22" s="95"/>
      <c r="F22" s="96"/>
      <c r="G22" s="97"/>
      <c r="H22" s="98"/>
      <c r="I22" s="99"/>
      <c r="J22" s="99"/>
      <c r="K22" s="191"/>
      <c r="L22" s="191"/>
      <c r="M22" s="191"/>
      <c r="N22" s="192"/>
      <c r="O22" s="192"/>
      <c r="P22" s="192"/>
      <c r="Q22" s="100"/>
      <c r="R22" s="95"/>
      <c r="S22" s="191">
        <f>IF(T21="","",T21*1.2)</f>
        <v>242.45724904135218</v>
      </c>
      <c r="T22" s="191"/>
      <c r="U22" s="95"/>
      <c r="V22" s="95">
        <f>IF(V21&gt;0,V21*20,"")</f>
        <v>150</v>
      </c>
      <c r="W22" s="95">
        <f>IF(W21="","",(W21*10)*AJ21)</f>
        <v>118.19790890765918</v>
      </c>
      <c r="X22" s="101">
        <f>IF(ROUNDUP(X21,1)&gt;0,IF((80+(8-ROUNDUP(X21,1))*40)&lt;0,0,80+(8-ROUNDUP(X21,1))*40),"")</f>
        <v>136</v>
      </c>
      <c r="Y22" s="102">
        <f>IF(SUM(V22,W22,X22)&gt;0,SUM(V22,W22,X22),"")</f>
        <v>404.19790890765921</v>
      </c>
      <c r="Z22" s="103">
        <f>IF(AE21&gt;34,(IF(OR(S22="",V22="",W22="",X22=""),"",SUM(S22,V22,W22,X22))*AI21),IF(OR(S22="",V22="",W22="",X22=""),"", SUM(S22,V22,W22,X22)))</f>
        <v>646.65515794901137</v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19.95" customHeight="1" x14ac:dyDescent="0.25">
      <c r="B23" s="124"/>
      <c r="C23" s="107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46179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19.95" customHeight="1" x14ac:dyDescent="0.25">
      <c r="B24" s="105"/>
      <c r="C24" s="95"/>
      <c r="D24" s="95"/>
      <c r="E24" s="95"/>
      <c r="F24" s="96"/>
      <c r="G24" s="97"/>
      <c r="H24" s="98"/>
      <c r="I24" s="99"/>
      <c r="J24" s="99"/>
      <c r="K24" s="191"/>
      <c r="L24" s="191"/>
      <c r="M24" s="191"/>
      <c r="N24" s="192"/>
      <c r="O24" s="192"/>
      <c r="P24" s="192"/>
      <c r="Q24" s="100"/>
      <c r="R24" s="95"/>
      <c r="S24" s="191" t="str">
        <f>IF(T23="","",T23*1.2)</f>
        <v/>
      </c>
      <c r="T24" s="191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IF(AE23&gt;34,(IF(OR(S24="",V24="",W24="",X24=""),"",SUM(S24,V24,W24,X24))*AI23),IF(OR(S24="",V24="",W24="",X24=""),"", SUM(S24,V24,W24,X24)))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19.95" customHeight="1" x14ac:dyDescent="0.25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 t="str">
        <f>IF(AF25=1,T25*AI25,"")</f>
        <v/>
      </c>
      <c r="V25" s="120"/>
      <c r="W25" s="120"/>
      <c r="X25" s="120"/>
      <c r="Y25" s="121"/>
      <c r="Z25" s="122"/>
      <c r="AA25" s="122"/>
      <c r="AB25" s="123"/>
      <c r="AC25" s="66">
        <f>U5</f>
        <v>46179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19.95" customHeight="1" x14ac:dyDescent="0.25">
      <c r="B26" s="105"/>
      <c r="C26" s="95"/>
      <c r="D26" s="95"/>
      <c r="E26" s="95"/>
      <c r="F26" s="96"/>
      <c r="G26" s="97"/>
      <c r="H26" s="98"/>
      <c r="I26" s="99"/>
      <c r="J26" s="99"/>
      <c r="K26" s="191"/>
      <c r="L26" s="191"/>
      <c r="M26" s="191"/>
      <c r="N26" s="192"/>
      <c r="O26" s="192"/>
      <c r="P26" s="192"/>
      <c r="Q26" s="100"/>
      <c r="R26" s="95"/>
      <c r="S26" s="191" t="str">
        <f>IF(T25="","",T25*1.2)</f>
        <v/>
      </c>
      <c r="T26" s="191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IF(AE25&gt;34,(IF(OR(S26="",V26="",W26="",X26=""),"",SUM(S26,V26,W26,X26))*AI25),IF(OR(S26="",V26="",W26="",X26=""),"", SUM(S26,V26,W26,X26)))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19.95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46179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105"/>
      <c r="C28" s="141"/>
      <c r="D28" s="95"/>
      <c r="E28" s="96"/>
      <c r="F28" s="96"/>
      <c r="G28" s="142"/>
      <c r="H28" s="97"/>
      <c r="I28" s="99"/>
      <c r="J28" s="99"/>
      <c r="K28" s="192"/>
      <c r="L28" s="192"/>
      <c r="M28" s="192"/>
      <c r="N28" s="192"/>
      <c r="O28" s="192"/>
      <c r="P28" s="192"/>
      <c r="Q28" s="100"/>
      <c r="R28" s="95"/>
      <c r="S28" s="191" t="str">
        <f>IF(T27="","",T27*1.2)</f>
        <v/>
      </c>
      <c r="T28" s="191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IF(AE27&gt;34,(IF(OR(S28="",V28="",W28="",X28=""),"",SUM(S28,V28,W28,X28))*AI27),IF(OR(S28="",V28="",W28="",X28=""),"", SUM(S28,V28,W28,X28)))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19.95" customHeight="1" x14ac:dyDescent="0.25">
      <c r="B29" s="124"/>
      <c r="C29" s="137"/>
      <c r="D29" s="87"/>
      <c r="E29" s="88"/>
      <c r="F29" s="138"/>
      <c r="G29" s="90"/>
      <c r="H29" s="91"/>
      <c r="I29" s="92"/>
      <c r="J29" s="9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46179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105"/>
      <c r="C30" s="143"/>
      <c r="D30" s="144"/>
      <c r="E30" s="145"/>
      <c r="F30" s="146"/>
      <c r="G30" s="147"/>
      <c r="H30" s="148"/>
      <c r="I30" s="149"/>
      <c r="J30" s="149"/>
      <c r="K30" s="192"/>
      <c r="L30" s="192"/>
      <c r="M30" s="192"/>
      <c r="N30" s="192"/>
      <c r="O30" s="192"/>
      <c r="P30" s="192"/>
      <c r="Q30" s="100"/>
      <c r="R30" s="95"/>
      <c r="S30" s="191" t="str">
        <f>IF(T29="","",T29*1.2)</f>
        <v/>
      </c>
      <c r="T30" s="191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19.95" customHeight="1" x14ac:dyDescent="0.25">
      <c r="B31" s="124"/>
      <c r="C31" s="137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46179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105"/>
      <c r="C32" s="143"/>
      <c r="D32" s="144"/>
      <c r="E32" s="145"/>
      <c r="F32" s="146"/>
      <c r="G32" s="147"/>
      <c r="H32" s="148"/>
      <c r="I32" s="149"/>
      <c r="J32" s="149"/>
      <c r="K32" s="192"/>
      <c r="L32" s="192"/>
      <c r="M32" s="192"/>
      <c r="N32" s="192"/>
      <c r="O32" s="192"/>
      <c r="P32" s="192"/>
      <c r="Q32" s="100"/>
      <c r="R32" s="95"/>
      <c r="S32" s="191" t="str">
        <f>IF(T31="","",T31*1.2)</f>
        <v/>
      </c>
      <c r="T32" s="191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.05" customHeight="1" x14ac:dyDescent="0.25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93" t="s">
        <v>34</v>
      </c>
      <c r="C35" s="194"/>
      <c r="D35" s="77" t="s">
        <v>33</v>
      </c>
      <c r="E35" s="193" t="s">
        <v>4</v>
      </c>
      <c r="F35" s="195"/>
      <c r="G35" s="195"/>
      <c r="H35" s="194"/>
      <c r="I35" s="50" t="s">
        <v>42</v>
      </c>
      <c r="J35" s="21"/>
      <c r="K35" s="193" t="s">
        <v>34</v>
      </c>
      <c r="L35" s="195"/>
      <c r="M35" s="194"/>
      <c r="N35" s="54" t="s">
        <v>33</v>
      </c>
      <c r="O35" s="196" t="s">
        <v>4</v>
      </c>
      <c r="P35" s="197"/>
      <c r="Q35" s="197"/>
      <c r="R35" s="198"/>
      <c r="S35" s="196" t="s">
        <v>42</v>
      </c>
      <c r="T35" s="198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199" t="s">
        <v>40</v>
      </c>
      <c r="C36" s="200"/>
      <c r="D36" s="78">
        <v>1982008</v>
      </c>
      <c r="E36" s="201" t="s">
        <v>160</v>
      </c>
      <c r="F36" s="202"/>
      <c r="G36" s="202"/>
      <c r="H36" s="200"/>
      <c r="I36" s="49" t="s">
        <v>70</v>
      </c>
      <c r="J36" s="4"/>
      <c r="K36" s="199" t="s">
        <v>35</v>
      </c>
      <c r="L36" s="202"/>
      <c r="M36" s="200"/>
      <c r="N36" s="51">
        <v>1979002</v>
      </c>
      <c r="O36" s="203" t="s">
        <v>134</v>
      </c>
      <c r="P36" s="204"/>
      <c r="Q36" s="204"/>
      <c r="R36" s="205"/>
      <c r="S36" s="203" t="s">
        <v>70</v>
      </c>
      <c r="T36" s="206"/>
      <c r="AF36" s="1"/>
      <c r="AH36" s="35"/>
      <c r="AI36" s="35"/>
    </row>
    <row r="37" spans="2:35" s="5" customFormat="1" ht="21" customHeight="1" x14ac:dyDescent="0.25">
      <c r="B37" s="207" t="s">
        <v>36</v>
      </c>
      <c r="C37" s="208"/>
      <c r="D37" s="79">
        <v>1961003</v>
      </c>
      <c r="E37" s="209" t="s">
        <v>71</v>
      </c>
      <c r="F37" s="210"/>
      <c r="G37" s="210"/>
      <c r="H37" s="208"/>
      <c r="I37" s="47" t="s">
        <v>70</v>
      </c>
      <c r="J37" s="4"/>
      <c r="K37" s="207" t="s">
        <v>38</v>
      </c>
      <c r="L37" s="210"/>
      <c r="M37" s="208"/>
      <c r="N37" s="52">
        <v>1995013</v>
      </c>
      <c r="O37" s="211" t="s">
        <v>133</v>
      </c>
      <c r="P37" s="212"/>
      <c r="Q37" s="212"/>
      <c r="R37" s="213"/>
      <c r="S37" s="211" t="s">
        <v>70</v>
      </c>
      <c r="T37" s="214"/>
      <c r="AH37" s="35"/>
      <c r="AI37" s="35"/>
    </row>
    <row r="38" spans="2:35" s="5" customFormat="1" ht="19.05" customHeight="1" x14ac:dyDescent="0.25">
      <c r="B38" s="207" t="s">
        <v>36</v>
      </c>
      <c r="C38" s="208"/>
      <c r="D38" s="79">
        <v>1960003</v>
      </c>
      <c r="E38" s="209" t="s">
        <v>135</v>
      </c>
      <c r="F38" s="210"/>
      <c r="G38" s="210"/>
      <c r="H38" s="208"/>
      <c r="I38" s="47" t="s">
        <v>103</v>
      </c>
      <c r="J38" s="4"/>
      <c r="K38" s="207" t="s">
        <v>37</v>
      </c>
      <c r="L38" s="210"/>
      <c r="M38" s="208"/>
      <c r="N38" s="52"/>
      <c r="O38" s="211"/>
      <c r="P38" s="212"/>
      <c r="Q38" s="212"/>
      <c r="R38" s="213"/>
      <c r="S38" s="211"/>
      <c r="T38" s="214"/>
      <c r="V38" s="5" t="s">
        <v>54</v>
      </c>
      <c r="AH38" s="35"/>
      <c r="AI38" s="35"/>
    </row>
    <row r="39" spans="2:35" s="5" customFormat="1" ht="21" customHeight="1" x14ac:dyDescent="0.25">
      <c r="B39" s="207" t="s">
        <v>36</v>
      </c>
      <c r="C39" s="208"/>
      <c r="D39" s="79">
        <v>1982014</v>
      </c>
      <c r="E39" s="209" t="s">
        <v>116</v>
      </c>
      <c r="F39" s="210"/>
      <c r="G39" s="210"/>
      <c r="H39" s="208"/>
      <c r="I39" s="47" t="s">
        <v>103</v>
      </c>
      <c r="J39" s="4"/>
      <c r="K39" s="207" t="s">
        <v>55</v>
      </c>
      <c r="L39" s="210"/>
      <c r="M39" s="208"/>
      <c r="N39" s="52">
        <v>1995013</v>
      </c>
      <c r="O39" s="211" t="s">
        <v>133</v>
      </c>
      <c r="P39" s="212"/>
      <c r="Q39" s="212"/>
      <c r="R39" s="213"/>
      <c r="S39" s="211" t="s">
        <v>70</v>
      </c>
      <c r="T39" s="214"/>
      <c r="AD39" s="5" t="s">
        <v>13</v>
      </c>
      <c r="AH39" s="35"/>
      <c r="AI39" s="35"/>
    </row>
    <row r="40" spans="2:35" s="5" customFormat="1" ht="19.95" customHeight="1" x14ac:dyDescent="0.25">
      <c r="B40" s="207" t="s">
        <v>36</v>
      </c>
      <c r="C40" s="208"/>
      <c r="D40" s="79"/>
      <c r="E40" s="209"/>
      <c r="F40" s="210"/>
      <c r="G40" s="210"/>
      <c r="H40" s="208"/>
      <c r="I40" s="47"/>
      <c r="J40" s="4"/>
      <c r="K40" s="207"/>
      <c r="L40" s="210"/>
      <c r="M40" s="208"/>
      <c r="N40" s="52"/>
      <c r="O40" s="211"/>
      <c r="P40" s="212"/>
      <c r="Q40" s="212"/>
      <c r="R40" s="213"/>
      <c r="S40" s="211"/>
      <c r="T40" s="214"/>
      <c r="AH40" s="35"/>
      <c r="AI40" s="35"/>
    </row>
    <row r="41" spans="2:35" ht="19.05" customHeight="1" x14ac:dyDescent="0.25">
      <c r="B41" s="207" t="s">
        <v>36</v>
      </c>
      <c r="C41" s="208"/>
      <c r="D41" s="79"/>
      <c r="E41" s="209"/>
      <c r="F41" s="210"/>
      <c r="G41" s="210"/>
      <c r="H41" s="208"/>
      <c r="I41" s="47"/>
      <c r="J41" s="3"/>
      <c r="K41" s="207"/>
      <c r="L41" s="210"/>
      <c r="M41" s="208"/>
      <c r="N41" s="52"/>
      <c r="O41" s="211"/>
      <c r="P41" s="212"/>
      <c r="Q41" s="212"/>
      <c r="R41" s="213"/>
      <c r="S41" s="211"/>
      <c r="T41" s="214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207" t="s">
        <v>39</v>
      </c>
      <c r="C42" s="208"/>
      <c r="D42" s="79">
        <v>1979992</v>
      </c>
      <c r="E42" s="209" t="s">
        <v>134</v>
      </c>
      <c r="F42" s="210"/>
      <c r="G42" s="210"/>
      <c r="H42" s="208"/>
      <c r="I42" s="47" t="s">
        <v>70</v>
      </c>
      <c r="J42" s="3"/>
      <c r="K42" s="207"/>
      <c r="L42" s="210"/>
      <c r="M42" s="208"/>
      <c r="N42" s="52"/>
      <c r="O42" s="211"/>
      <c r="P42" s="212"/>
      <c r="Q42" s="212"/>
      <c r="R42" s="213"/>
      <c r="S42" s="211"/>
      <c r="T42" s="214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219"/>
      <c r="C43" s="223"/>
      <c r="D43" s="80"/>
      <c r="E43" s="224"/>
      <c r="F43" s="220"/>
      <c r="G43" s="220"/>
      <c r="H43" s="223"/>
      <c r="I43" s="48"/>
      <c r="J43" s="3"/>
      <c r="K43" s="219"/>
      <c r="L43" s="220"/>
      <c r="M43" s="223"/>
      <c r="N43" s="53"/>
      <c r="O43" s="225"/>
      <c r="P43" s="226"/>
      <c r="Q43" s="226"/>
      <c r="R43" s="227"/>
      <c r="S43" s="225"/>
      <c r="T43" s="228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229"/>
      <c r="C44" s="229"/>
      <c r="D44" s="215"/>
      <c r="E44" s="215"/>
      <c r="F44" s="56"/>
      <c r="G44" s="215"/>
      <c r="H44" s="215"/>
      <c r="I44" s="215"/>
      <c r="J44" s="3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216" t="s">
        <v>41</v>
      </c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219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222"/>
      <c r="F50" s="222"/>
      <c r="G50" s="222"/>
    </row>
  </sheetData>
  <mergeCells count="102"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</mergeCells>
  <phoneticPr fontId="20" type="noConversion"/>
  <conditionalFormatting sqref="K27">
    <cfRule type="cellIs" dxfId="89" priority="35" stopIfTrue="1" operator="between">
      <formula>1</formula>
      <formula>300</formula>
    </cfRule>
    <cfRule type="cellIs" dxfId="88" priority="36" stopIfTrue="1" operator="lessThanOrEqual">
      <formula>0</formula>
    </cfRule>
  </conditionalFormatting>
  <conditionalFormatting sqref="K29">
    <cfRule type="cellIs" dxfId="87" priority="33" stopIfTrue="1" operator="between">
      <formula>1</formula>
      <formula>300</formula>
    </cfRule>
    <cfRule type="cellIs" dxfId="86" priority="34" stopIfTrue="1" operator="lessThanOrEqual">
      <formula>0</formula>
    </cfRule>
  </conditionalFormatting>
  <conditionalFormatting sqref="K31">
    <cfRule type="cellIs" dxfId="85" priority="31" stopIfTrue="1" operator="between">
      <formula>1</formula>
      <formula>300</formula>
    </cfRule>
    <cfRule type="cellIs" dxfId="84" priority="32" stopIfTrue="1" operator="lessThanOrEqual">
      <formula>0</formula>
    </cfRule>
  </conditionalFormatting>
  <conditionalFormatting sqref="K9:P9">
    <cfRule type="cellIs" dxfId="83" priority="3" stopIfTrue="1" operator="between">
      <formula>1</formula>
      <formula>300</formula>
    </cfRule>
    <cfRule type="cellIs" dxfId="82" priority="4" stopIfTrue="1" operator="lessThanOrEqual">
      <formula>0</formula>
    </cfRule>
  </conditionalFormatting>
  <conditionalFormatting sqref="K11:P11">
    <cfRule type="cellIs" dxfId="81" priority="1" stopIfTrue="1" operator="between">
      <formula>1</formula>
      <formula>300</formula>
    </cfRule>
    <cfRule type="cellIs" dxfId="80" priority="2" stopIfTrue="1" operator="lessThanOrEqual">
      <formula>0</formula>
    </cfRule>
  </conditionalFormatting>
  <conditionalFormatting sqref="K13:P13">
    <cfRule type="cellIs" dxfId="79" priority="11" stopIfTrue="1" operator="between">
      <formula>1</formula>
      <formula>300</formula>
    </cfRule>
    <cfRule type="cellIs" dxfId="78" priority="12" stopIfTrue="1" operator="lessThanOrEqual">
      <formula>0</formula>
    </cfRule>
  </conditionalFormatting>
  <conditionalFormatting sqref="K15:P15">
    <cfRule type="cellIs" dxfId="77" priority="13" stopIfTrue="1" operator="between">
      <formula>1</formula>
      <formula>300</formula>
    </cfRule>
    <cfRule type="cellIs" dxfId="76" priority="14" stopIfTrue="1" operator="lessThanOrEqual">
      <formula>0</formula>
    </cfRule>
  </conditionalFormatting>
  <conditionalFormatting sqref="K17:P17">
    <cfRule type="cellIs" dxfId="75" priority="19" stopIfTrue="1" operator="between">
      <formula>1</formula>
      <formula>300</formula>
    </cfRule>
    <cfRule type="cellIs" dxfId="74" priority="20" stopIfTrue="1" operator="lessThanOrEqual">
      <formula>0</formula>
    </cfRule>
  </conditionalFormatting>
  <conditionalFormatting sqref="K19:P19">
    <cfRule type="cellIs" dxfId="73" priority="5" stopIfTrue="1" operator="between">
      <formula>1</formula>
      <formula>300</formula>
    </cfRule>
    <cfRule type="cellIs" dxfId="72" priority="6" stopIfTrue="1" operator="lessThanOrEqual">
      <formula>0</formula>
    </cfRule>
  </conditionalFormatting>
  <conditionalFormatting sqref="K21:P21">
    <cfRule type="cellIs" dxfId="71" priority="7" stopIfTrue="1" operator="between">
      <formula>1</formula>
      <formula>300</formula>
    </cfRule>
    <cfRule type="cellIs" dxfId="70" priority="8" stopIfTrue="1" operator="lessThanOrEqual">
      <formula>0</formula>
    </cfRule>
  </conditionalFormatting>
  <conditionalFormatting sqref="K23:P23">
    <cfRule type="cellIs" dxfId="69" priority="9" stopIfTrue="1" operator="between">
      <formula>1</formula>
      <formula>300</formula>
    </cfRule>
    <cfRule type="cellIs" dxfId="68" priority="10" stopIfTrue="1" operator="lessThanOrEqual">
      <formula>0</formula>
    </cfRule>
  </conditionalFormatting>
  <conditionalFormatting sqref="K25:P25">
    <cfRule type="cellIs" dxfId="67" priority="21" stopIfTrue="1" operator="between">
      <formula>1</formula>
      <formula>300</formula>
    </cfRule>
    <cfRule type="cellIs" dxfId="66" priority="22" stopIfTrue="1" operator="lessThanOrEqual">
      <formula>0</formula>
    </cfRule>
  </conditionalFormatting>
  <conditionalFormatting sqref="L27:N27">
    <cfRule type="cellIs" dxfId="65" priority="59" stopIfTrue="1" operator="between">
      <formula>1</formula>
      <formula>300</formula>
    </cfRule>
    <cfRule type="cellIs" dxfId="64" priority="60" stopIfTrue="1" operator="lessThanOrEqual">
      <formula>0</formula>
    </cfRule>
  </conditionalFormatting>
  <conditionalFormatting sqref="L29:N29">
    <cfRule type="cellIs" dxfId="63" priority="57" stopIfTrue="1" operator="between">
      <formula>1</formula>
      <formula>300</formula>
    </cfRule>
    <cfRule type="cellIs" dxfId="62" priority="58" stopIfTrue="1" operator="lessThanOrEqual">
      <formula>0</formula>
    </cfRule>
  </conditionalFormatting>
  <conditionalFormatting sqref="L31:N31">
    <cfRule type="cellIs" dxfId="61" priority="55" stopIfTrue="1" operator="between">
      <formula>1</formula>
      <formula>300</formula>
    </cfRule>
    <cfRule type="cellIs" dxfId="6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"44,48,53,56,58,60,63,65,69,71,77,'+77,79,86,'+86,88,94,'+94,110,'´110"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9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D0A2-D624-4706-8171-BC771477EB96}">
  <sheetPr>
    <pageSetUpPr autoPageBreaks="0" fitToPage="1"/>
  </sheetPr>
  <dimension ref="A1:AJ50"/>
  <sheetViews>
    <sheetView showGridLines="0" showRowColHeaders="0" showZeros="0" showOutlineSymbols="0" topLeftCell="A6" zoomScale="80" zoomScaleNormal="80" zoomScaleSheetLayoutView="75" zoomScalePageLayoutView="120" workbookViewId="0">
      <selection activeCell="I40" sqref="I40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6" width="6.4414062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186" t="s">
        <v>57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5"/>
      <c r="T2" s="15"/>
      <c r="U2" s="83" t="s">
        <v>58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84"/>
      <c r="F3" s="15"/>
      <c r="G3" s="187" t="s">
        <v>21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188" t="s">
        <v>159</v>
      </c>
      <c r="E5" s="188"/>
      <c r="F5" s="188"/>
      <c r="G5" s="188"/>
      <c r="H5" s="188"/>
      <c r="I5" s="188"/>
      <c r="J5" s="24" t="s">
        <v>0</v>
      </c>
      <c r="K5" s="188" t="s">
        <v>70</v>
      </c>
      <c r="L5" s="188"/>
      <c r="M5" s="188"/>
      <c r="N5" s="188"/>
      <c r="O5" s="24" t="s">
        <v>1</v>
      </c>
      <c r="P5" s="189" t="s">
        <v>147</v>
      </c>
      <c r="Q5" s="189"/>
      <c r="R5" s="189"/>
      <c r="S5" s="189"/>
      <c r="T5" s="24" t="s">
        <v>2</v>
      </c>
      <c r="U5" s="190">
        <v>46179</v>
      </c>
      <c r="V5" s="190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177" t="s">
        <v>56</v>
      </c>
    </row>
    <row r="7" spans="1:36" s="1" customFormat="1" x14ac:dyDescent="0.25">
      <c r="B7" s="178" t="s">
        <v>33</v>
      </c>
      <c r="C7" s="180" t="s">
        <v>52</v>
      </c>
      <c r="D7" s="180" t="s">
        <v>51</v>
      </c>
      <c r="E7" s="182" t="s">
        <v>53</v>
      </c>
      <c r="F7" s="184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77"/>
    </row>
    <row r="8" spans="1:36" s="1" customFormat="1" x14ac:dyDescent="0.25">
      <c r="B8" s="179"/>
      <c r="C8" s="181"/>
      <c r="D8" s="181"/>
      <c r="E8" s="183"/>
      <c r="F8" s="185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50">
        <v>2007021</v>
      </c>
      <c r="C9" s="153" t="s">
        <v>115</v>
      </c>
      <c r="D9" s="152">
        <v>66.19</v>
      </c>
      <c r="E9" s="151" t="s">
        <v>93</v>
      </c>
      <c r="F9" s="153" t="s">
        <v>64</v>
      </c>
      <c r="G9" s="154">
        <v>39296</v>
      </c>
      <c r="H9" s="155">
        <v>1</v>
      </c>
      <c r="I9" s="156" t="s">
        <v>129</v>
      </c>
      <c r="J9" s="157" t="s">
        <v>114</v>
      </c>
      <c r="K9" s="158">
        <v>-48</v>
      </c>
      <c r="L9" s="159">
        <v>-48</v>
      </c>
      <c r="M9" s="159">
        <v>-48</v>
      </c>
      <c r="N9" s="158">
        <v>62</v>
      </c>
      <c r="O9" s="159">
        <v>-66</v>
      </c>
      <c r="P9" s="159">
        <v>-66</v>
      </c>
      <c r="Q9" s="160" t="str">
        <f>IF(MAX(K9:M9)&gt;0,IF(MAX(K9:M9)&lt;0,0,TRUNC(MAX(K9:M9)/1)*1),"")</f>
        <v/>
      </c>
      <c r="R9" s="161">
        <f>IF(MAX(N9:P9)&gt;0,IF(MAX(N9:P9)&lt;0,0,TRUNC(MAX(N9:P9)/1)*1),"")</f>
        <v>62</v>
      </c>
      <c r="S9" s="161" t="str">
        <f>IF(Q9="","",IF(R9="","",IF(SUM(Q9:R9)=0,"",SUM(Q9:R9))))</f>
        <v/>
      </c>
      <c r="T9" s="162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163" t="str">
        <f>IF(AF9=1,T9*AI9,"")</f>
        <v/>
      </c>
      <c r="V9" s="164">
        <v>5.86</v>
      </c>
      <c r="W9" s="164">
        <v>4.55</v>
      </c>
      <c r="X9" s="164">
        <v>7.88</v>
      </c>
      <c r="Y9" s="162"/>
      <c r="Z9" s="165"/>
      <c r="AA9" s="165"/>
      <c r="AB9" s="166"/>
      <c r="AC9" s="68">
        <f>U5</f>
        <v>46179</v>
      </c>
      <c r="AD9" s="69" t="str">
        <f>IF(ISNUMBER(FIND("M",E9)),"m",IF(ISNUMBER(FIND("K",E9)),"k"))</f>
        <v>k</v>
      </c>
      <c r="AE9" s="67">
        <f>IF(OR(G9="",AC9=""),0,(YEAR(AC9)-YEAR(G9)))</f>
        <v>19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1.43562803228957</v>
      </c>
    </row>
    <row r="10" spans="1:36" s="8" customFormat="1" ht="19.95" customHeight="1" x14ac:dyDescent="0.25">
      <c r="B10" s="94"/>
      <c r="C10" s="95"/>
      <c r="D10" s="95"/>
      <c r="E10" s="95"/>
      <c r="F10" s="96"/>
      <c r="G10" s="97"/>
      <c r="H10" s="98"/>
      <c r="I10" s="156"/>
      <c r="J10" s="99"/>
      <c r="K10" s="191"/>
      <c r="L10" s="191"/>
      <c r="M10" s="191"/>
      <c r="N10" s="192"/>
      <c r="O10" s="192"/>
      <c r="P10" s="192"/>
      <c r="Q10" s="100"/>
      <c r="R10" s="95"/>
      <c r="S10" s="191" t="str">
        <f>IF(T9="","",T9*1.2)</f>
        <v/>
      </c>
      <c r="T10" s="191"/>
      <c r="U10" s="95"/>
      <c r="V10" s="95">
        <f>IF(V9&gt;0,V9*20,"")</f>
        <v>117.2</v>
      </c>
      <c r="W10" s="95">
        <f>IF(W9="","",(W9*10)*AJ9)</f>
        <v>65.32107546917544</v>
      </c>
      <c r="X10" s="101">
        <f>IF(ROUNDUP(X9,1)&gt;0,IF((80+(8-ROUNDUP(X9,1))*40)&lt;0,0,80+(8-ROUNDUP(X9,1))*40),"")</f>
        <v>84.000000000000028</v>
      </c>
      <c r="Y10" s="102">
        <f>IF(SUM(V10,W10,X10)&gt;0,SUM(V10,W10,X10),"")</f>
        <v>266.52107546917546</v>
      </c>
      <c r="Z10" s="103" t="str">
        <f>IF(AE9&gt;34,(IF(OR(S10="",V10="",W10="",X10=""),"",SUM(S10,V10,W10,X10))*AI9),IF(OR(S10="",V10="",W10="",X10=""),"", SUM(S10,V10,W10,X10)))</f>
        <v/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19.95" customHeight="1" x14ac:dyDescent="0.25">
      <c r="B11" s="106"/>
      <c r="C11" s="109"/>
      <c r="D11" s="108"/>
      <c r="E11" s="107"/>
      <c r="F11" s="109"/>
      <c r="G11" s="110"/>
      <c r="H11" s="111"/>
      <c r="I11" s="99"/>
      <c r="J11" s="113"/>
      <c r="K11" s="114"/>
      <c r="L11" s="115"/>
      <c r="M11" s="115"/>
      <c r="N11" s="114"/>
      <c r="O11" s="115"/>
      <c r="P11" s="115"/>
      <c r="Q11" s="116" t="str">
        <f>IF(MAX(K11:M11)&gt;0,IF(MAX(K11:M11)&lt;0,0,TRUNC(MAX(K11:M11)/1)*1),"")</f>
        <v/>
      </c>
      <c r="R11" s="117" t="str">
        <f>IF(MAX(N11:P11)&gt;0,IF(MAX(N11:P11)&lt;0,0,TRUNC(MAX(N11:P11)/1)*1),"")</f>
        <v/>
      </c>
      <c r="S11" s="117" t="str">
        <f>IF(Q11="","",IF(R11="","",IF(SUM(Q11:R11)=0,"",SUM(Q11:R11))))</f>
        <v/>
      </c>
      <c r="T11" s="118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119" t="str">
        <f>IF(AF11=1,T11*AI11,"")</f>
        <v/>
      </c>
      <c r="V11" s="120"/>
      <c r="W11" s="120"/>
      <c r="X11" s="120"/>
      <c r="Y11" s="121"/>
      <c r="Z11" s="122"/>
      <c r="AA11" s="122"/>
      <c r="AB11" s="123"/>
      <c r="AC11" s="66">
        <f>U5</f>
        <v>46179</v>
      </c>
      <c r="AD11" s="69" t="b">
        <f>IF(ISNUMBER(FIND("M",E11)),"m",IF(ISNUMBER(FIND("K",E11)),"k"))</f>
        <v>0</v>
      </c>
      <c r="AE11" s="67">
        <f>IF(OR(G11="",AC11=""),0,(YEAR(AC11)-YEAR(G11)))</f>
        <v>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str">
        <f>IF(AD11="m",AG11,IF(AD11="k",AH11,""))</f>
        <v/>
      </c>
      <c r="AJ11" s="86" t="str">
        <f>IF(D11="","",IF(D11&gt;193.609,1,IF(D11&lt;32,10^(0.722762521*LOG10(32/193.609)^2),10^(0.722762521*LOG10(D11/193.609)^2))))</f>
        <v/>
      </c>
    </row>
    <row r="12" spans="1:36" s="8" customFormat="1" ht="19.95" customHeight="1" x14ac:dyDescent="0.25">
      <c r="B12" s="105"/>
      <c r="C12" s="95"/>
      <c r="D12" s="95"/>
      <c r="E12" s="95"/>
      <c r="F12" s="96"/>
      <c r="G12" s="97"/>
      <c r="H12" s="98"/>
      <c r="I12" s="156"/>
      <c r="J12" s="99"/>
      <c r="K12" s="191"/>
      <c r="L12" s="191"/>
      <c r="M12" s="191"/>
      <c r="N12" s="192"/>
      <c r="O12" s="192"/>
      <c r="P12" s="192"/>
      <c r="Q12" s="100"/>
      <c r="R12" s="95"/>
      <c r="S12" s="191" t="str">
        <f>IF(T11="","",T11*1.2)</f>
        <v/>
      </c>
      <c r="T12" s="191"/>
      <c r="U12" s="103"/>
      <c r="V12" s="95" t="str">
        <f>IF(V11&gt;0,V11*20,"")</f>
        <v/>
      </c>
      <c r="W12" s="95" t="str">
        <f>IF(W11="","",(W11*10)*AJ11)</f>
        <v/>
      </c>
      <c r="X12" s="101" t="str">
        <f>IF(ROUNDUP(X11,1)&gt;0,IF((80+(8-ROUNDUP(X11,1))*40)&lt;0,0,80+(8-ROUNDUP(X11,1))*40),"")</f>
        <v/>
      </c>
      <c r="Y12" s="102" t="str">
        <f>IF(SUM(V12,W12,X12)&gt;0,SUM(V12,W12,X12),"")</f>
        <v/>
      </c>
      <c r="Z12" s="103" t="str">
        <f>IF(AE11&gt;34,(IF(OR(S12="",V12="",W12="",X12=""),"",SUM(S12,V12,W12,X12))*AI11),IF(OR(S12="",V12="",W12="",X12=""),"", SUM(S12,V12,W12,X12)))</f>
        <v/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19.95" customHeight="1" x14ac:dyDescent="0.25">
      <c r="B13" s="124" t="s">
        <v>96</v>
      </c>
      <c r="C13" s="107" t="s">
        <v>131</v>
      </c>
      <c r="D13" s="108">
        <v>55.63</v>
      </c>
      <c r="E13" s="107" t="s">
        <v>92</v>
      </c>
      <c r="F13" s="109" t="s">
        <v>65</v>
      </c>
      <c r="G13" s="110">
        <v>35320</v>
      </c>
      <c r="H13" s="111">
        <v>2</v>
      </c>
      <c r="I13" s="99" t="s">
        <v>95</v>
      </c>
      <c r="J13" s="113" t="s">
        <v>70</v>
      </c>
      <c r="K13" s="114">
        <v>76</v>
      </c>
      <c r="L13" s="115">
        <v>79</v>
      </c>
      <c r="M13" s="115">
        <v>80</v>
      </c>
      <c r="N13" s="114">
        <v>99</v>
      </c>
      <c r="O13" s="115">
        <v>102</v>
      </c>
      <c r="P13" s="115">
        <v>104</v>
      </c>
      <c r="Q13" s="116">
        <f>IF(MAX(K13:M13)&gt;0,IF(MAX(K13:M13)&lt;0,0,TRUNC(MAX(K13:M13)/1)*1),"")</f>
        <v>80</v>
      </c>
      <c r="R13" s="117">
        <f>IF(MAX(N13:P13)&gt;0,IF(MAX(N13:P13)&lt;0,0,TRUNC(MAX(N13:P13)/1)*1),"")</f>
        <v>104</v>
      </c>
      <c r="S13" s="117">
        <f>IF(Q13="","",IF(R13="","",IF(SUM(Q13:R13)=0,"",SUM(Q13:R13))))</f>
        <v>184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261.9632893878719</v>
      </c>
      <c r="U13" s="119" t="str">
        <f>IF(AF13=1,T13*AI13,"")</f>
        <v/>
      </c>
      <c r="V13" s="120">
        <v>7.41</v>
      </c>
      <c r="W13" s="120">
        <v>9.9</v>
      </c>
      <c r="X13" s="120">
        <v>6.66</v>
      </c>
      <c r="Y13" s="125"/>
      <c r="Z13" s="122"/>
      <c r="AA13" s="122" t="s">
        <v>148</v>
      </c>
      <c r="AB13" s="123"/>
      <c r="AC13" s="66">
        <f>U5</f>
        <v>46179</v>
      </c>
      <c r="AD13" s="69" t="str">
        <f>IF(ISNUMBER(FIND("M",E13)),"m",IF(ISNUMBER(FIND("K",E13)),"k"))</f>
        <v>k</v>
      </c>
      <c r="AE13" s="67">
        <f>IF(OR(G13="",AC13=""),0,(YEAR(AC13)-YEAR(G13)))</f>
        <v>30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1.6293757140132163</v>
      </c>
    </row>
    <row r="14" spans="1:36" s="8" customFormat="1" ht="19.95" customHeight="1" x14ac:dyDescent="0.25">
      <c r="B14" s="105"/>
      <c r="C14" s="95"/>
      <c r="D14" s="95"/>
      <c r="E14" s="95"/>
      <c r="F14" s="96"/>
      <c r="G14" s="97"/>
      <c r="H14" s="98"/>
      <c r="I14" s="112"/>
      <c r="J14" s="99"/>
      <c r="K14" s="191"/>
      <c r="L14" s="191"/>
      <c r="M14" s="191"/>
      <c r="N14" s="192"/>
      <c r="O14" s="192"/>
      <c r="P14" s="192"/>
      <c r="Q14" s="100"/>
      <c r="R14" s="95"/>
      <c r="S14" s="191">
        <f>IF(T13="","",T13*1.2)</f>
        <v>314.35594726544628</v>
      </c>
      <c r="T14" s="191"/>
      <c r="U14" s="95"/>
      <c r="V14" s="95">
        <f>IF(V13&gt;0,V13*20,"")</f>
        <v>148.19999999999999</v>
      </c>
      <c r="W14" s="95">
        <f>IF(W13="","",(W13*10)*AJ13)</f>
        <v>161.30819568730843</v>
      </c>
      <c r="X14" s="101">
        <f>IF(ROUNDUP(X13,1)&gt;0,IF((80+(8-ROUNDUP(X13,1))*40)&lt;0,0,80+(8-ROUNDUP(X13,1))*40),"")</f>
        <v>132.00000000000003</v>
      </c>
      <c r="Y14" s="102">
        <f>IF(SUM(V14,W14,X14)&gt;0,SUM(V14,W14,X14),"")</f>
        <v>441.50819568730844</v>
      </c>
      <c r="Z14" s="103">
        <f>IF(AE13&gt;34,(IF(OR(S14="",V14="",W14="",X14=""),"",SUM(S14,V14,W14,X14))*AI13),IF(OR(S14="",V14="",W14="",X14=""),"", SUM(S14,V14,W14,X14)))</f>
        <v>755.86414295275472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19.95" customHeight="1" x14ac:dyDescent="0.25">
      <c r="B15" s="124" t="s">
        <v>94</v>
      </c>
      <c r="C15" s="107" t="s">
        <v>115</v>
      </c>
      <c r="D15" s="108">
        <v>63.91</v>
      </c>
      <c r="E15" s="107" t="s">
        <v>92</v>
      </c>
      <c r="F15" s="109" t="s">
        <v>65</v>
      </c>
      <c r="G15" s="110">
        <v>36144</v>
      </c>
      <c r="H15" s="111">
        <v>3</v>
      </c>
      <c r="I15" s="99" t="s">
        <v>91</v>
      </c>
      <c r="J15" s="113" t="s">
        <v>70</v>
      </c>
      <c r="K15" s="114">
        <v>-60</v>
      </c>
      <c r="L15" s="115">
        <v>60</v>
      </c>
      <c r="M15" s="115">
        <v>65</v>
      </c>
      <c r="N15" s="114">
        <v>75</v>
      </c>
      <c r="O15" s="115">
        <v>80</v>
      </c>
      <c r="P15" s="115">
        <v>83</v>
      </c>
      <c r="Q15" s="116">
        <f>IF(MAX(K15:M15)&gt;0,IF(MAX(K15:M15)&lt;0,0,TRUNC(MAX(K15:M15)/1)*1),"")</f>
        <v>65</v>
      </c>
      <c r="R15" s="117">
        <f>IF(MAX(N15:P15)&gt;0,IF(MAX(N15:P15)&lt;0,0,TRUNC(MAX(N15:P15)/1)*1),"")</f>
        <v>83</v>
      </c>
      <c r="S15" s="117">
        <f>IF(Q15="","",IF(R15="","",IF(SUM(Q15:R15)=0,"",SUM(Q15:R15))))</f>
        <v>148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192.60327841696235</v>
      </c>
      <c r="U15" s="119" t="str">
        <f>IF(AF15=1,T15*AI15,"")</f>
        <v/>
      </c>
      <c r="V15" s="120">
        <v>7.21</v>
      </c>
      <c r="W15" s="120">
        <v>10.119999999999999</v>
      </c>
      <c r="X15" s="120">
        <v>6.61</v>
      </c>
      <c r="Y15" s="121"/>
      <c r="Z15" s="122"/>
      <c r="AA15" s="122" t="s">
        <v>149</v>
      </c>
      <c r="AB15" s="123"/>
      <c r="AC15" s="66">
        <f>U5</f>
        <v>46179</v>
      </c>
      <c r="AD15" s="69" t="str">
        <f>IF(ISNUMBER(FIND("M",E15)),"m",IF(ISNUMBER(FIND("K",E15)),"k"))</f>
        <v>k</v>
      </c>
      <c r="AE15" s="67">
        <f>IF(OR(G15="",AC15=""),0,(YEAR(AC15)-YEAR(G15)))</f>
        <v>28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1.4705072874532168</v>
      </c>
    </row>
    <row r="16" spans="1:36" s="8" customFormat="1" ht="19.95" customHeight="1" x14ac:dyDescent="0.25">
      <c r="B16" s="105"/>
      <c r="C16" s="95"/>
      <c r="D16" s="95"/>
      <c r="E16" s="95"/>
      <c r="F16" s="96"/>
      <c r="G16" s="97"/>
      <c r="H16" s="98"/>
      <c r="I16" s="112"/>
      <c r="J16" s="99"/>
      <c r="K16" s="191"/>
      <c r="L16" s="191"/>
      <c r="M16" s="191"/>
      <c r="N16" s="192"/>
      <c r="O16" s="192"/>
      <c r="P16" s="192"/>
      <c r="Q16" s="139"/>
      <c r="R16" s="140"/>
      <c r="S16" s="191">
        <f>IF(T15="","",T15*1.2)</f>
        <v>231.1239341003548</v>
      </c>
      <c r="T16" s="191"/>
      <c r="U16" s="95"/>
      <c r="V16" s="95">
        <f>IF(V15&gt;0,V15*20,"")</f>
        <v>144.19999999999999</v>
      </c>
      <c r="W16" s="95">
        <f>IF(W15="","",(W15*10)*AJ15)</f>
        <v>148.81533749026553</v>
      </c>
      <c r="X16" s="101">
        <f>IF(ROUNDUP(X15,1)&gt;0,IF((80+(8-ROUNDUP(X15,1))*40)&lt;0,0,80+(8-ROUNDUP(X15,1))*40),"")</f>
        <v>132.00000000000003</v>
      </c>
      <c r="Y16" s="102">
        <f>IF(SUM(V16,W16,X16)&gt;0,SUM(V16,W16,X16),"")</f>
        <v>425.01533749026555</v>
      </c>
      <c r="Z16" s="103">
        <f>IF(AE15&gt;34,(IF(OR(S16="",V16="",W16="",X16=""),"",SUM(S16,V16,W16,X16))*AI15),IF(OR(S16="",V16="",W16="",X16=""),"", SUM(S16,V16,W16,X16)))</f>
        <v>656.1392715906203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19.95" customHeight="1" x14ac:dyDescent="0.25">
      <c r="B17" s="124" t="s">
        <v>141</v>
      </c>
      <c r="C17" s="107" t="s">
        <v>132</v>
      </c>
      <c r="D17" s="108">
        <v>78.819999999999993</v>
      </c>
      <c r="E17" s="107" t="s">
        <v>92</v>
      </c>
      <c r="F17" s="109" t="s">
        <v>65</v>
      </c>
      <c r="G17" s="110">
        <v>37377</v>
      </c>
      <c r="H17" s="111">
        <v>4</v>
      </c>
      <c r="I17" s="99" t="s">
        <v>112</v>
      </c>
      <c r="J17" s="113" t="s">
        <v>103</v>
      </c>
      <c r="K17" s="114">
        <v>70</v>
      </c>
      <c r="L17" s="115">
        <v>-73</v>
      </c>
      <c r="M17" s="115">
        <v>-73</v>
      </c>
      <c r="N17" s="114">
        <v>83</v>
      </c>
      <c r="O17" s="115">
        <v>85</v>
      </c>
      <c r="P17" s="115">
        <v>88</v>
      </c>
      <c r="Q17" s="116">
        <f>IF(MAX(K17:M17)&gt;0,IF(MAX(K17:M17)&lt;0,0,TRUNC(MAX(K17:M17)/1)*1),"")</f>
        <v>70</v>
      </c>
      <c r="R17" s="117">
        <f>IF(MAX(N17:P17)&gt;0,IF(MAX(N17:P17)&lt;0,0,TRUNC(MAX(N17:P17)/1)*1),"")</f>
        <v>88</v>
      </c>
      <c r="S17" s="127">
        <f>IF(Q17="","",IF(R17="","",IF(SUM(Q17:R17)=0,"",SUM(Q17:R17))))</f>
        <v>158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184.04955656349989</v>
      </c>
      <c r="U17" s="119" t="str">
        <f>IF(AF17=1,T17*AI17,"")</f>
        <v/>
      </c>
      <c r="V17" s="120">
        <v>7.49</v>
      </c>
      <c r="W17" s="120">
        <v>12.15</v>
      </c>
      <c r="X17" s="120">
        <v>6.56</v>
      </c>
      <c r="Y17" s="121"/>
      <c r="Z17" s="122"/>
      <c r="AA17" s="122" t="s">
        <v>150</v>
      </c>
      <c r="AB17" s="123"/>
      <c r="AC17" s="66">
        <f>U5</f>
        <v>46179</v>
      </c>
      <c r="AD17" s="69" t="str">
        <f>IF(ISNUMBER(FIND("M",E17)),"m",IF(ISNUMBER(FIND("K",E17)),"k"))</f>
        <v>k</v>
      </c>
      <c r="AE17" s="67">
        <f>IF(OR(G17="",AC17=""),0,(YEAR(AC17)-YEAR(G17)))</f>
        <v>24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1.2885320570525238</v>
      </c>
    </row>
    <row r="18" spans="2:36" s="8" customFormat="1" ht="19.95" customHeight="1" x14ac:dyDescent="0.25">
      <c r="B18" s="105"/>
      <c r="C18" s="95"/>
      <c r="D18" s="95"/>
      <c r="E18" s="95"/>
      <c r="F18" s="96"/>
      <c r="G18" s="97"/>
      <c r="H18" s="98"/>
      <c r="I18" s="99"/>
      <c r="J18" s="99"/>
      <c r="K18" s="191"/>
      <c r="L18" s="191"/>
      <c r="M18" s="191"/>
      <c r="N18" s="192"/>
      <c r="O18" s="192"/>
      <c r="P18" s="192"/>
      <c r="Q18" s="100"/>
      <c r="R18" s="95"/>
      <c r="S18" s="191">
        <f>IF(T17="","",T17*1.2)</f>
        <v>220.85946787619986</v>
      </c>
      <c r="T18" s="191"/>
      <c r="U18" s="95"/>
      <c r="V18" s="95">
        <f>IF(V17&gt;0,V17*20,"")</f>
        <v>149.80000000000001</v>
      </c>
      <c r="W18" s="95">
        <f>IF(W17="","",(W17*10)*AJ17)</f>
        <v>156.55664493188164</v>
      </c>
      <c r="X18" s="101">
        <f>IF(ROUNDUP(X17,1)&gt;0,IF((80+(8-ROUNDUP(X17,1))*40)&lt;0,0,80+(8-ROUNDUP(X17,1))*40),"")</f>
        <v>136</v>
      </c>
      <c r="Y18" s="102">
        <f>IF(SUM(V18,W18,X18)&gt;0,SUM(V18,W18,X18),"")</f>
        <v>442.35664493188165</v>
      </c>
      <c r="Z18" s="103">
        <f>IF(AE17&gt;34,(IF(OR(S18="",V18="",W18="",X18=""),"",SUM(S18,V18,W18,X18))*AI17),IF(OR(S18="",V18="",W18="",X18=""),"", SUM(S18,V18,W18,X18)))</f>
        <v>663.21611280808156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19.95" customHeight="1" x14ac:dyDescent="0.3">
      <c r="B19" s="124" t="s">
        <v>145</v>
      </c>
      <c r="C19" s="107" t="s">
        <v>132</v>
      </c>
      <c r="D19" s="108">
        <v>79.06</v>
      </c>
      <c r="E19" s="107" t="s">
        <v>92</v>
      </c>
      <c r="F19" s="109" t="s">
        <v>65</v>
      </c>
      <c r="G19" s="110">
        <v>37149</v>
      </c>
      <c r="H19" s="111">
        <v>5</v>
      </c>
      <c r="I19" s="126" t="s">
        <v>146</v>
      </c>
      <c r="J19" s="113" t="s">
        <v>103</v>
      </c>
      <c r="K19" s="114">
        <v>50</v>
      </c>
      <c r="L19" s="115">
        <v>55</v>
      </c>
      <c r="M19" s="115">
        <v>60</v>
      </c>
      <c r="N19" s="114">
        <v>70</v>
      </c>
      <c r="O19" s="115">
        <v>75</v>
      </c>
      <c r="P19" s="115">
        <v>78</v>
      </c>
      <c r="Q19" s="116">
        <f>IF(MAX(K19:M19)&gt;0,IF(MAX(K19:M19)&lt;0,0,TRUNC(MAX(K19:M19)/1)*1),"")</f>
        <v>60</v>
      </c>
      <c r="R19" s="117">
        <f>IF(MAX(N19:P19)&gt;0,IF(MAX(N19:P19)&lt;0,0,TRUNC(MAX(N19:P19)/1)*1),"")</f>
        <v>78</v>
      </c>
      <c r="S19" s="127">
        <f>IF(Q19="","",IF(R19="","",IF(SUM(Q19:R19)=0,"",SUM(Q19:R19))))</f>
        <v>138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160.52956569224051</v>
      </c>
      <c r="U19" s="119" t="str">
        <f>IF(AF19=1,T19*AI19,"")</f>
        <v/>
      </c>
      <c r="V19" s="120">
        <v>6.08</v>
      </c>
      <c r="W19" s="120">
        <v>11.05</v>
      </c>
      <c r="X19" s="120">
        <v>7.28</v>
      </c>
      <c r="Y19" s="121"/>
      <c r="Z19" s="122"/>
      <c r="AA19" s="122" t="s">
        <v>151</v>
      </c>
      <c r="AB19" s="123"/>
      <c r="AC19" s="66">
        <f>U5</f>
        <v>46179</v>
      </c>
      <c r="AD19" s="69" t="str">
        <f>IF(ISNUMBER(FIND("M",E19)),"m",IF(ISNUMBER(FIND("K",E19)),"k"))</f>
        <v>k</v>
      </c>
      <c r="AE19" s="67">
        <f>IF(OR(G19="",AC19=""),0,(YEAR(AC19)-YEAR(G19)))</f>
        <v>25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1.2863275336674447</v>
      </c>
    </row>
    <row r="20" spans="2:36" s="8" customFormat="1" ht="19.95" customHeight="1" x14ac:dyDescent="0.25">
      <c r="B20" s="105"/>
      <c r="C20" s="95"/>
      <c r="D20" s="95"/>
      <c r="E20" s="95"/>
      <c r="F20" s="96"/>
      <c r="G20" s="97"/>
      <c r="H20" s="98"/>
      <c r="I20" s="99"/>
      <c r="J20" s="99"/>
      <c r="K20" s="191"/>
      <c r="L20" s="191"/>
      <c r="M20" s="191"/>
      <c r="N20" s="192"/>
      <c r="O20" s="192"/>
      <c r="P20" s="192"/>
      <c r="Q20" s="100"/>
      <c r="R20" s="95"/>
      <c r="S20" s="191">
        <f>IF(T19="","",T19*1.2)</f>
        <v>192.63547883068861</v>
      </c>
      <c r="T20" s="191"/>
      <c r="U20" s="95"/>
      <c r="V20" s="95">
        <f>IF(V19&gt;0,V19*20,"")</f>
        <v>121.6</v>
      </c>
      <c r="W20" s="95">
        <f>IF(W19="","",(W19*10)*AJ19)</f>
        <v>142.13919247025262</v>
      </c>
      <c r="X20" s="101">
        <f>IF(ROUNDUP(X19,1)&gt;0,IF((80+(8-ROUNDUP(X19,1))*40)&lt;0,0,80+(8-ROUNDUP(X19,1))*40),"")</f>
        <v>108</v>
      </c>
      <c r="Y20" s="102">
        <f>IF(SUM(V20,W20,X20)&gt;0,SUM(V20,W20,X20),"")</f>
        <v>371.73919247025265</v>
      </c>
      <c r="Z20" s="103">
        <f>IF(AE19&gt;34,(IF(OR(S20="",V20="",W20="",X20=""),"",SUM(S20,V20,W20,X20))*AI19),IF(OR(S20="",V20="",W20="",X20=""),"", SUM(S20,V20,W20,X20)))</f>
        <v>564.37467130094126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19.95" customHeight="1" x14ac:dyDescent="0.3">
      <c r="B21" s="124" t="s">
        <v>126</v>
      </c>
      <c r="C21" s="107" t="s">
        <v>131</v>
      </c>
      <c r="D21" s="108">
        <v>53.81</v>
      </c>
      <c r="E21" s="107" t="s">
        <v>92</v>
      </c>
      <c r="F21" s="109" t="s">
        <v>65</v>
      </c>
      <c r="G21" s="110">
        <v>34413</v>
      </c>
      <c r="H21" s="111">
        <v>6</v>
      </c>
      <c r="I21" s="126" t="s">
        <v>144</v>
      </c>
      <c r="J21" s="113" t="s">
        <v>113</v>
      </c>
      <c r="K21" s="114">
        <v>68</v>
      </c>
      <c r="L21" s="115">
        <v>71</v>
      </c>
      <c r="M21" s="115">
        <v>73</v>
      </c>
      <c r="N21" s="114">
        <v>85</v>
      </c>
      <c r="O21" s="115">
        <v>88</v>
      </c>
      <c r="P21" s="115">
        <v>90</v>
      </c>
      <c r="Q21" s="116">
        <f>IF(MAX(K21:M21)&gt;0,IF(MAX(K21:M21)&lt;0,0,TRUNC(MAX(K21:M21)/1)*1),"")</f>
        <v>73</v>
      </c>
      <c r="R21" s="117">
        <f>IF(MAX(N21:P21)&gt;0,IF(MAX(N21:P21)&lt;0,0,TRUNC(MAX(N21:P21)/1)*1),"")</f>
        <v>90</v>
      </c>
      <c r="S21" s="127">
        <f>IF(Q21="","",IF(R21="","",IF(SUM(Q21:R21)=0,"",SUM(Q21:R21))))</f>
        <v>163</v>
      </c>
      <c r="T21" s="118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237.58224090627948</v>
      </c>
      <c r="U21" s="119" t="str">
        <f>IF(AF21=1,T21*AI21,"")</f>
        <v/>
      </c>
      <c r="V21" s="120">
        <v>7.96</v>
      </c>
      <c r="W21" s="120">
        <v>12.43</v>
      </c>
      <c r="X21" s="120">
        <v>6.37</v>
      </c>
      <c r="Y21" s="121"/>
      <c r="Z21" s="122"/>
      <c r="AA21" s="122" t="s">
        <v>99</v>
      </c>
      <c r="AB21" s="123"/>
      <c r="AC21" s="66">
        <f>U5</f>
        <v>46179</v>
      </c>
      <c r="AD21" s="69" t="str">
        <f>IF(ISNUMBER(FIND("M",E21)),"m",IF(ISNUMBER(FIND("K",E21)),"k"))</f>
        <v>k</v>
      </c>
      <c r="AE21" s="67">
        <f>IF(OR(G21="",AC21=""),0,(YEAR(AC21)-YEAR(G21)))</f>
        <v>32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6">
        <f>IF(D21="","",IF(D21&gt;193.609,1,IF(D21&lt;32,10^(0.722762521*LOG10(32/193.609)^2),10^(0.722762521*LOG10(D21/193.609)^2))))</f>
        <v>1.6729470271617166</v>
      </c>
    </row>
    <row r="22" spans="2:36" s="8" customFormat="1" ht="19.95" customHeight="1" x14ac:dyDescent="0.25">
      <c r="B22" s="105"/>
      <c r="C22" s="95"/>
      <c r="D22" s="95"/>
      <c r="E22" s="95"/>
      <c r="F22" s="96"/>
      <c r="G22" s="97"/>
      <c r="H22" s="98"/>
      <c r="I22" s="99"/>
      <c r="J22" s="99"/>
      <c r="K22" s="191"/>
      <c r="L22" s="191"/>
      <c r="M22" s="191"/>
      <c r="N22" s="192"/>
      <c r="O22" s="192"/>
      <c r="P22" s="192"/>
      <c r="Q22" s="100"/>
      <c r="R22" s="95"/>
      <c r="S22" s="191">
        <f>IF(T21="","",T21*1.2)</f>
        <v>285.09868908753538</v>
      </c>
      <c r="T22" s="191"/>
      <c r="U22" s="95"/>
      <c r="V22" s="95">
        <f>IF(V21&gt;0,V21*20,"")</f>
        <v>159.19999999999999</v>
      </c>
      <c r="W22" s="95">
        <f>IF(W21="","",(W21*10)*AJ21)</f>
        <v>207.94731547620137</v>
      </c>
      <c r="X22" s="101">
        <f>IF(ROUNDUP(X21,1)&gt;0,IF((80+(8-ROUNDUP(X21,1))*40)&lt;0,0,80+(8-ROUNDUP(X21,1))*40),"")</f>
        <v>144.00000000000003</v>
      </c>
      <c r="Y22" s="102">
        <f>IF(SUM(V22,W22,X22)&gt;0,SUM(V22,W22,X22),"")</f>
        <v>511.14731547620136</v>
      </c>
      <c r="Z22" s="103">
        <f>IF(AE21&gt;34,(IF(OR(S22="",V22="",W22="",X22=""),"",SUM(S22,V22,W22,X22))*AI21),IF(OR(S22="",V22="",W22="",X22=""),"", SUM(S22,V22,W22,X22)))</f>
        <v>796.24600456373673</v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19.95" customHeight="1" x14ac:dyDescent="0.25">
      <c r="B23" s="124" t="s">
        <v>88</v>
      </c>
      <c r="C23" s="107" t="s">
        <v>130</v>
      </c>
      <c r="D23" s="108">
        <v>75.099999999999994</v>
      </c>
      <c r="E23" s="107" t="s">
        <v>89</v>
      </c>
      <c r="F23" s="109" t="s">
        <v>66</v>
      </c>
      <c r="G23" s="110">
        <v>32509</v>
      </c>
      <c r="H23" s="111">
        <v>7</v>
      </c>
      <c r="I23" s="112" t="s">
        <v>90</v>
      </c>
      <c r="J23" s="113" t="s">
        <v>70</v>
      </c>
      <c r="K23" s="114">
        <v>75</v>
      </c>
      <c r="L23" s="115">
        <v>78</v>
      </c>
      <c r="M23" s="115">
        <v>81</v>
      </c>
      <c r="N23" s="114">
        <v>92</v>
      </c>
      <c r="O23" s="115">
        <v>97</v>
      </c>
      <c r="P23" s="115">
        <v>99</v>
      </c>
      <c r="Q23" s="116">
        <f>IF(MAX(K23:M23)&gt;0,IF(MAX(K23:M23)&lt;0,0,TRUNC(MAX(K23:M23)/1)*1),"")</f>
        <v>81</v>
      </c>
      <c r="R23" s="117">
        <f>IF(MAX(N23:P23)&gt;0,IF(MAX(N23:P23)&lt;0,0,TRUNC(MAX(N23:P23)/1)*1),"")</f>
        <v>99</v>
      </c>
      <c r="S23" s="127">
        <f>IF(Q23="","",IF(R23="","",IF(SUM(Q23:R23)=0,"",SUM(Q23:R23))))</f>
        <v>180</v>
      </c>
      <c r="T23" s="118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214.52989388246712</v>
      </c>
      <c r="U23" s="119">
        <f>IF(AF23=1,T23*AI23,"")</f>
        <v>235.33929358906641</v>
      </c>
      <c r="V23" s="120">
        <v>7.1</v>
      </c>
      <c r="W23" s="120">
        <v>10.97</v>
      </c>
      <c r="X23" s="120">
        <v>7.53</v>
      </c>
      <c r="Y23" s="121"/>
      <c r="Z23" s="122"/>
      <c r="AA23" s="122" t="s">
        <v>148</v>
      </c>
      <c r="AB23" s="123" t="s">
        <v>154</v>
      </c>
      <c r="AC23" s="66">
        <f>U5</f>
        <v>46179</v>
      </c>
      <c r="AD23" s="69" t="str">
        <f>IF(ISNUMBER(FIND("M",E23)),"m",IF(ISNUMBER(FIND("K",E23)),"k"))</f>
        <v>k</v>
      </c>
      <c r="AE23" s="82">
        <f>IF(OR(G23="",AC23=""),0,(YEAR(AC23)-YEAR(G23)))</f>
        <v>37</v>
      </c>
      <c r="AF23" s="34">
        <f t="shared" si="0"/>
        <v>1</v>
      </c>
      <c r="AG23" s="8">
        <f>IF(AF23=1,LOOKUP(AE23,'Meltzer-Faber'!A3:A63,'Meltzer-Faber'!B3:B63))</f>
        <v>1.0960000000000001</v>
      </c>
      <c r="AH23" s="36">
        <f>IF(AF23=1,LOOKUP(AE23,'Meltzer-Faber'!A3:A63,'Meltzer-Faber'!C3:C63))</f>
        <v>1.097</v>
      </c>
      <c r="AI23" s="36">
        <f t="shared" si="1"/>
        <v>1.097</v>
      </c>
      <c r="AJ23" s="86">
        <f>IF(D23="","",IF(D23&gt;193.609,1,IF(D23&lt;32,10^(0.722762521*LOG10(32/193.609)^2),10^(0.722762521*LOG10(D23/193.609)^2))))</f>
        <v>1.3251331166996907</v>
      </c>
    </row>
    <row r="24" spans="2:36" s="8" customFormat="1" ht="19.95" customHeight="1" x14ac:dyDescent="0.25">
      <c r="B24" s="105"/>
      <c r="C24" s="95"/>
      <c r="D24" s="95"/>
      <c r="E24" s="95"/>
      <c r="F24" s="96"/>
      <c r="G24" s="97"/>
      <c r="H24" s="98"/>
      <c r="I24" s="99"/>
      <c r="J24" s="99"/>
      <c r="K24" s="191"/>
      <c r="L24" s="191"/>
      <c r="M24" s="191"/>
      <c r="N24" s="192"/>
      <c r="O24" s="192"/>
      <c r="P24" s="192"/>
      <c r="Q24" s="100"/>
      <c r="R24" s="95"/>
      <c r="S24" s="191">
        <f>IF(T23="","",T23*1.2)</f>
        <v>257.43587265896053</v>
      </c>
      <c r="T24" s="191"/>
      <c r="U24" s="95"/>
      <c r="V24" s="95">
        <f>IF(V23&gt;0,V23*20,"")</f>
        <v>142</v>
      </c>
      <c r="W24" s="95">
        <f>IF(W23="","",(W23*10)*AJ23)</f>
        <v>145.36710290195606</v>
      </c>
      <c r="X24" s="101">
        <f>IF(ROUNDUP(X23,1)&gt;0,IF((80+(8-ROUNDUP(X23,1))*40)&lt;0,0,80+(8-ROUNDUP(X23,1))*40),"")</f>
        <v>96.000000000000014</v>
      </c>
      <c r="Y24" s="102">
        <f>IF(SUM(V24,W24,X24)&gt;0,SUM(V24,W24,X24),"")</f>
        <v>383.36710290195606</v>
      </c>
      <c r="Z24" s="103">
        <f>IF(AE23&gt;34,(IF(OR(S24="",V24="",W24="",X24=""),"",SUM(S24,V24,W24,X24))*AI23),IF(OR(S24="",V24="",W24="",X24=""),"", SUM(S24,V24,W24,X24)))</f>
        <v>702.96086419032554</v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19.95" customHeight="1" x14ac:dyDescent="0.25">
      <c r="B25" s="124" t="s">
        <v>87</v>
      </c>
      <c r="C25" s="107" t="s">
        <v>132</v>
      </c>
      <c r="D25" s="108">
        <v>79.86</v>
      </c>
      <c r="E25" s="107" t="s">
        <v>86</v>
      </c>
      <c r="F25" s="109" t="s">
        <v>66</v>
      </c>
      <c r="G25" s="110">
        <v>29937</v>
      </c>
      <c r="H25" s="111">
        <v>8</v>
      </c>
      <c r="I25" s="112" t="s">
        <v>85</v>
      </c>
      <c r="J25" s="113" t="s">
        <v>70</v>
      </c>
      <c r="K25" s="114">
        <v>70</v>
      </c>
      <c r="L25" s="115">
        <v>72</v>
      </c>
      <c r="M25" s="115">
        <v>74</v>
      </c>
      <c r="N25" s="114">
        <v>92</v>
      </c>
      <c r="O25" s="115">
        <v>-94</v>
      </c>
      <c r="P25" s="115">
        <v>94</v>
      </c>
      <c r="Q25" s="116">
        <f>IF(MAX(K25:M25)&gt;0,IF(MAX(K25:M25)&lt;0,0,TRUNC(MAX(K25:M25)/1)*1),"")</f>
        <v>74</v>
      </c>
      <c r="R25" s="117">
        <f>IF(MAX(N25:P25)&gt;0,IF(MAX(N25:P25)&lt;0,0,TRUNC(MAX(N25:P25)/1)*1),"")</f>
        <v>94</v>
      </c>
      <c r="S25" s="127">
        <f>IF(Q25="","",IF(R25="","",IF(SUM(Q25:R25)=0,"",SUM(Q25:R25))))</f>
        <v>168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194.5414343053433</v>
      </c>
      <c r="U25" s="119">
        <f>IF(AF25=1,T25*AI25,"")</f>
        <v>237.92417415543488</v>
      </c>
      <c r="V25" s="120"/>
      <c r="W25" s="120">
        <v>12.21</v>
      </c>
      <c r="X25" s="120"/>
      <c r="Y25" s="121"/>
      <c r="Z25" s="122"/>
      <c r="AA25" s="122"/>
      <c r="AB25" s="123" t="s">
        <v>152</v>
      </c>
      <c r="AC25" s="66">
        <f>U5</f>
        <v>46179</v>
      </c>
      <c r="AD25" s="69" t="str">
        <f>IF(ISNUMBER(FIND("M",E25)),"m",IF(ISNUMBER(FIND("K",E25)),"k"))</f>
        <v>k</v>
      </c>
      <c r="AE25" s="82">
        <f>IF(OR(G25="",AC25=""),0,(YEAR(AC25)-YEAR(G25)))</f>
        <v>45</v>
      </c>
      <c r="AF25" s="34">
        <f t="shared" ref="AF25" si="2">IF(AE25&gt;34,1,0)</f>
        <v>1</v>
      </c>
      <c r="AG25" s="8">
        <f>IF(AF25=1,LOOKUP(AE25,'Meltzer-Faber'!A3:A63,'Meltzer-Faber'!B3:B63))</f>
        <v>1.2030000000000001</v>
      </c>
      <c r="AH25" s="36">
        <f>IF(AF25=1,LOOKUP(AE25,'Meltzer-Faber'!A3:A63,'Meltzer-Faber'!C3:C63))</f>
        <v>1.2230000000000001</v>
      </c>
      <c r="AI25" s="36">
        <f t="shared" ref="AI25" si="3">IF(AD25="m",AG25,IF(AD25="k",AH25,""))</f>
        <v>1.2230000000000001</v>
      </c>
      <c r="AJ25" s="86">
        <f>IF(D25="","",IF(D25&gt;193.609,1,IF(D25&lt;32,10^(0.722762521*LOG10(32/193.609)^2),10^(0.722762521*LOG10(D25/193.609)^2))))</f>
        <v>1.2791070330034613</v>
      </c>
    </row>
    <row r="26" spans="2:36" s="8" customFormat="1" ht="19.95" customHeight="1" x14ac:dyDescent="0.25">
      <c r="B26" s="105"/>
      <c r="C26" s="95"/>
      <c r="D26" s="95"/>
      <c r="E26" s="95"/>
      <c r="F26" s="96"/>
      <c r="G26" s="97"/>
      <c r="H26" s="98"/>
      <c r="I26" s="99"/>
      <c r="J26" s="99"/>
      <c r="K26" s="191"/>
      <c r="L26" s="191"/>
      <c r="M26" s="191"/>
      <c r="N26" s="192"/>
      <c r="O26" s="192"/>
      <c r="P26" s="192"/>
      <c r="Q26" s="100"/>
      <c r="R26" s="95"/>
      <c r="S26" s="191">
        <f>IF(T25="","",T25*1.2)</f>
        <v>233.44972116641196</v>
      </c>
      <c r="T26" s="191"/>
      <c r="U26" s="95"/>
      <c r="V26" s="95" t="str">
        <f>IF(V25&gt;0,V25*20,"")</f>
        <v/>
      </c>
      <c r="W26" s="95">
        <f>IF(W25="","",(W25*10)*AJ25)</f>
        <v>156.17896872972264</v>
      </c>
      <c r="X26" s="101" t="str">
        <f>IF(ROUNDUP(X25,1)&gt;0,IF((80+(8-ROUNDUP(X25,1))*40)&lt;0,0,80+(8-ROUNDUP(X25,1))*40),"")</f>
        <v/>
      </c>
      <c r="Y26" s="102">
        <f>IF(SUM(V26,W26,X26)&gt;0,SUM(V26,W26,X26),"")</f>
        <v>156.17896872972264</v>
      </c>
      <c r="Z26" s="103" t="e">
        <f>IF(AE25&gt;34,(IF(OR(S26="",V26="",W26="",X26=""),"",SUM(S26,V26,W26,X26))*AI25),IF(OR(S26="",V26="",W26="",X26=""),"", SUM(S26,V26,W26,X26)))</f>
        <v>#VALUE!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19.95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46179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105"/>
      <c r="C28" s="141"/>
      <c r="D28" s="95"/>
      <c r="E28" s="96"/>
      <c r="F28" s="96"/>
      <c r="G28" s="142"/>
      <c r="H28" s="97"/>
      <c r="I28" s="99" t="s">
        <v>13</v>
      </c>
      <c r="J28" s="99"/>
      <c r="K28" s="192"/>
      <c r="L28" s="192"/>
      <c r="M28" s="192"/>
      <c r="N28" s="192"/>
      <c r="O28" s="192"/>
      <c r="P28" s="192"/>
      <c r="Q28" s="100"/>
      <c r="R28" s="95"/>
      <c r="S28" s="191" t="str">
        <f>IF(T27="","",T27*1.2)</f>
        <v/>
      </c>
      <c r="T28" s="191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IF(AE27&gt;34,(IF(OR(S28="",V28="",W28="",X28=""),"",SUM(S28,V28,W28,X28))*AI27),IF(OR(S28="",V28="",W28="",X28=""),"", SUM(S28,V28,W28,X28)))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19.95" customHeight="1" x14ac:dyDescent="0.25">
      <c r="B29" s="124"/>
      <c r="C29" s="128"/>
      <c r="D29" s="108"/>
      <c r="E29" s="129"/>
      <c r="F29" s="130"/>
      <c r="G29" s="131"/>
      <c r="H29" s="107"/>
      <c r="I29" s="113"/>
      <c r="J29" s="11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46179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105"/>
      <c r="C30" s="141"/>
      <c r="D30" s="95"/>
      <c r="E30" s="96"/>
      <c r="F30" s="96"/>
      <c r="G30" s="142"/>
      <c r="H30" s="97"/>
      <c r="I30" s="99"/>
      <c r="J30" s="99"/>
      <c r="K30" s="192"/>
      <c r="L30" s="192"/>
      <c r="M30" s="192"/>
      <c r="N30" s="192"/>
      <c r="O30" s="192"/>
      <c r="P30" s="192"/>
      <c r="Q30" s="100"/>
      <c r="R30" s="95"/>
      <c r="S30" s="191" t="str">
        <f>IF(T29="","",T29*1.2)</f>
        <v/>
      </c>
      <c r="T30" s="191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19.95" customHeight="1" x14ac:dyDescent="0.25">
      <c r="B31" s="124"/>
      <c r="C31" s="128"/>
      <c r="D31" s="108"/>
      <c r="E31" s="129"/>
      <c r="F31" s="130"/>
      <c r="G31" s="131"/>
      <c r="H31" s="107"/>
      <c r="I31" s="113" t="s">
        <v>13</v>
      </c>
      <c r="J31" s="11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46179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105"/>
      <c r="C32" s="141"/>
      <c r="D32" s="95"/>
      <c r="E32" s="96"/>
      <c r="F32" s="96"/>
      <c r="G32" s="142"/>
      <c r="H32" s="97"/>
      <c r="I32" s="99"/>
      <c r="J32" s="99"/>
      <c r="K32" s="192"/>
      <c r="L32" s="192"/>
      <c r="M32" s="192"/>
      <c r="N32" s="192"/>
      <c r="O32" s="192"/>
      <c r="P32" s="192"/>
      <c r="Q32" s="100"/>
      <c r="R32" s="95"/>
      <c r="S32" s="191" t="str">
        <f>IF(T31="","",T31*1.2)</f>
        <v/>
      </c>
      <c r="T32" s="191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.05" customHeight="1" x14ac:dyDescent="0.25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93" t="s">
        <v>34</v>
      </c>
      <c r="C35" s="194"/>
      <c r="D35" s="77" t="s">
        <v>33</v>
      </c>
      <c r="E35" s="193" t="s">
        <v>4</v>
      </c>
      <c r="F35" s="195"/>
      <c r="G35" s="195"/>
      <c r="H35" s="194"/>
      <c r="I35" s="50" t="s">
        <v>42</v>
      </c>
      <c r="J35" s="21"/>
      <c r="K35" s="193" t="s">
        <v>34</v>
      </c>
      <c r="L35" s="195"/>
      <c r="M35" s="194"/>
      <c r="N35" s="54" t="s">
        <v>33</v>
      </c>
      <c r="O35" s="196" t="s">
        <v>4</v>
      </c>
      <c r="P35" s="197"/>
      <c r="Q35" s="197"/>
      <c r="R35" s="198"/>
      <c r="S35" s="196" t="s">
        <v>42</v>
      </c>
      <c r="T35" s="198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199" t="s">
        <v>40</v>
      </c>
      <c r="C36" s="200"/>
      <c r="D36" s="78">
        <v>1982008</v>
      </c>
      <c r="E36" s="201" t="s">
        <v>160</v>
      </c>
      <c r="F36" s="202"/>
      <c r="G36" s="202"/>
      <c r="H36" s="200"/>
      <c r="I36" s="176" t="s">
        <v>70</v>
      </c>
      <c r="J36" s="4"/>
      <c r="K36" s="199" t="s">
        <v>35</v>
      </c>
      <c r="L36" s="202"/>
      <c r="M36" s="200"/>
      <c r="N36" s="51">
        <v>1979002</v>
      </c>
      <c r="O36" s="203" t="s">
        <v>134</v>
      </c>
      <c r="P36" s="204"/>
      <c r="Q36" s="204"/>
      <c r="R36" s="205"/>
      <c r="S36" s="203" t="s">
        <v>70</v>
      </c>
      <c r="T36" s="206"/>
      <c r="AF36" s="1"/>
      <c r="AH36" s="35"/>
      <c r="AI36" s="35"/>
    </row>
    <row r="37" spans="2:35" s="5" customFormat="1" ht="21" customHeight="1" x14ac:dyDescent="0.25">
      <c r="B37" s="207" t="s">
        <v>36</v>
      </c>
      <c r="C37" s="208"/>
      <c r="D37" s="79">
        <v>1960003</v>
      </c>
      <c r="E37" s="209" t="s">
        <v>135</v>
      </c>
      <c r="F37" s="210"/>
      <c r="G37" s="210"/>
      <c r="H37" s="208"/>
      <c r="I37" s="49" t="s">
        <v>103</v>
      </c>
      <c r="J37" s="4"/>
      <c r="K37" s="207" t="s">
        <v>38</v>
      </c>
      <c r="L37" s="210"/>
      <c r="M37" s="208"/>
      <c r="N37" s="52">
        <v>1964010</v>
      </c>
      <c r="O37" s="211" t="s">
        <v>136</v>
      </c>
      <c r="P37" s="212"/>
      <c r="Q37" s="212"/>
      <c r="R37" s="213"/>
      <c r="S37" s="211" t="s">
        <v>103</v>
      </c>
      <c r="T37" s="214"/>
      <c r="AH37" s="35"/>
      <c r="AI37" s="35"/>
    </row>
    <row r="38" spans="2:35" s="5" customFormat="1" ht="19.05" customHeight="1" x14ac:dyDescent="0.25">
      <c r="B38" s="207" t="s">
        <v>36</v>
      </c>
      <c r="C38" s="208"/>
      <c r="D38" s="79"/>
      <c r="E38" s="209"/>
      <c r="F38" s="210"/>
      <c r="G38" s="210"/>
      <c r="H38" s="208"/>
      <c r="I38" s="47"/>
      <c r="J38" s="4"/>
      <c r="K38" s="207" t="s">
        <v>37</v>
      </c>
      <c r="L38" s="210"/>
      <c r="M38" s="208"/>
      <c r="N38" s="52"/>
      <c r="O38" s="211"/>
      <c r="P38" s="212"/>
      <c r="Q38" s="212"/>
      <c r="R38" s="213"/>
      <c r="S38" s="211"/>
      <c r="T38" s="214"/>
      <c r="V38" s="5" t="s">
        <v>54</v>
      </c>
      <c r="AH38" s="35"/>
      <c r="AI38" s="35"/>
    </row>
    <row r="39" spans="2:35" s="5" customFormat="1" ht="21" customHeight="1" x14ac:dyDescent="0.25">
      <c r="B39" s="207" t="s">
        <v>36</v>
      </c>
      <c r="C39" s="208"/>
      <c r="D39" s="79">
        <v>1940002</v>
      </c>
      <c r="E39" s="209" t="s">
        <v>137</v>
      </c>
      <c r="F39" s="210"/>
      <c r="G39" s="210"/>
      <c r="H39" s="208"/>
      <c r="I39" s="47" t="s">
        <v>114</v>
      </c>
      <c r="J39" s="4"/>
      <c r="K39" s="207" t="s">
        <v>55</v>
      </c>
      <c r="L39" s="210"/>
      <c r="M39" s="208"/>
      <c r="N39" s="52">
        <v>1964010</v>
      </c>
      <c r="O39" s="211" t="s">
        <v>136</v>
      </c>
      <c r="P39" s="212"/>
      <c r="Q39" s="212"/>
      <c r="R39" s="213"/>
      <c r="S39" s="211" t="s">
        <v>103</v>
      </c>
      <c r="T39" s="214"/>
      <c r="AD39" s="5" t="s">
        <v>13</v>
      </c>
      <c r="AH39" s="35"/>
      <c r="AI39" s="35"/>
    </row>
    <row r="40" spans="2:35" s="5" customFormat="1" ht="19.95" customHeight="1" x14ac:dyDescent="0.25">
      <c r="B40" s="207" t="s">
        <v>36</v>
      </c>
      <c r="C40" s="208"/>
      <c r="D40" s="79">
        <v>1980003</v>
      </c>
      <c r="E40" s="209" t="s">
        <v>139</v>
      </c>
      <c r="F40" s="210"/>
      <c r="G40" s="210"/>
      <c r="H40" s="208"/>
      <c r="I40" s="47" t="s">
        <v>70</v>
      </c>
      <c r="J40" s="4"/>
      <c r="K40" s="207"/>
      <c r="L40" s="210"/>
      <c r="M40" s="208"/>
      <c r="N40" s="52"/>
      <c r="O40" s="211"/>
      <c r="P40" s="212"/>
      <c r="Q40" s="212"/>
      <c r="R40" s="213"/>
      <c r="S40" s="211"/>
      <c r="T40" s="214"/>
      <c r="AH40" s="35"/>
      <c r="AI40" s="35"/>
    </row>
    <row r="41" spans="2:35" ht="19.05" customHeight="1" x14ac:dyDescent="0.25">
      <c r="B41" s="207" t="s">
        <v>36</v>
      </c>
      <c r="C41" s="208"/>
      <c r="D41" s="79"/>
      <c r="E41" s="209"/>
      <c r="F41" s="210"/>
      <c r="G41" s="210"/>
      <c r="H41" s="208"/>
      <c r="I41" s="47"/>
      <c r="J41" s="3"/>
      <c r="K41" s="207"/>
      <c r="L41" s="210"/>
      <c r="M41" s="208"/>
      <c r="N41" s="52"/>
      <c r="O41" s="211"/>
      <c r="P41" s="212"/>
      <c r="Q41" s="212"/>
      <c r="R41" s="213"/>
      <c r="S41" s="211"/>
      <c r="T41" s="214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207" t="s">
        <v>39</v>
      </c>
      <c r="C42" s="208"/>
      <c r="D42" s="79">
        <v>1979002</v>
      </c>
      <c r="E42" s="209" t="s">
        <v>134</v>
      </c>
      <c r="F42" s="210"/>
      <c r="G42" s="210"/>
      <c r="H42" s="208"/>
      <c r="I42" s="47" t="s">
        <v>70</v>
      </c>
      <c r="J42" s="3"/>
      <c r="K42" s="207"/>
      <c r="L42" s="210"/>
      <c r="M42" s="208"/>
      <c r="N42" s="52"/>
      <c r="O42" s="211"/>
      <c r="P42" s="212"/>
      <c r="Q42" s="212"/>
      <c r="R42" s="213"/>
      <c r="S42" s="211"/>
      <c r="T42" s="214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219"/>
      <c r="C43" s="223"/>
      <c r="D43" s="80"/>
      <c r="E43" s="224"/>
      <c r="F43" s="220"/>
      <c r="G43" s="220"/>
      <c r="H43" s="223"/>
      <c r="I43" s="48"/>
      <c r="J43" s="3"/>
      <c r="K43" s="219"/>
      <c r="L43" s="220"/>
      <c r="M43" s="223"/>
      <c r="N43" s="53"/>
      <c r="O43" s="225"/>
      <c r="P43" s="226"/>
      <c r="Q43" s="226"/>
      <c r="R43" s="227"/>
      <c r="S43" s="225"/>
      <c r="T43" s="228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229"/>
      <c r="C44" s="229"/>
      <c r="D44" s="215"/>
      <c r="E44" s="215"/>
      <c r="F44" s="56"/>
      <c r="G44" s="215"/>
      <c r="H44" s="215"/>
      <c r="I44" s="215"/>
      <c r="J44" s="3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216" t="s">
        <v>153</v>
      </c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219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222"/>
      <c r="F50" s="222"/>
      <c r="G50" s="222"/>
    </row>
  </sheetData>
  <mergeCells count="102"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</mergeCells>
  <conditionalFormatting sqref="K27">
    <cfRule type="cellIs" dxfId="59" priority="23" stopIfTrue="1" operator="between">
      <formula>1</formula>
      <formula>300</formula>
    </cfRule>
    <cfRule type="cellIs" dxfId="58" priority="24" stopIfTrue="1" operator="lessThanOrEqual">
      <formula>0</formula>
    </cfRule>
  </conditionalFormatting>
  <conditionalFormatting sqref="K29">
    <cfRule type="cellIs" dxfId="57" priority="21" stopIfTrue="1" operator="between">
      <formula>1</formula>
      <formula>300</formula>
    </cfRule>
    <cfRule type="cellIs" dxfId="56" priority="22" stopIfTrue="1" operator="lessThanOrEqual">
      <formula>0</formula>
    </cfRule>
  </conditionalFormatting>
  <conditionalFormatting sqref="K31">
    <cfRule type="cellIs" dxfId="55" priority="19" stopIfTrue="1" operator="between">
      <formula>1</formula>
      <formula>300</formula>
    </cfRule>
    <cfRule type="cellIs" dxfId="54" priority="20" stopIfTrue="1" operator="lessThanOrEqual">
      <formula>0</formula>
    </cfRule>
  </conditionalFormatting>
  <conditionalFormatting sqref="K9:P9">
    <cfRule type="cellIs" dxfId="53" priority="13" stopIfTrue="1" operator="between">
      <formula>1</formula>
      <formula>300</formula>
    </cfRule>
    <cfRule type="cellIs" dxfId="52" priority="14" stopIfTrue="1" operator="lessThanOrEqual">
      <formula>0</formula>
    </cfRule>
  </conditionalFormatting>
  <conditionalFormatting sqref="K11:P11">
    <cfRule type="cellIs" dxfId="51" priority="11" stopIfTrue="1" operator="between">
      <formula>1</formula>
      <formula>300</formula>
    </cfRule>
    <cfRule type="cellIs" dxfId="50" priority="12" stopIfTrue="1" operator="lessThanOrEqual">
      <formula>0</formula>
    </cfRule>
  </conditionalFormatting>
  <conditionalFormatting sqref="K13:P13">
    <cfRule type="cellIs" dxfId="49" priority="7" stopIfTrue="1" operator="between">
      <formula>1</formula>
      <formula>300</formula>
    </cfRule>
    <cfRule type="cellIs" dxfId="48" priority="8" stopIfTrue="1" operator="lessThanOrEqual">
      <formula>0</formula>
    </cfRule>
  </conditionalFormatting>
  <conditionalFormatting sqref="K15:P15">
    <cfRule type="cellIs" dxfId="47" priority="9" stopIfTrue="1" operator="between">
      <formula>1</formula>
      <formula>300</formula>
    </cfRule>
    <cfRule type="cellIs" dxfId="46" priority="10" stopIfTrue="1" operator="lessThanOrEqual">
      <formula>0</formula>
    </cfRule>
  </conditionalFormatting>
  <conditionalFormatting sqref="K17:P17">
    <cfRule type="cellIs" dxfId="45" priority="15" stopIfTrue="1" operator="between">
      <formula>1</formula>
      <formula>300</formula>
    </cfRule>
    <cfRule type="cellIs" dxfId="44" priority="16" stopIfTrue="1" operator="lessThanOrEqual">
      <formula>0</formula>
    </cfRule>
  </conditionalFormatting>
  <conditionalFormatting sqref="K19:P19">
    <cfRule type="cellIs" dxfId="43" priority="1" stopIfTrue="1" operator="between">
      <formula>1</formula>
      <formula>300</formula>
    </cfRule>
    <cfRule type="cellIs" dxfId="42" priority="2" stopIfTrue="1" operator="lessThanOrEqual">
      <formula>0</formula>
    </cfRule>
  </conditionalFormatting>
  <conditionalFormatting sqref="K21:P21">
    <cfRule type="cellIs" dxfId="41" priority="3" stopIfTrue="1" operator="between">
      <formula>1</formula>
      <formula>300</formula>
    </cfRule>
    <cfRule type="cellIs" dxfId="40" priority="4" stopIfTrue="1" operator="lessThanOrEqual">
      <formula>0</formula>
    </cfRule>
  </conditionalFormatting>
  <conditionalFormatting sqref="K23:P23">
    <cfRule type="cellIs" dxfId="39" priority="5" stopIfTrue="1" operator="between">
      <formula>1</formula>
      <formula>300</formula>
    </cfRule>
    <cfRule type="cellIs" dxfId="38" priority="6" stopIfTrue="1" operator="lessThanOrEqual">
      <formula>0</formula>
    </cfRule>
  </conditionalFormatting>
  <conditionalFormatting sqref="K25:P25">
    <cfRule type="cellIs" dxfId="37" priority="17" stopIfTrue="1" operator="between">
      <formula>1</formula>
      <formula>300</formula>
    </cfRule>
    <cfRule type="cellIs" dxfId="36" priority="18" stopIfTrue="1" operator="lessThanOrEqual">
      <formula>0</formula>
    </cfRule>
  </conditionalFormatting>
  <conditionalFormatting sqref="L27:N27">
    <cfRule type="cellIs" dxfId="35" priority="29" stopIfTrue="1" operator="between">
      <formula>1</formula>
      <formula>300</formula>
    </cfRule>
    <cfRule type="cellIs" dxfId="34" priority="30" stopIfTrue="1" operator="lessThanOrEqual">
      <formula>0</formula>
    </cfRule>
  </conditionalFormatting>
  <conditionalFormatting sqref="L29:N29">
    <cfRule type="cellIs" dxfId="33" priority="27" stopIfTrue="1" operator="between">
      <formula>1</formula>
      <formula>300</formula>
    </cfRule>
    <cfRule type="cellIs" dxfId="32" priority="28" stopIfTrue="1" operator="lessThanOrEqual">
      <formula>0</formula>
    </cfRule>
  </conditionalFormatting>
  <conditionalFormatting sqref="L31:N31">
    <cfRule type="cellIs" dxfId="31" priority="25" stopIfTrue="1" operator="between">
      <formula>1</formula>
      <formula>300</formula>
    </cfRule>
    <cfRule type="cellIs" dxfId="30" priority="26" stopIfTrue="1" operator="lessThanOrEqual">
      <formula>0</formula>
    </cfRule>
  </conditionalFormatting>
  <dataValidations count="6">
    <dataValidation type="list" allowBlank="1" showInputMessage="1" showErrorMessage="1" sqref="B36:C43 K36:M43" xr:uid="{DA833C6C-4CF3-4378-A4FF-3E87DDA9419B}">
      <formula1>"Dommer,Stevnets leder,Jury,Sekretær,Speaker,Teknisk kontrollør, Chief Marshall,Tidtaker"</formula1>
    </dataValidation>
    <dataValidation type="list" allowBlank="1" showInputMessage="1" showErrorMessage="1" sqref="D5:I5" xr:uid="{213539C2-D8AC-45AE-867F-20C22CAB632D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9 C11 C13 C15 C17 C19 C23 C25 C31 C27 C29 C21" xr:uid="{7093415A-B880-4AA6-A43F-CDD01899C18B}">
      <formula1>"44,48,53,56,58,60,63,65,69,71,77,'+77,79,86,'+86,88,94,'+94,110,'+110"</formula1>
    </dataValidation>
    <dataValidation type="list" allowBlank="1" showInputMessage="1" showErrorMessage="1" sqref="E9 F12 E13 E15 E17 E19 E23 E25 E11 E27 E29 E31 E21" xr:uid="{8588076E-1AB2-44BA-92CF-99DF6469F442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1685C25C-95F7-4C26-99E5-10AAAD5908E7}">
      <formula1>"11-12,13-14,15-16,17-18,19-23,24-34,+35,35+"</formula1>
    </dataValidation>
    <dataValidation type="list" allowBlank="1" showInputMessage="1" showErrorMessage="1" sqref="F9 F11 F13 F15 F17 F19 F23 F25 F31 F27 F29 F21" xr:uid="{1FEE0ED5-5969-448E-8D39-04C5415DC9A5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9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B98-42AB-6647-AAE5-6213532F6B6E}">
  <sheetPr>
    <pageSetUpPr autoPageBreaks="0" fitToPage="1"/>
  </sheetPr>
  <dimension ref="A1:AJ50"/>
  <sheetViews>
    <sheetView showGridLines="0" showRowColHeaders="0" showZeros="0" tabSelected="1" showOutlineSymbols="0" topLeftCell="A11" zoomScale="76" zoomScaleNormal="80" zoomScaleSheetLayoutView="75" zoomScalePageLayoutView="120" workbookViewId="0">
      <selection activeCell="C27" sqref="C27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6" width="6.4414062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186" t="s">
        <v>57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5"/>
      <c r="T2" s="15"/>
      <c r="U2" s="83" t="s">
        <v>58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84"/>
      <c r="F3" s="15"/>
      <c r="G3" s="187" t="s">
        <v>21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188" t="s">
        <v>159</v>
      </c>
      <c r="E5" s="188"/>
      <c r="F5" s="188"/>
      <c r="G5" s="188"/>
      <c r="H5" s="188"/>
      <c r="I5" s="188"/>
      <c r="J5" s="24" t="s">
        <v>0</v>
      </c>
      <c r="K5" s="188" t="s">
        <v>70</v>
      </c>
      <c r="L5" s="188"/>
      <c r="M5" s="188"/>
      <c r="N5" s="188"/>
      <c r="O5" s="24" t="s">
        <v>1</v>
      </c>
      <c r="P5" s="189" t="s">
        <v>147</v>
      </c>
      <c r="Q5" s="189"/>
      <c r="R5" s="189"/>
      <c r="S5" s="189"/>
      <c r="T5" s="24" t="s">
        <v>2</v>
      </c>
      <c r="U5" s="190">
        <v>46179</v>
      </c>
      <c r="V5" s="190"/>
      <c r="W5" s="55"/>
      <c r="X5" s="55"/>
      <c r="Y5" s="55"/>
      <c r="Z5" s="25" t="s">
        <v>15</v>
      </c>
      <c r="AA5" s="25"/>
      <c r="AB5" s="26">
        <v>3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177" t="s">
        <v>56</v>
      </c>
    </row>
    <row r="7" spans="1:36" s="1" customFormat="1" x14ac:dyDescent="0.25">
      <c r="B7" s="178" t="s">
        <v>33</v>
      </c>
      <c r="C7" s="180" t="s">
        <v>52</v>
      </c>
      <c r="D7" s="180" t="s">
        <v>51</v>
      </c>
      <c r="E7" s="182" t="s">
        <v>53</v>
      </c>
      <c r="F7" s="184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77"/>
    </row>
    <row r="8" spans="1:36" s="1" customFormat="1" x14ac:dyDescent="0.25">
      <c r="B8" s="179"/>
      <c r="C8" s="181"/>
      <c r="D8" s="181"/>
      <c r="E8" s="183"/>
      <c r="F8" s="185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50">
        <v>2007035</v>
      </c>
      <c r="C9" s="153" t="s">
        <v>67</v>
      </c>
      <c r="D9" s="152">
        <v>69.73</v>
      </c>
      <c r="E9" s="151" t="s">
        <v>68</v>
      </c>
      <c r="F9" s="153" t="s">
        <v>64</v>
      </c>
      <c r="G9" s="154">
        <v>39272</v>
      </c>
      <c r="H9" s="155">
        <v>1</v>
      </c>
      <c r="I9" s="156" t="s">
        <v>69</v>
      </c>
      <c r="J9" s="157" t="s">
        <v>70</v>
      </c>
      <c r="K9" s="158">
        <v>82</v>
      </c>
      <c r="L9" s="159">
        <v>86</v>
      </c>
      <c r="M9" s="159">
        <v>90</v>
      </c>
      <c r="N9" s="158">
        <v>105</v>
      </c>
      <c r="O9" s="159">
        <v>110</v>
      </c>
      <c r="P9" s="159">
        <v>115</v>
      </c>
      <c r="Q9" s="160">
        <f>IF(MAX(K9:M9)&gt;0,IF(MAX(K9:M9)&lt;0,0,TRUNC(MAX(K9:M9)/1)*1),"")</f>
        <v>90</v>
      </c>
      <c r="R9" s="161">
        <f>IF(MAX(N9:P9)&gt;0,IF(MAX(N9:P9)&lt;0,0,TRUNC(MAX(N9:P9)/1)*1),"")</f>
        <v>115</v>
      </c>
      <c r="S9" s="161">
        <f>IF(Q9="","",IF(R9="","",IF(SUM(Q9:R9)=0,"",SUM(Q9:R9))))</f>
        <v>205</v>
      </c>
      <c r="T9" s="162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284.39333557134751</v>
      </c>
      <c r="U9" s="163" t="str">
        <f>IF(AF9=1,T9*AI9,"")</f>
        <v/>
      </c>
      <c r="V9" s="164">
        <v>8.2799999999999994</v>
      </c>
      <c r="W9" s="164">
        <v>8.1999999999999993</v>
      </c>
      <c r="X9" s="164">
        <v>6.03</v>
      </c>
      <c r="Y9" s="162"/>
      <c r="Z9" s="165"/>
      <c r="AA9" s="165" t="s">
        <v>150</v>
      </c>
      <c r="AB9" s="166"/>
      <c r="AC9" s="68">
        <f>U5</f>
        <v>46179</v>
      </c>
      <c r="AD9" s="69" t="str">
        <f>IF(ISNUMBER(FIND("M",E9)),"m",IF(ISNUMBER(FIND("K",E9)),"k"))</f>
        <v>m</v>
      </c>
      <c r="AE9" s="67">
        <f>IF(OR(G9="",AC9=""),0,(YEAR(AC9)-YEAR(G9)))</f>
        <v>19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1.3872845637626707</v>
      </c>
    </row>
    <row r="10" spans="1:36" s="8" customFormat="1" ht="19.95" customHeight="1" x14ac:dyDescent="0.25">
      <c r="B10" s="94"/>
      <c r="C10" s="95"/>
      <c r="D10" s="95"/>
      <c r="E10" s="95"/>
      <c r="F10" s="96"/>
      <c r="G10" s="97"/>
      <c r="H10" s="98"/>
      <c r="I10" s="99"/>
      <c r="J10" s="99"/>
      <c r="K10" s="191"/>
      <c r="L10" s="191"/>
      <c r="M10" s="191"/>
      <c r="N10" s="192"/>
      <c r="O10" s="192"/>
      <c r="P10" s="192"/>
      <c r="Q10" s="100"/>
      <c r="R10" s="95"/>
      <c r="S10" s="191">
        <f>IF(T9="","",T9*1.2)</f>
        <v>341.272002685617</v>
      </c>
      <c r="T10" s="191"/>
      <c r="U10" s="95"/>
      <c r="V10" s="95">
        <f>IF(V9&gt;0,V9*20,"")</f>
        <v>165.6</v>
      </c>
      <c r="W10" s="95">
        <f>IF(W9="","",(W9*10)*AJ9)</f>
        <v>113.75733422853899</v>
      </c>
      <c r="X10" s="101">
        <f>IF(ROUNDUP(X9,1)&gt;0,IF((80+(8-ROUNDUP(X9,1))*40)&lt;0,0,80+(8-ROUNDUP(X9,1))*40),"")</f>
        <v>156</v>
      </c>
      <c r="Y10" s="102">
        <f>IF(SUM(V10,W10,X10)&gt;0,SUM(V10,W10,X10),"")</f>
        <v>435.357334228539</v>
      </c>
      <c r="Z10" s="103">
        <f>IF(AE9&gt;34,(IF(OR(S10="",V10="",W10="",X10=""),"",SUM(S10,V10,W10,X10))*AI9),IF(OR(S10="",V10="",W10="",X10=""),"", SUM(S10,V10,W10,X10)))</f>
        <v>776.62933691415594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19.95" customHeight="1" x14ac:dyDescent="0.25">
      <c r="B11" s="106">
        <v>2007033</v>
      </c>
      <c r="C11" s="109" t="s">
        <v>83</v>
      </c>
      <c r="D11" s="108">
        <v>100.88</v>
      </c>
      <c r="E11" s="107" t="s">
        <v>68</v>
      </c>
      <c r="F11" s="109" t="s">
        <v>64</v>
      </c>
      <c r="G11" s="110">
        <v>39227</v>
      </c>
      <c r="H11" s="111">
        <v>2</v>
      </c>
      <c r="I11" s="112" t="s">
        <v>117</v>
      </c>
      <c r="J11" s="113" t="s">
        <v>103</v>
      </c>
      <c r="K11" s="114">
        <v>62</v>
      </c>
      <c r="L11" s="115">
        <v>67</v>
      </c>
      <c r="M11" s="115">
        <v>-71</v>
      </c>
      <c r="N11" s="114">
        <v>76</v>
      </c>
      <c r="O11" s="115">
        <v>-81</v>
      </c>
      <c r="P11" s="115">
        <v>-81</v>
      </c>
      <c r="Q11" s="116">
        <f>IF(MAX(K11:M11)&gt;0,IF(MAX(K11:M11)&lt;0,0,TRUNC(MAX(K11:M11)/1)*1),"")</f>
        <v>67</v>
      </c>
      <c r="R11" s="117">
        <f>IF(MAX(N11:P11)&gt;0,IF(MAX(N11:P11)&lt;0,0,TRUNC(MAX(N11:P11)/1)*1),"")</f>
        <v>76</v>
      </c>
      <c r="S11" s="117">
        <f>IF(Q11="","",IF(R11="","",IF(SUM(Q11:R11)=0,"",SUM(Q11:R11))))</f>
        <v>143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163.40700009662476</v>
      </c>
      <c r="U11" s="119" t="str">
        <f>IF(AF11=1,T11*AI11,"")</f>
        <v/>
      </c>
      <c r="V11" s="120"/>
      <c r="W11" s="120"/>
      <c r="X11" s="120"/>
      <c r="Y11" s="121"/>
      <c r="Z11" s="122"/>
      <c r="AA11" s="122"/>
      <c r="AB11" s="123"/>
      <c r="AC11" s="66">
        <f>U5</f>
        <v>46179</v>
      </c>
      <c r="AD11" s="69" t="str">
        <f>IF(ISNUMBER(FIND("M",E11)),"m",IF(ISNUMBER(FIND("K",E11)),"k"))</f>
        <v>m</v>
      </c>
      <c r="AE11" s="67">
        <f>IF(OR(G11="",AC11=""),0,(YEAR(AC11)-YEAR(G11)))</f>
        <v>19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1.1427062943819912</v>
      </c>
    </row>
    <row r="12" spans="1:36" s="8" customFormat="1" ht="19.95" customHeight="1" x14ac:dyDescent="0.25">
      <c r="B12" s="105"/>
      <c r="C12" s="95"/>
      <c r="D12" s="95"/>
      <c r="E12" s="95"/>
      <c r="F12" s="96"/>
      <c r="G12" s="97"/>
      <c r="H12" s="98"/>
      <c r="I12" s="99"/>
      <c r="J12" s="99"/>
      <c r="K12" s="191"/>
      <c r="L12" s="191"/>
      <c r="M12" s="191"/>
      <c r="N12" s="192"/>
      <c r="O12" s="192"/>
      <c r="P12" s="192"/>
      <c r="Q12" s="100"/>
      <c r="R12" s="95"/>
      <c r="S12" s="191">
        <f>IF(T11="","",T11*1.2)</f>
        <v>196.0884001159497</v>
      </c>
      <c r="T12" s="191"/>
      <c r="U12" s="103"/>
      <c r="V12" s="95" t="str">
        <f>IF(V11&gt;0,V11*20,"")</f>
        <v/>
      </c>
      <c r="W12" s="95" t="str">
        <f>IF(W11="","",(W11*10)*AJ11)</f>
        <v/>
      </c>
      <c r="X12" s="101" t="str">
        <f>IF(ROUNDUP(X11,1)&gt;0,IF((80+(8-ROUNDUP(X11,1))*40)&lt;0,0,80+(8-ROUNDUP(X11,1))*40),"")</f>
        <v/>
      </c>
      <c r="Y12" s="102" t="str">
        <f>IF(SUM(V12,W12,X12)&gt;0,SUM(V12,W12,X12),"")</f>
        <v/>
      </c>
      <c r="Z12" s="103" t="str">
        <f>IF(AE11&gt;34,(IF(OR(S12="",V12="",W12="",X12=""),"",SUM(S12,V12,W12,X12))*AI11),IF(OR(S12="",V12="",W12="",X12=""),"", SUM(S12,V12,W12,X12)))</f>
        <v/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19.95" customHeight="1" x14ac:dyDescent="0.25">
      <c r="B13" s="124" t="s">
        <v>142</v>
      </c>
      <c r="C13" s="107" t="s">
        <v>118</v>
      </c>
      <c r="D13" s="108">
        <v>87.56</v>
      </c>
      <c r="E13" s="107" t="s">
        <v>68</v>
      </c>
      <c r="F13" s="109" t="s">
        <v>64</v>
      </c>
      <c r="G13" s="110">
        <v>39328</v>
      </c>
      <c r="H13" s="111">
        <v>3</v>
      </c>
      <c r="I13" s="112" t="s">
        <v>127</v>
      </c>
      <c r="J13" s="113" t="s">
        <v>114</v>
      </c>
      <c r="K13" s="114">
        <v>70</v>
      </c>
      <c r="L13" s="115">
        <v>75</v>
      </c>
      <c r="M13" s="115">
        <v>80</v>
      </c>
      <c r="N13" s="114">
        <v>92</v>
      </c>
      <c r="O13" s="115">
        <v>97</v>
      </c>
      <c r="P13" s="115">
        <v>102</v>
      </c>
      <c r="Q13" s="116">
        <f>IF(MAX(K13:M13)&gt;0,IF(MAX(K13:M13)&lt;0,0,TRUNC(MAX(K13:M13)/1)*1),"")</f>
        <v>80</v>
      </c>
      <c r="R13" s="117">
        <f>IF(MAX(N13:P13)&gt;0,IF(MAX(N13:P13)&lt;0,0,TRUNC(MAX(N13:P13)/1)*1),"")</f>
        <v>102</v>
      </c>
      <c r="S13" s="117">
        <f>IF(Q13="","",IF(R13="","",IF(SUM(Q13:R13)=0,"",SUM(Q13:R13))))</f>
        <v>182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221.77300845674188</v>
      </c>
      <c r="U13" s="119" t="str">
        <f>IF(AF13=1,T13*AI13,"")</f>
        <v/>
      </c>
      <c r="V13" s="120">
        <v>7.61</v>
      </c>
      <c r="W13" s="120">
        <v>8.4700000000000006</v>
      </c>
      <c r="X13" s="120">
        <v>6.96</v>
      </c>
      <c r="Y13" s="125"/>
      <c r="Z13" s="122"/>
      <c r="AA13" s="122" t="s">
        <v>149</v>
      </c>
      <c r="AB13" s="123"/>
      <c r="AC13" s="66">
        <f>U5</f>
        <v>46179</v>
      </c>
      <c r="AD13" s="69" t="str">
        <f>IF(ISNUMBER(FIND("M",E13)),"m",IF(ISNUMBER(FIND("K",E13)),"k"))</f>
        <v>m</v>
      </c>
      <c r="AE13" s="67">
        <f>IF(OR(G13="",AC13=""),0,(YEAR(AC13)-YEAR(G13)))</f>
        <v>19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1.2185330134985817</v>
      </c>
    </row>
    <row r="14" spans="1:36" s="8" customFormat="1" ht="19.95" customHeight="1" x14ac:dyDescent="0.25">
      <c r="B14" s="105"/>
      <c r="C14" s="95"/>
      <c r="D14" s="95"/>
      <c r="E14" s="95"/>
      <c r="F14" s="96"/>
      <c r="G14" s="97"/>
      <c r="H14" s="98"/>
      <c r="I14" s="99"/>
      <c r="J14" s="99"/>
      <c r="K14" s="191"/>
      <c r="L14" s="191"/>
      <c r="M14" s="191"/>
      <c r="N14" s="192"/>
      <c r="O14" s="192"/>
      <c r="P14" s="192"/>
      <c r="Q14" s="100"/>
      <c r="R14" s="95"/>
      <c r="S14" s="191">
        <f>IF(T13="","",T13*1.2)</f>
        <v>266.12761014809024</v>
      </c>
      <c r="T14" s="191"/>
      <c r="U14" s="95"/>
      <c r="V14" s="95">
        <f>IF(V13&gt;0,V13*20,"")</f>
        <v>152.20000000000002</v>
      </c>
      <c r="W14" s="95">
        <f>IF(W13="","",(W13*10)*AJ13)</f>
        <v>103.20974624332987</v>
      </c>
      <c r="X14" s="101">
        <f>IF(ROUNDUP(X13,1)&gt;0,IF((80+(8-ROUNDUP(X13,1))*40)&lt;0,0,80+(8-ROUNDUP(X13,1))*40),"")</f>
        <v>120</v>
      </c>
      <c r="Y14" s="102">
        <f>IF(SUM(V14,W14,X14)&gt;0,SUM(V14,W14,X14),"")</f>
        <v>375.40974624332989</v>
      </c>
      <c r="Z14" s="103">
        <f>IF(AE13&gt;34,(IF(OR(S14="",V14="",W14="",X14=""),"",SUM(S14,V14,W14,X14))*AI13),IF(OR(S14="",V14="",W14="",X14=""),"", SUM(S14,V14,W14,X14)))</f>
        <v>641.53735639142008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19.95" customHeight="1" x14ac:dyDescent="0.3">
      <c r="B15" s="124" t="s">
        <v>143</v>
      </c>
      <c r="C15" s="107" t="s">
        <v>118</v>
      </c>
      <c r="D15" s="108">
        <v>86.15</v>
      </c>
      <c r="E15" s="107" t="s">
        <v>82</v>
      </c>
      <c r="F15" s="109" t="s">
        <v>64</v>
      </c>
      <c r="G15" s="110">
        <v>38615</v>
      </c>
      <c r="H15" s="111">
        <v>4</v>
      </c>
      <c r="I15" s="126" t="s">
        <v>128</v>
      </c>
      <c r="J15" s="113" t="s">
        <v>114</v>
      </c>
      <c r="K15" s="114">
        <v>95</v>
      </c>
      <c r="L15" s="115">
        <v>100</v>
      </c>
      <c r="M15" s="115">
        <v>-105</v>
      </c>
      <c r="N15" s="114">
        <v>125</v>
      </c>
      <c r="O15" s="115">
        <v>-130</v>
      </c>
      <c r="P15" s="115">
        <v>135</v>
      </c>
      <c r="Q15" s="116">
        <f>IF(MAX(K15:M15)&gt;0,IF(MAX(K15:M15)&lt;0,0,TRUNC(MAX(K15:M15)/1)*1),"")</f>
        <v>100</v>
      </c>
      <c r="R15" s="117">
        <f>IF(MAX(N15:P15)&gt;0,IF(MAX(N15:P15)&lt;0,0,TRUNC(MAX(N15:P15)/1)*1),"")</f>
        <v>135</v>
      </c>
      <c r="S15" s="117">
        <f>IF(Q15="","",IF(R15="","",IF(SUM(Q15:R15)=0,"",SUM(Q15:R15))))</f>
        <v>235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288.70435052916417</v>
      </c>
      <c r="U15" s="119" t="str">
        <f>IF(AF15=1,T15*AI15,"")</f>
        <v/>
      </c>
      <c r="V15" s="120">
        <v>7.98</v>
      </c>
      <c r="W15" s="120">
        <v>11.13</v>
      </c>
      <c r="X15" s="120">
        <v>5.9</v>
      </c>
      <c r="Y15" s="121"/>
      <c r="Z15" s="122"/>
      <c r="AA15" s="122" t="s">
        <v>148</v>
      </c>
      <c r="AB15" s="123"/>
      <c r="AC15" s="66">
        <f>U5</f>
        <v>46179</v>
      </c>
      <c r="AD15" s="69" t="str">
        <f>IF(ISNUMBER(FIND("M",E15)),"m",IF(ISNUMBER(FIND("K",E15)),"k"))</f>
        <v>m</v>
      </c>
      <c r="AE15" s="67">
        <f>IF(OR(G15="",AC15=""),0,(YEAR(AC15)-YEAR(G15)))</f>
        <v>21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1.2285291511879326</v>
      </c>
    </row>
    <row r="16" spans="1:36" s="8" customFormat="1" ht="19.95" customHeight="1" x14ac:dyDescent="0.25">
      <c r="B16" s="105"/>
      <c r="C16" s="95"/>
      <c r="D16" s="95"/>
      <c r="E16" s="95"/>
      <c r="F16" s="96"/>
      <c r="G16" s="97"/>
      <c r="H16" s="98"/>
      <c r="I16" s="99"/>
      <c r="J16" s="99"/>
      <c r="K16" s="191"/>
      <c r="L16" s="191"/>
      <c r="M16" s="191"/>
      <c r="N16" s="192"/>
      <c r="O16" s="192"/>
      <c r="P16" s="192"/>
      <c r="Q16" s="139"/>
      <c r="R16" s="140"/>
      <c r="S16" s="191">
        <f>IF(T15="","",T15*1.2)</f>
        <v>346.44522063499699</v>
      </c>
      <c r="T16" s="191"/>
      <c r="U16" s="95"/>
      <c r="V16" s="95">
        <f>IF(V15&gt;0,V15*20,"")</f>
        <v>159.60000000000002</v>
      </c>
      <c r="W16" s="95">
        <f>IF(W15="","",(W15*10)*AJ15)</f>
        <v>136.73529452721692</v>
      </c>
      <c r="X16" s="101">
        <f>IF(ROUNDUP(X15,1)&gt;0,IF((80+(8-ROUNDUP(X15,1))*40)&lt;0,0,80+(8-ROUNDUP(X15,1))*40),"")</f>
        <v>164</v>
      </c>
      <c r="Y16" s="102">
        <f>IF(SUM(V16,W16,X16)&gt;0,SUM(V16,W16,X16),"")</f>
        <v>460.33529452721694</v>
      </c>
      <c r="Z16" s="103">
        <f>IF(AE15&gt;34,(IF(OR(S16="",V16="",W16="",X16=""),"",SUM(S16,V16,W16,X16))*AI15),IF(OR(S16="",V16="",W16="",X16=""),"", SUM(S16,V16,W16,X16)))</f>
        <v>806.78051516221399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19.95" customHeight="1" x14ac:dyDescent="0.3">
      <c r="B17" s="124"/>
      <c r="C17" s="107"/>
      <c r="D17" s="108"/>
      <c r="E17" s="107"/>
      <c r="F17" s="109"/>
      <c r="G17" s="110"/>
      <c r="H17" s="111"/>
      <c r="I17" s="126"/>
      <c r="J17" s="113"/>
      <c r="K17" s="114"/>
      <c r="L17" s="115"/>
      <c r="M17" s="115"/>
      <c r="N17" s="114"/>
      <c r="O17" s="115"/>
      <c r="P17" s="115"/>
      <c r="Q17" s="116" t="str">
        <f>IF(MAX(K17:M17)&gt;0,IF(MAX(K17:M17)&lt;0,0,TRUNC(MAX(K17:M17)/1)*1),"")</f>
        <v/>
      </c>
      <c r="R17" s="117" t="str">
        <f>IF(MAX(N17:P17)&gt;0,IF(MAX(N17:P17)&lt;0,0,TRUNC(MAX(N17:P17)/1)*1),"")</f>
        <v/>
      </c>
      <c r="S17" s="127" t="str">
        <f>IF(Q17="","",IF(R17="","",IF(SUM(Q17:R17)=0,"",SUM(Q17:R17))))</f>
        <v/>
      </c>
      <c r="T17" s="11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9" t="str">
        <f>IF(AF17=1,T17*AI17,"")</f>
        <v/>
      </c>
      <c r="V17" s="120"/>
      <c r="W17" s="120"/>
      <c r="X17" s="120"/>
      <c r="Y17" s="121"/>
      <c r="Z17" s="122"/>
      <c r="AA17" s="122"/>
      <c r="AB17" s="123"/>
      <c r="AC17" s="66">
        <f>U5</f>
        <v>46179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19.95" customHeight="1" x14ac:dyDescent="0.25">
      <c r="B18" s="105"/>
      <c r="C18" s="95"/>
      <c r="D18" s="95"/>
      <c r="E18" s="95"/>
      <c r="F18" s="96"/>
      <c r="G18" s="97"/>
      <c r="H18" s="98"/>
      <c r="I18" s="99"/>
      <c r="J18" s="99"/>
      <c r="K18" s="191"/>
      <c r="L18" s="191"/>
      <c r="M18" s="191"/>
      <c r="N18" s="192"/>
      <c r="O18" s="192"/>
      <c r="P18" s="192"/>
      <c r="Q18" s="100"/>
      <c r="R18" s="95"/>
      <c r="S18" s="191" t="str">
        <f>IF(T17="","",T17*1.2)</f>
        <v/>
      </c>
      <c r="T18" s="191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str">
        <f>IF(AE17&gt;34,(IF(OR(S18="",V18="",W18="",X18=""),"",SUM(S18,V18,W18,X18))*AI17),IF(OR(S18="",V18="",W18="",X18=""),"", SUM(S18,V18,W18,X18)))</f>
        <v/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19.95" customHeight="1" x14ac:dyDescent="0.3">
      <c r="B19" s="124" t="s">
        <v>84</v>
      </c>
      <c r="C19" s="107" t="s">
        <v>83</v>
      </c>
      <c r="D19" s="108">
        <v>105.16</v>
      </c>
      <c r="E19" s="107" t="s">
        <v>82</v>
      </c>
      <c r="F19" s="109" t="s">
        <v>65</v>
      </c>
      <c r="G19" s="110">
        <v>34333</v>
      </c>
      <c r="H19" s="111">
        <v>5</v>
      </c>
      <c r="I19" s="126" t="s">
        <v>81</v>
      </c>
      <c r="J19" s="113" t="s">
        <v>70</v>
      </c>
      <c r="K19" s="114">
        <v>-112</v>
      </c>
      <c r="L19" s="115">
        <v>115</v>
      </c>
      <c r="M19" s="115">
        <v>-122</v>
      </c>
      <c r="N19" s="114">
        <v>140</v>
      </c>
      <c r="O19" s="115">
        <v>150</v>
      </c>
      <c r="P19" s="115">
        <v>157</v>
      </c>
      <c r="Q19" s="116">
        <f>IF(MAX(K19:M19)&gt;0,IF(MAX(K19:M19)&lt;0,0,TRUNC(MAX(K19:M19)/1)*1),"")</f>
        <v>115</v>
      </c>
      <c r="R19" s="117">
        <f>IF(MAX(N19:P19)&gt;0,IF(MAX(N19:P19)&lt;0,0,TRUNC(MAX(N19:P19)/1)*1),"")</f>
        <v>157</v>
      </c>
      <c r="S19" s="127">
        <f>IF(Q19="","",IF(R19="","",IF(SUM(Q19:R19)=0,"",SUM(Q19:R19))))</f>
        <v>272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305.74095817510482</v>
      </c>
      <c r="U19" s="119" t="str">
        <f>IF(AF19=1,T19*AI19,"")</f>
        <v/>
      </c>
      <c r="V19" s="120">
        <v>7.63</v>
      </c>
      <c r="W19" s="120">
        <v>12.38</v>
      </c>
      <c r="X19" s="120">
        <v>6.81</v>
      </c>
      <c r="Y19" s="121"/>
      <c r="Z19" s="122"/>
      <c r="AA19" s="122" t="s">
        <v>148</v>
      </c>
      <c r="AB19" s="123"/>
      <c r="AC19" s="66">
        <f>U5</f>
        <v>46179</v>
      </c>
      <c r="AD19" s="69" t="str">
        <f>IF(ISNUMBER(FIND("M",E19)),"m",IF(ISNUMBER(FIND("K",E19)),"k"))</f>
        <v>m</v>
      </c>
      <c r="AE19" s="67">
        <f>IF(OR(G19="",AC19=""),0,(YEAR(AC19)-YEAR(G19)))</f>
        <v>33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1.12404764034965</v>
      </c>
    </row>
    <row r="20" spans="2:36" s="8" customFormat="1" ht="19.95" customHeight="1" x14ac:dyDescent="0.25">
      <c r="B20" s="105"/>
      <c r="C20" s="95"/>
      <c r="D20" s="95"/>
      <c r="E20" s="95"/>
      <c r="F20" s="96"/>
      <c r="G20" s="97"/>
      <c r="H20" s="98"/>
      <c r="I20" s="99"/>
      <c r="J20" s="99"/>
      <c r="K20" s="191"/>
      <c r="L20" s="191"/>
      <c r="M20" s="191"/>
      <c r="N20" s="192"/>
      <c r="O20" s="192"/>
      <c r="P20" s="192"/>
      <c r="Q20" s="100"/>
      <c r="R20" s="95"/>
      <c r="S20" s="191">
        <f>IF(T19="","",T19*1.2)</f>
        <v>366.88914981012579</v>
      </c>
      <c r="T20" s="191"/>
      <c r="U20" s="95"/>
      <c r="V20" s="95">
        <f>IF(V19&gt;0,V19*20,"")</f>
        <v>152.6</v>
      </c>
      <c r="W20" s="95">
        <f>IF(W19="","",(W19*10)*AJ19)</f>
        <v>139.15709787528669</v>
      </c>
      <c r="X20" s="101">
        <f>IF(ROUNDUP(X19,1)&gt;0,IF((80+(8-ROUNDUP(X19,1))*40)&lt;0,0,80+(8-ROUNDUP(X19,1))*40),"")</f>
        <v>124.00000000000003</v>
      </c>
      <c r="Y20" s="102">
        <f>IF(SUM(V20,W20,X20)&gt;0,SUM(V20,W20,X20),"")</f>
        <v>415.75709787528672</v>
      </c>
      <c r="Z20" s="103">
        <f>IF(AE19&gt;34,(IF(OR(S20="",V20="",W20="",X20=""),"",SUM(S20,V20,W20,X20))*AI19),IF(OR(S20="",V20="",W20="",X20=""),"", SUM(S20,V20,W20,X20)))</f>
        <v>782.6462476854125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19.95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46179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19.95" customHeight="1" x14ac:dyDescent="0.25">
      <c r="B22" s="105"/>
      <c r="C22" s="95"/>
      <c r="D22" s="95"/>
      <c r="E22" s="95"/>
      <c r="F22" s="96"/>
      <c r="G22" s="97"/>
      <c r="H22" s="98"/>
      <c r="I22" s="99"/>
      <c r="J22" s="99"/>
      <c r="K22" s="191"/>
      <c r="L22" s="191"/>
      <c r="M22" s="191"/>
      <c r="N22" s="192"/>
      <c r="O22" s="192"/>
      <c r="P22" s="192"/>
      <c r="Q22" s="100"/>
      <c r="R22" s="95"/>
      <c r="S22" s="191" t="str">
        <f>IF(T21="","",T21*1.2)</f>
        <v/>
      </c>
      <c r="T22" s="191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19.95" customHeight="1" x14ac:dyDescent="0.25">
      <c r="B23" s="124" t="s">
        <v>78</v>
      </c>
      <c r="C23" s="107" t="s">
        <v>79</v>
      </c>
      <c r="D23" s="108">
        <v>87.4</v>
      </c>
      <c r="E23" s="107" t="s">
        <v>80</v>
      </c>
      <c r="F23" s="109" t="s">
        <v>66</v>
      </c>
      <c r="G23" s="110">
        <v>32195</v>
      </c>
      <c r="H23" s="111">
        <v>6</v>
      </c>
      <c r="I23" s="112" t="s">
        <v>77</v>
      </c>
      <c r="J23" s="113" t="s">
        <v>70</v>
      </c>
      <c r="K23" s="114">
        <v>65</v>
      </c>
      <c r="L23" s="115">
        <v>70</v>
      </c>
      <c r="M23" s="115">
        <v>-75</v>
      </c>
      <c r="N23" s="114">
        <v>-97</v>
      </c>
      <c r="O23" s="115">
        <v>-97</v>
      </c>
      <c r="P23" s="115">
        <v>-102</v>
      </c>
      <c r="Q23" s="116">
        <f>IF(MAX(K23:M23)&gt;0,IF(MAX(K23:M23)&lt;0,0,TRUNC(MAX(K23:M23)/1)*1),"")</f>
        <v>70</v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e">
        <f>IF(AF23=1,T23*AI23,"")</f>
        <v>#VALUE!</v>
      </c>
      <c r="V23" s="120">
        <v>6.72</v>
      </c>
      <c r="W23" s="120">
        <v>10.1</v>
      </c>
      <c r="X23" s="120">
        <v>7.28</v>
      </c>
      <c r="Y23" s="121"/>
      <c r="Z23" s="122"/>
      <c r="AA23" s="122"/>
      <c r="AB23" s="123"/>
      <c r="AC23" s="66">
        <f>U5</f>
        <v>46179</v>
      </c>
      <c r="AD23" s="69" t="str">
        <f>IF(ISNUMBER(FIND("M",E23)),"m",IF(ISNUMBER(FIND("K",E23)),"k"))</f>
        <v>m</v>
      </c>
      <c r="AE23" s="82">
        <f>IF(OR(G23="",AC23=""),0,(YEAR(AC23)-YEAR(G23)))</f>
        <v>38</v>
      </c>
      <c r="AF23" s="34">
        <f t="shared" si="0"/>
        <v>1</v>
      </c>
      <c r="AG23" s="8">
        <f>IF(AF23=1,LOOKUP(AE23,'Meltzer-Faber'!A3:A63,'Meltzer-Faber'!B3:B63))</f>
        <v>1.109</v>
      </c>
      <c r="AH23" s="36">
        <f>IF(AF23=1,LOOKUP(AE23,'Meltzer-Faber'!A3:A63,'Meltzer-Faber'!C3:C63))</f>
        <v>1.1100000000000001</v>
      </c>
      <c r="AI23" s="36">
        <f t="shared" si="1"/>
        <v>1.109</v>
      </c>
      <c r="AJ23" s="86">
        <f>IF(D23="","",IF(D23&gt;193.609,1,IF(D23&lt;32,10^(0.722762521*LOG10(32/193.609)^2),10^(0.722762521*LOG10(D23/193.609)^2))))</f>
        <v>1.2196450339394762</v>
      </c>
    </row>
    <row r="24" spans="2:36" s="8" customFormat="1" ht="19.95" customHeight="1" x14ac:dyDescent="0.25">
      <c r="B24" s="105"/>
      <c r="C24" s="95"/>
      <c r="D24" s="95"/>
      <c r="E24" s="95"/>
      <c r="F24" s="96"/>
      <c r="G24" s="97"/>
      <c r="H24" s="98"/>
      <c r="I24" s="99"/>
      <c r="J24" s="99"/>
      <c r="K24" s="191"/>
      <c r="L24" s="191"/>
      <c r="M24" s="191"/>
      <c r="N24" s="192"/>
      <c r="O24" s="192"/>
      <c r="P24" s="192"/>
      <c r="Q24" s="100"/>
      <c r="R24" s="95"/>
      <c r="S24" s="191" t="str">
        <f>IF(T23="","",T23*1.2)</f>
        <v/>
      </c>
      <c r="T24" s="191"/>
      <c r="U24" s="95"/>
      <c r="V24" s="95">
        <f>IF(V23&gt;0,V23*20,"")</f>
        <v>134.4</v>
      </c>
      <c r="W24" s="95">
        <f>IF(W23="","",(W23*10)*AJ23)</f>
        <v>123.1841484278871</v>
      </c>
      <c r="X24" s="101">
        <f>IF(ROUNDUP(X23,1)&gt;0,IF((80+(8-ROUNDUP(X23,1))*40)&lt;0,0,80+(8-ROUNDUP(X23,1))*40),"")</f>
        <v>108</v>
      </c>
      <c r="Y24" s="102">
        <f>IF(SUM(V24,W24,X24)&gt;0,SUM(V24,W24,X24),"")</f>
        <v>365.5841484278871</v>
      </c>
      <c r="Z24" s="103" t="e">
        <f>IF(AE23&gt;34,(IF(OR(S24="",V24="",W24="",X24=""),"",SUM(S24,V24,W24,X24))*AI23),IF(OR(S24="",V24="",W24="",X24=""),"", SUM(S24,V24,W24,X24)))</f>
        <v>#VALUE!</v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19.95" customHeight="1" x14ac:dyDescent="0.25">
      <c r="B25" s="124" t="s">
        <v>121</v>
      </c>
      <c r="C25" s="107" t="s">
        <v>83</v>
      </c>
      <c r="D25" s="108">
        <v>103.33</v>
      </c>
      <c r="E25" s="107" t="s">
        <v>80</v>
      </c>
      <c r="F25" s="109" t="s">
        <v>66</v>
      </c>
      <c r="G25" s="110">
        <v>32433</v>
      </c>
      <c r="H25" s="111">
        <v>7</v>
      </c>
      <c r="I25" s="112" t="s">
        <v>122</v>
      </c>
      <c r="J25" s="113" t="s">
        <v>103</v>
      </c>
      <c r="K25" s="114">
        <v>87</v>
      </c>
      <c r="L25" s="115">
        <v>-94</v>
      </c>
      <c r="M25" s="115">
        <v>95</v>
      </c>
      <c r="N25" s="114">
        <v>120</v>
      </c>
      <c r="O25" s="115">
        <v>-125</v>
      </c>
      <c r="P25" s="115">
        <v>-127</v>
      </c>
      <c r="Q25" s="116">
        <f>IF(MAX(K25:M25)&gt;0,IF(MAX(K25:M25)&lt;0,0,TRUNC(MAX(K25:M25)/1)*1),"")</f>
        <v>95</v>
      </c>
      <c r="R25" s="117">
        <f>IF(MAX(N25:P25)&gt;0,IF(MAX(N25:P25)&lt;0,0,TRUNC(MAX(N25:P25)/1)*1),"")</f>
        <v>120</v>
      </c>
      <c r="S25" s="127">
        <f>IF(Q25="","",IF(R25="","",IF(SUM(Q25:R25)=0,"",SUM(Q25:R25))))</f>
        <v>215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243.32490053195176</v>
      </c>
      <c r="U25" s="119">
        <f>IF(AF25=1,T25*AI25,"")</f>
        <v>269.84731468993448</v>
      </c>
      <c r="V25" s="120"/>
      <c r="W25" s="120"/>
      <c r="X25" s="120"/>
      <c r="Y25" s="121"/>
      <c r="Z25" s="122"/>
      <c r="AA25" s="122"/>
      <c r="AB25" s="123"/>
      <c r="AC25" s="66">
        <f>U5</f>
        <v>46179</v>
      </c>
      <c r="AD25" s="69" t="str">
        <f>IF(ISNUMBER(FIND("M",E25)),"m",IF(ISNUMBER(FIND("K",E25)),"k"))</f>
        <v>m</v>
      </c>
      <c r="AE25" s="82">
        <f>IF(OR(G25="",AC25=""),0,(YEAR(AC25)-YEAR(G25)))</f>
        <v>38</v>
      </c>
      <c r="AF25" s="34">
        <f t="shared" ref="AF25" si="2">IF(AE25&gt;34,1,0)</f>
        <v>1</v>
      </c>
      <c r="AG25" s="8">
        <f>IF(AF25=1,LOOKUP(AE25,'Meltzer-Faber'!A3:A63,'Meltzer-Faber'!B3:B63))</f>
        <v>1.109</v>
      </c>
      <c r="AH25" s="36">
        <f>IF(AF25=1,LOOKUP(AE25,'Meltzer-Faber'!A3:A63,'Meltzer-Faber'!C3:C63))</f>
        <v>1.1100000000000001</v>
      </c>
      <c r="AI25" s="36">
        <f t="shared" ref="AI25" si="3">IF(AD25="m",AG25,IF(AD25="k",AH25,""))</f>
        <v>1.109</v>
      </c>
      <c r="AJ25" s="86">
        <f>IF(D25="","",IF(D25&gt;193.609,1,IF(D25&lt;32,10^(0.722762521*LOG10(32/193.609)^2),10^(0.722762521*LOG10(D25/193.609)^2))))</f>
        <v>1.1317437234044267</v>
      </c>
    </row>
    <row r="26" spans="2:36" s="8" customFormat="1" ht="19.95" customHeight="1" x14ac:dyDescent="0.25">
      <c r="B26" s="105"/>
      <c r="C26" s="95"/>
      <c r="D26" s="95"/>
      <c r="E26" s="95"/>
      <c r="F26" s="96"/>
      <c r="G26" s="97"/>
      <c r="H26" s="98"/>
      <c r="I26" s="99"/>
      <c r="J26" s="99"/>
      <c r="K26" s="191"/>
      <c r="L26" s="191"/>
      <c r="M26" s="191"/>
      <c r="N26" s="192"/>
      <c r="O26" s="192"/>
      <c r="P26" s="192"/>
      <c r="Q26" s="100"/>
      <c r="R26" s="95"/>
      <c r="S26" s="191">
        <f>IF(T25="","",T25*1.2)</f>
        <v>291.98988063834207</v>
      </c>
      <c r="T26" s="191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e">
        <f>IF(AE25&gt;34,(IF(OR(S26="",V26="",W26="",X26=""),"",SUM(S26,V26,W26,X26))*AI25),IF(OR(S26="",V26="",W26="",X26=""),"", SUM(S26,V26,W26,X26)))</f>
        <v>#VALUE!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19.95" customHeight="1" x14ac:dyDescent="0.25">
      <c r="B27" s="124" t="s">
        <v>119</v>
      </c>
      <c r="C27" s="128">
        <v>110</v>
      </c>
      <c r="D27" s="108">
        <v>96.82</v>
      </c>
      <c r="E27" s="129" t="s">
        <v>120</v>
      </c>
      <c r="F27" s="130" t="s">
        <v>66</v>
      </c>
      <c r="G27" s="131">
        <v>30050</v>
      </c>
      <c r="H27" s="107" t="s">
        <v>156</v>
      </c>
      <c r="I27" s="113" t="s">
        <v>116</v>
      </c>
      <c r="J27" s="113" t="s">
        <v>103</v>
      </c>
      <c r="K27" s="132">
        <v>85</v>
      </c>
      <c r="L27" s="133">
        <v>90</v>
      </c>
      <c r="M27" s="133">
        <v>-95</v>
      </c>
      <c r="N27" s="133">
        <v>100</v>
      </c>
      <c r="O27" s="134">
        <v>105</v>
      </c>
      <c r="P27" s="134">
        <v>107</v>
      </c>
      <c r="Q27" s="116">
        <f>IF(MAX(K27:M27)&gt;0,IF(MAX(K27:M27)&lt;0,0,TRUNC(MAX(K27:M27)/1)*1),"")</f>
        <v>90</v>
      </c>
      <c r="R27" s="117">
        <f>IF(MAX(N27:P27)&gt;0,IF(MAX(N27:P27)&lt;0,0,TRUNC(MAX(N27:P27)/1)*1),"")</f>
        <v>107</v>
      </c>
      <c r="S27" s="127">
        <f>IF(Q27="","",IF(R27="","",IF(SUM(Q27:R27)=0,"",SUM(Q27:R27))))</f>
        <v>197</v>
      </c>
      <c r="T27" s="118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229.05091552602076</v>
      </c>
      <c r="U27" s="119">
        <f>IF(AF27=1,T27*AI27,"")</f>
        <v>272.34153856043872</v>
      </c>
      <c r="V27" s="135"/>
      <c r="W27" s="135"/>
      <c r="X27" s="136"/>
      <c r="Y27" s="121"/>
      <c r="Z27" s="122"/>
      <c r="AA27" s="122"/>
      <c r="AB27" s="123"/>
      <c r="AC27" s="66">
        <f>U5</f>
        <v>46179</v>
      </c>
      <c r="AD27" s="69" t="str">
        <f>IF(ISNUMBER(FIND("M",E27)),"m",IF(ISNUMBER(FIND("K",E27)),"k"))</f>
        <v>m</v>
      </c>
      <c r="AE27" s="82">
        <f>IF(OR(G27="",AC27=""),0,(YEAR(AC27)-YEAR(G27)))</f>
        <v>44</v>
      </c>
      <c r="AF27" s="34">
        <f t="shared" ref="AF27" si="4">IF(AE27&gt;34,1,0)</f>
        <v>1</v>
      </c>
      <c r="AG27" s="8">
        <f>IF(AF27=1,LOOKUP(AE27,'Meltzer-Faber'!A3:A63,'Meltzer-Faber'!B3:B63))</f>
        <v>1.1890000000000001</v>
      </c>
      <c r="AH27" s="36">
        <f>IF(AF27=1,LOOKUP(AE27,'Meltzer-Faber'!A3:A63,'Meltzer-Faber'!C3:C63))</f>
        <v>1.2050000000000001</v>
      </c>
      <c r="AI27" s="36">
        <f t="shared" ref="AI27" si="5">IF(AD27="m",AG27,IF(AD27="k",AH27,""))</f>
        <v>1.1890000000000001</v>
      </c>
      <c r="AJ27" s="86">
        <f>IF(D27="","",IF(D27&gt;193.609,1,IF(D27&lt;32,10^(0.722762521*LOG10(32/193.609)^2),10^(0.722762521*LOG10(D27/193.609)^2))))</f>
        <v>1.1626950026701561</v>
      </c>
    </row>
    <row r="28" spans="2:36" s="8" customFormat="1" ht="19.95" customHeight="1" x14ac:dyDescent="0.25">
      <c r="B28" s="105"/>
      <c r="C28" s="141"/>
      <c r="D28" s="95"/>
      <c r="E28" s="96"/>
      <c r="F28" s="96"/>
      <c r="G28" s="142"/>
      <c r="H28" s="97"/>
      <c r="I28" s="99" t="s">
        <v>13</v>
      </c>
      <c r="J28" s="99"/>
      <c r="K28" s="192"/>
      <c r="L28" s="192"/>
      <c r="M28" s="192"/>
      <c r="N28" s="192"/>
      <c r="O28" s="192"/>
      <c r="P28" s="192"/>
      <c r="Q28" s="100"/>
      <c r="R28" s="95"/>
      <c r="S28" s="191">
        <f>IF(T27="","",T27*1.2)</f>
        <v>274.86109863122488</v>
      </c>
      <c r="T28" s="191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e">
        <f>IF(AE27&gt;34,(IF(OR(S28="",V28="",W28="",X28=""),"",SUM(S28,V28,W28,X28))*AI27),IF(OR(S28="",V28="",W28="",X28=""),"", SUM(S28,V28,W28,X28)))</f>
        <v>#VALUE!</v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19.95" customHeight="1" x14ac:dyDescent="0.25">
      <c r="B29" s="124" t="s">
        <v>76</v>
      </c>
      <c r="C29" s="128">
        <v>110</v>
      </c>
      <c r="D29" s="108">
        <v>112.21</v>
      </c>
      <c r="E29" s="129" t="s">
        <v>75</v>
      </c>
      <c r="F29" s="130" t="s">
        <v>66</v>
      </c>
      <c r="G29" s="131">
        <v>29168</v>
      </c>
      <c r="H29" s="107" t="s">
        <v>157</v>
      </c>
      <c r="I29" s="113" t="s">
        <v>74</v>
      </c>
      <c r="J29" s="113" t="s">
        <v>70</v>
      </c>
      <c r="K29" s="132">
        <v>48</v>
      </c>
      <c r="L29" s="133">
        <v>52</v>
      </c>
      <c r="M29" s="133">
        <v>56</v>
      </c>
      <c r="N29" s="133">
        <v>65</v>
      </c>
      <c r="O29" s="134">
        <v>70</v>
      </c>
      <c r="P29" s="134">
        <v>75</v>
      </c>
      <c r="Q29" s="116">
        <f>IF(MAX(K29:M29)&gt;0,IF(MAX(K29:M29)&lt;0,0,TRUNC(MAX(K29:M29)/1)*1),"")</f>
        <v>56</v>
      </c>
      <c r="R29" s="117">
        <f>IF(MAX(N29:P29)&gt;0,IF(MAX(N29:P29)&lt;0,0,TRUNC(MAX(N29:P29)/1)*1),"")</f>
        <v>75</v>
      </c>
      <c r="S29" s="127">
        <f>IF(Q29="","",IF(R29="","",IF(SUM(Q29:R29)=0,"",SUM(Q29:R29))))</f>
        <v>131</v>
      </c>
      <c r="T29" s="118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>143.82415472666099</v>
      </c>
      <c r="U29" s="119">
        <f>IF(AF29=1,T29*AI29,"")</f>
        <v>177.33518277797302</v>
      </c>
      <c r="V29" s="120">
        <v>6.36</v>
      </c>
      <c r="W29" s="120">
        <v>10.9</v>
      </c>
      <c r="X29" s="120">
        <v>8.0299999999999994</v>
      </c>
      <c r="Y29" s="121"/>
      <c r="Z29" s="122"/>
      <c r="AA29" s="122" t="s">
        <v>148</v>
      </c>
      <c r="AB29" s="123"/>
      <c r="AC29" s="66">
        <f>U5</f>
        <v>46179</v>
      </c>
      <c r="AD29" s="69" t="str">
        <f>IF(ISNUMBER(FIND("M",E29)),"m",IF(ISNUMBER(FIND("K",E29)),"k"))</f>
        <v>m</v>
      </c>
      <c r="AE29" s="82">
        <f>IF(OR(G29="",AC29=""),0,(YEAR(AC29)-YEAR(G29)))</f>
        <v>47</v>
      </c>
      <c r="AF29" s="34">
        <f t="shared" ref="AF29" si="6">IF(AE29&gt;34,1,0)</f>
        <v>1</v>
      </c>
      <c r="AG29" s="8">
        <f>IF(AF29=1,LOOKUP(AE29,'Meltzer-Faber'!A3:A63,'Meltzer-Faber'!B3:B63))</f>
        <v>1.2330000000000001</v>
      </c>
      <c r="AH29" s="36">
        <f>IF(AF29=1,LOOKUP(AE29,'Meltzer-Faber'!A3:A63,'Meltzer-Faber'!C3:C63))</f>
        <v>1.2649999999999999</v>
      </c>
      <c r="AI29" s="36">
        <f t="shared" ref="AI29" si="7">IF(AD29="m",AG29,IF(AD29="k",AH29,""))</f>
        <v>1.2330000000000001</v>
      </c>
      <c r="AJ29" s="86">
        <f>IF(D29="","",IF(D29&gt;193.609,1,IF(D29&lt;32,10^(0.722762521*LOG10(32/193.609)^2),10^(0.722762521*LOG10(D29/193.609)^2))))</f>
        <v>1.0978943108905419</v>
      </c>
    </row>
    <row r="30" spans="2:36" s="8" customFormat="1" ht="19.95" customHeight="1" x14ac:dyDescent="0.25">
      <c r="B30" s="105"/>
      <c r="C30" s="141"/>
      <c r="D30" s="95"/>
      <c r="E30" s="96"/>
      <c r="F30" s="96"/>
      <c r="G30" s="142"/>
      <c r="H30" s="97"/>
      <c r="I30" s="99"/>
      <c r="J30" s="99"/>
      <c r="K30" s="192"/>
      <c r="L30" s="192"/>
      <c r="M30" s="192"/>
      <c r="N30" s="192"/>
      <c r="O30" s="192"/>
      <c r="P30" s="192"/>
      <c r="Q30" s="100"/>
      <c r="R30" s="95"/>
      <c r="S30" s="191">
        <f>IF(T29="","",T29*1.2)</f>
        <v>172.58898567199319</v>
      </c>
      <c r="T30" s="191"/>
      <c r="U30" s="95"/>
      <c r="V30" s="95">
        <f>IF(V29&gt;0,V29*20,"")</f>
        <v>127.2</v>
      </c>
      <c r="W30" s="95">
        <f>IF(W29="","",(W29*10)*AJ29)</f>
        <v>119.67047988706906</v>
      </c>
      <c r="X30" s="101">
        <f>IF(ROUNDUP(X29,1)&gt;0,IF((80+(8-ROUNDUP(X29,1))*40)&lt;0,0,80+(8-ROUNDUP(X29,1))*40),"")</f>
        <v>76.000000000000014</v>
      </c>
      <c r="Y30" s="102">
        <f>IF(SUM(V30,W30,X30)&gt;0,SUM(V30,W30,X30),"")</f>
        <v>322.87047988706905</v>
      </c>
      <c r="Z30" s="103">
        <f>IF(AE29&gt;34,(IF(OR(S30="",V30="",W30="",X30=""),"",SUM(S30,V30,W30,X30))*AI29),IF(OR(S30="",V30="",W30="",X30=""),"", SUM(S30,V30,W30,X30)))</f>
        <v>610.90152103432388</v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19.95" customHeight="1" x14ac:dyDescent="0.25">
      <c r="B31" s="124" t="s">
        <v>73</v>
      </c>
      <c r="C31" s="128">
        <v>79</v>
      </c>
      <c r="D31" s="108">
        <v>78.63</v>
      </c>
      <c r="E31" s="129" t="s">
        <v>72</v>
      </c>
      <c r="F31" s="130" t="s">
        <v>66</v>
      </c>
      <c r="G31" s="131">
        <v>22528</v>
      </c>
      <c r="H31" s="107" t="s">
        <v>158</v>
      </c>
      <c r="I31" s="113" t="s">
        <v>71</v>
      </c>
      <c r="J31" s="113" t="s">
        <v>70</v>
      </c>
      <c r="K31" s="132">
        <v>65</v>
      </c>
      <c r="L31" s="133">
        <v>-70</v>
      </c>
      <c r="M31" s="133">
        <v>-70</v>
      </c>
      <c r="N31" s="133">
        <v>85</v>
      </c>
      <c r="O31" s="134">
        <v>-90</v>
      </c>
      <c r="P31" s="134">
        <v>-92</v>
      </c>
      <c r="Q31" s="116">
        <f>IF(MAX(K31:M31)&gt;0,IF(MAX(K31:M31)&lt;0,0,TRUNC(MAX(K31:M31)/1)*1),"")</f>
        <v>65</v>
      </c>
      <c r="R31" s="117">
        <f>IF(MAX(N31:P31)&gt;0,IF(MAX(N31:P31)&lt;0,0,TRUNC(MAX(N31:P31)/1)*1),"")</f>
        <v>85</v>
      </c>
      <c r="S31" s="127">
        <f>IF(Q31="","",IF(R31="","",IF(SUM(Q31:R31)=0,"",SUM(Q31:R31))))</f>
        <v>150</v>
      </c>
      <c r="T31" s="118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>193.54351367736797</v>
      </c>
      <c r="U31" s="119">
        <f>IF(AF31=1,T31*AI31,"")</f>
        <v>321.86286324546296</v>
      </c>
      <c r="V31" s="135">
        <v>6.92</v>
      </c>
      <c r="W31" s="135">
        <v>8.73</v>
      </c>
      <c r="X31" s="136">
        <v>7.69</v>
      </c>
      <c r="Y31" s="121"/>
      <c r="Z31" s="122"/>
      <c r="AA31" s="122" t="s">
        <v>148</v>
      </c>
      <c r="AB31" s="123"/>
      <c r="AC31" s="66">
        <f>U5</f>
        <v>46179</v>
      </c>
      <c r="AD31" s="69" t="str">
        <f>IF(ISNUMBER(FIND("M",E31)),"m",IF(ISNUMBER(FIND("K",E31)),"k"))</f>
        <v>m</v>
      </c>
      <c r="AE31" s="82">
        <f>IF(OR(G31="",AC31=""),0,(YEAR(AC31)-YEAR(G31)))</f>
        <v>65</v>
      </c>
      <c r="AF31" s="34">
        <f t="shared" ref="AF31" si="8">IF(AE31&gt;34,1,0)</f>
        <v>1</v>
      </c>
      <c r="AG31" s="8">
        <f>IF(AF31=1,LOOKUP(AE31,'Meltzer-Faber'!A3:A63,'Meltzer-Faber'!B3:B63))</f>
        <v>1.663</v>
      </c>
      <c r="AH31" s="36">
        <f>IF(AF31=1,LOOKUP(AE31,'Meltzer-Faber'!A3:A63,'Meltzer-Faber'!C3:C63))</f>
        <v>1.873</v>
      </c>
      <c r="AI31" s="36">
        <f t="shared" ref="AI31" si="9">IF(AD31="m",AG31,IF(AD31="k",AH31,""))</f>
        <v>1.663</v>
      </c>
      <c r="AJ31" s="86">
        <f>IF(D31="","",IF(D31&gt;193.609,1,IF(D31&lt;32,10^(0.722762521*LOG10(32/193.609)^2),10^(0.722762521*LOG10(D31/193.609)^2))))</f>
        <v>1.2902900911824531</v>
      </c>
    </row>
    <row r="32" spans="2:36" s="8" customFormat="1" ht="19.95" customHeight="1" x14ac:dyDescent="0.25">
      <c r="B32" s="105"/>
      <c r="C32" s="141"/>
      <c r="D32" s="95"/>
      <c r="E32" s="96"/>
      <c r="F32" s="96" t="s">
        <v>155</v>
      </c>
      <c r="G32" s="142"/>
      <c r="H32" s="97"/>
      <c r="I32" s="99"/>
      <c r="J32" s="99"/>
      <c r="K32" s="192"/>
      <c r="L32" s="192"/>
      <c r="M32" s="192"/>
      <c r="N32" s="192"/>
      <c r="O32" s="192"/>
      <c r="P32" s="192"/>
      <c r="Q32" s="100"/>
      <c r="R32" s="95"/>
      <c r="S32" s="191">
        <f>IF(T31="","",T31*1.2)</f>
        <v>232.25221641284156</v>
      </c>
      <c r="T32" s="191"/>
      <c r="U32" s="95"/>
      <c r="V32" s="95">
        <f>IF(V31&gt;0,V31*20,"")</f>
        <v>138.4</v>
      </c>
      <c r="W32" s="95">
        <f>IF(W31="","",(W31*10)*AJ31)</f>
        <v>112.64232496022817</v>
      </c>
      <c r="X32" s="101">
        <f>IF(ROUNDUP(X31,1)&gt;0,IF((80+(8-ROUNDUP(X31,1))*40)&lt;0,0,80+(8-ROUNDUP(X31,1))*40),"")</f>
        <v>92.000000000000028</v>
      </c>
      <c r="Y32" s="102">
        <f>IF(SUM(V32,W32,X32)&gt;0,SUM(V32,W32,X32),"")</f>
        <v>343.0423249602282</v>
      </c>
      <c r="Z32" s="103">
        <f>IF(AE31&gt;34,(IF(OR(S32="",V32="",W32="",X32=""),"",SUM(S32,V32,W32,X32))*AI31),IF(OR(S32="",V32="",W32="",X32=""),"", SUM(S32,V32,W32,X32)))</f>
        <v>956.71482230341496</v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.05" customHeight="1" x14ac:dyDescent="0.25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93" t="s">
        <v>34</v>
      </c>
      <c r="C35" s="194"/>
      <c r="D35" s="77" t="s">
        <v>33</v>
      </c>
      <c r="E35" s="193" t="s">
        <v>4</v>
      </c>
      <c r="F35" s="195"/>
      <c r="G35" s="195"/>
      <c r="H35" s="194"/>
      <c r="I35" s="50" t="s">
        <v>42</v>
      </c>
      <c r="J35" s="21"/>
      <c r="K35" s="193" t="s">
        <v>34</v>
      </c>
      <c r="L35" s="195"/>
      <c r="M35" s="194"/>
      <c r="N35" s="54" t="s">
        <v>33</v>
      </c>
      <c r="O35" s="196" t="s">
        <v>4</v>
      </c>
      <c r="P35" s="197"/>
      <c r="Q35" s="197"/>
      <c r="R35" s="198"/>
      <c r="S35" s="196" t="s">
        <v>42</v>
      </c>
      <c r="T35" s="198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199" t="s">
        <v>40</v>
      </c>
      <c r="C36" s="200"/>
      <c r="D36" s="78">
        <v>1982008</v>
      </c>
      <c r="E36" s="201" t="s">
        <v>160</v>
      </c>
      <c r="F36" s="202"/>
      <c r="G36" s="202"/>
      <c r="H36" s="200"/>
      <c r="I36" s="49" t="s">
        <v>70</v>
      </c>
      <c r="J36" s="4"/>
      <c r="K36" s="199" t="s">
        <v>35</v>
      </c>
      <c r="L36" s="202"/>
      <c r="M36" s="200"/>
      <c r="N36" s="51">
        <v>1964010</v>
      </c>
      <c r="O36" s="203" t="s">
        <v>136</v>
      </c>
      <c r="P36" s="204"/>
      <c r="Q36" s="204"/>
      <c r="R36" s="205"/>
      <c r="S36" s="203" t="s">
        <v>103</v>
      </c>
      <c r="T36" s="206"/>
      <c r="AF36" s="1"/>
      <c r="AH36" s="35"/>
      <c r="AI36" s="35"/>
    </row>
    <row r="37" spans="2:35" s="5" customFormat="1" ht="21" customHeight="1" x14ac:dyDescent="0.25">
      <c r="B37" s="207" t="s">
        <v>36</v>
      </c>
      <c r="C37" s="208"/>
      <c r="D37" s="79">
        <v>1960003</v>
      </c>
      <c r="E37" s="209" t="s">
        <v>135</v>
      </c>
      <c r="F37" s="210"/>
      <c r="G37" s="210"/>
      <c r="H37" s="208"/>
      <c r="I37" s="47" t="s">
        <v>103</v>
      </c>
      <c r="J37" s="4"/>
      <c r="K37" s="207" t="s">
        <v>38</v>
      </c>
      <c r="L37" s="210"/>
      <c r="M37" s="208"/>
      <c r="N37" s="52">
        <v>1979002</v>
      </c>
      <c r="O37" s="211" t="s">
        <v>134</v>
      </c>
      <c r="P37" s="212"/>
      <c r="Q37" s="212"/>
      <c r="R37" s="213"/>
      <c r="S37" s="211" t="s">
        <v>70</v>
      </c>
      <c r="T37" s="214"/>
      <c r="AH37" s="35"/>
      <c r="AI37" s="35"/>
    </row>
    <row r="38" spans="2:35" s="5" customFormat="1" ht="19.05" customHeight="1" x14ac:dyDescent="0.25">
      <c r="B38" s="207" t="s">
        <v>36</v>
      </c>
      <c r="C38" s="208"/>
      <c r="D38" s="79">
        <v>1980003</v>
      </c>
      <c r="E38" s="209" t="s">
        <v>139</v>
      </c>
      <c r="F38" s="210"/>
      <c r="G38" s="210"/>
      <c r="H38" s="208"/>
      <c r="I38" s="47" t="s">
        <v>70</v>
      </c>
      <c r="J38" s="4"/>
      <c r="K38" s="207" t="s">
        <v>37</v>
      </c>
      <c r="L38" s="210"/>
      <c r="M38" s="208"/>
      <c r="N38" s="52"/>
      <c r="O38" s="211"/>
      <c r="P38" s="212"/>
      <c r="Q38" s="212"/>
      <c r="R38" s="213"/>
      <c r="S38" s="211"/>
      <c r="T38" s="214"/>
      <c r="V38" s="5" t="s">
        <v>54</v>
      </c>
      <c r="AH38" s="35"/>
      <c r="AI38" s="35"/>
    </row>
    <row r="39" spans="2:35" s="5" customFormat="1" ht="21" customHeight="1" x14ac:dyDescent="0.25">
      <c r="B39" s="207" t="s">
        <v>36</v>
      </c>
      <c r="C39" s="208"/>
      <c r="D39" s="79">
        <v>1940002</v>
      </c>
      <c r="E39" s="209" t="s">
        <v>138</v>
      </c>
      <c r="F39" s="210"/>
      <c r="G39" s="210"/>
      <c r="H39" s="208"/>
      <c r="I39" s="47" t="s">
        <v>114</v>
      </c>
      <c r="J39" s="4"/>
      <c r="K39" s="207" t="s">
        <v>55</v>
      </c>
      <c r="L39" s="210"/>
      <c r="M39" s="208"/>
      <c r="N39" s="52">
        <v>1979002</v>
      </c>
      <c r="O39" s="211" t="s">
        <v>134</v>
      </c>
      <c r="P39" s="212"/>
      <c r="Q39" s="212"/>
      <c r="R39" s="213"/>
      <c r="S39" s="211" t="s">
        <v>70</v>
      </c>
      <c r="T39" s="214"/>
      <c r="AD39" s="5" t="s">
        <v>13</v>
      </c>
      <c r="AH39" s="35"/>
      <c r="AI39" s="35"/>
    </row>
    <row r="40" spans="2:35" s="5" customFormat="1" ht="19.95" customHeight="1" x14ac:dyDescent="0.25">
      <c r="B40" s="207" t="s">
        <v>36</v>
      </c>
      <c r="C40" s="208"/>
      <c r="D40" s="79"/>
      <c r="E40" s="209"/>
      <c r="F40" s="210"/>
      <c r="G40" s="210"/>
      <c r="H40" s="208"/>
      <c r="I40" s="47"/>
      <c r="J40" s="4"/>
      <c r="K40" s="207"/>
      <c r="L40" s="210"/>
      <c r="M40" s="208"/>
      <c r="N40" s="52"/>
      <c r="O40" s="211"/>
      <c r="P40" s="212"/>
      <c r="Q40" s="212"/>
      <c r="R40" s="213"/>
      <c r="S40" s="211"/>
      <c r="T40" s="214"/>
      <c r="AH40" s="35"/>
      <c r="AI40" s="35"/>
    </row>
    <row r="41" spans="2:35" ht="19.05" customHeight="1" x14ac:dyDescent="0.25">
      <c r="B41" s="207" t="s">
        <v>36</v>
      </c>
      <c r="C41" s="208"/>
      <c r="D41" s="79"/>
      <c r="E41" s="209"/>
      <c r="F41" s="210"/>
      <c r="G41" s="210"/>
      <c r="H41" s="208"/>
      <c r="I41" s="47"/>
      <c r="J41" s="3"/>
      <c r="K41" s="207"/>
      <c r="L41" s="210"/>
      <c r="M41" s="208"/>
      <c r="N41" s="52"/>
      <c r="O41" s="211"/>
      <c r="P41" s="212"/>
      <c r="Q41" s="212"/>
      <c r="R41" s="213"/>
      <c r="S41" s="211"/>
      <c r="T41" s="214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207" t="s">
        <v>39</v>
      </c>
      <c r="C42" s="208"/>
      <c r="D42" s="79">
        <v>1964010</v>
      </c>
      <c r="E42" s="209" t="s">
        <v>136</v>
      </c>
      <c r="F42" s="210"/>
      <c r="G42" s="210"/>
      <c r="H42" s="208"/>
      <c r="I42" s="47" t="s">
        <v>103</v>
      </c>
      <c r="J42" s="3"/>
      <c r="K42" s="207"/>
      <c r="L42" s="210"/>
      <c r="M42" s="208"/>
      <c r="N42" s="52"/>
      <c r="O42" s="211"/>
      <c r="P42" s="212"/>
      <c r="Q42" s="212"/>
      <c r="R42" s="213"/>
      <c r="S42" s="211"/>
      <c r="T42" s="214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219"/>
      <c r="C43" s="223"/>
      <c r="D43" s="80"/>
      <c r="E43" s="224"/>
      <c r="F43" s="220"/>
      <c r="G43" s="220"/>
      <c r="H43" s="223"/>
      <c r="I43" s="48"/>
      <c r="J43" s="3"/>
      <c r="K43" s="219"/>
      <c r="L43" s="220"/>
      <c r="M43" s="223"/>
      <c r="N43" s="53"/>
      <c r="O43" s="225"/>
      <c r="P43" s="226"/>
      <c r="Q43" s="226"/>
      <c r="R43" s="227"/>
      <c r="S43" s="225"/>
      <c r="T43" s="228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229"/>
      <c r="C44" s="229"/>
      <c r="D44" s="215"/>
      <c r="E44" s="215"/>
      <c r="F44" s="56"/>
      <c r="G44" s="215"/>
      <c r="H44" s="215"/>
      <c r="I44" s="215"/>
      <c r="J44" s="3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216" t="s">
        <v>41</v>
      </c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219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222"/>
      <c r="F50" s="222"/>
      <c r="G50" s="222"/>
    </row>
  </sheetData>
  <mergeCells count="102"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</mergeCells>
  <conditionalFormatting sqref="K27">
    <cfRule type="cellIs" dxfId="29" priority="29" stopIfTrue="1" operator="between">
      <formula>1</formula>
      <formula>300</formula>
    </cfRule>
    <cfRule type="cellIs" dxfId="28" priority="30" stopIfTrue="1" operator="lessThanOrEqual">
      <formula>0</formula>
    </cfRule>
  </conditionalFormatting>
  <conditionalFormatting sqref="K29">
    <cfRule type="cellIs" dxfId="27" priority="27" stopIfTrue="1" operator="between">
      <formula>1</formula>
      <formula>300</formula>
    </cfRule>
    <cfRule type="cellIs" dxfId="26" priority="28" stopIfTrue="1" operator="lessThanOrEqual">
      <formula>0</formula>
    </cfRule>
  </conditionalFormatting>
  <conditionalFormatting sqref="K31">
    <cfRule type="cellIs" dxfId="25" priority="25" stopIfTrue="1" operator="between">
      <formula>1</formula>
      <formula>300</formula>
    </cfRule>
    <cfRule type="cellIs" dxfId="24" priority="26" stopIfTrue="1" operator="lessThanOrEqual">
      <formula>0</formula>
    </cfRule>
  </conditionalFormatting>
  <conditionalFormatting sqref="K9:P9">
    <cfRule type="cellIs" dxfId="23" priority="19" stopIfTrue="1" operator="between">
      <formula>1</formula>
      <formula>300</formula>
    </cfRule>
    <cfRule type="cellIs" dxfId="22" priority="20" stopIfTrue="1" operator="lessThanOrEqual">
      <formula>0</formula>
    </cfRule>
  </conditionalFormatting>
  <conditionalFormatting sqref="K11:P11">
    <cfRule type="cellIs" dxfId="21" priority="17" stopIfTrue="1" operator="between">
      <formula>1</formula>
      <formula>300</formula>
    </cfRule>
    <cfRule type="cellIs" dxfId="20" priority="18" stopIfTrue="1" operator="lessThanOrEqual">
      <formula>0</formula>
    </cfRule>
  </conditionalFormatting>
  <conditionalFormatting sqref="K13:P13">
    <cfRule type="cellIs" dxfId="19" priority="5" stopIfTrue="1" operator="between">
      <formula>1</formula>
      <formula>300</formula>
    </cfRule>
    <cfRule type="cellIs" dxfId="18" priority="6" stopIfTrue="1" operator="lessThanOrEqual">
      <formula>0</formula>
    </cfRule>
  </conditionalFormatting>
  <conditionalFormatting sqref="K15:P15">
    <cfRule type="cellIs" dxfId="17" priority="3" stopIfTrue="1" operator="between">
      <formula>1</formula>
      <formula>300</formula>
    </cfRule>
    <cfRule type="cellIs" dxfId="16" priority="4" stopIfTrue="1" operator="lessThanOrEqual">
      <formula>0</formula>
    </cfRule>
  </conditionalFormatting>
  <conditionalFormatting sqref="K17:P17">
    <cfRule type="cellIs" dxfId="15" priority="21" stopIfTrue="1" operator="between">
      <formula>1</formula>
      <formula>300</formula>
    </cfRule>
    <cfRule type="cellIs" dxfId="14" priority="22" stopIfTrue="1" operator="lessThanOrEqual">
      <formula>0</formula>
    </cfRule>
  </conditionalFormatting>
  <conditionalFormatting sqref="K19:P19">
    <cfRule type="cellIs" dxfId="13" priority="7" stopIfTrue="1" operator="between">
      <formula>1</formula>
      <formula>300</formula>
    </cfRule>
    <cfRule type="cellIs" dxfId="12" priority="8" stopIfTrue="1" operator="lessThanOrEqual">
      <formula>0</formula>
    </cfRule>
  </conditionalFormatting>
  <conditionalFormatting sqref="K21:P21">
    <cfRule type="cellIs" dxfId="11" priority="9" stopIfTrue="1" operator="between">
      <formula>1</formula>
      <formula>300</formula>
    </cfRule>
    <cfRule type="cellIs" dxfId="10" priority="10" stopIfTrue="1" operator="lessThanOrEqual">
      <formula>0</formula>
    </cfRule>
  </conditionalFormatting>
  <conditionalFormatting sqref="K23:P23">
    <cfRule type="cellIs" dxfId="9" priority="1" stopIfTrue="1" operator="between">
      <formula>1</formula>
      <formula>300</formula>
    </cfRule>
    <cfRule type="cellIs" dxfId="8" priority="2" stopIfTrue="1" operator="lessThanOrEqual">
      <formula>0</formula>
    </cfRule>
  </conditionalFormatting>
  <conditionalFormatting sqref="K25:P25">
    <cfRule type="cellIs" dxfId="7" priority="23" stopIfTrue="1" operator="between">
      <formula>1</formula>
      <formula>300</formula>
    </cfRule>
    <cfRule type="cellIs" dxfId="6" priority="24" stopIfTrue="1" operator="lessThanOrEqual">
      <formula>0</formula>
    </cfRule>
  </conditionalFormatting>
  <conditionalFormatting sqref="L27:N27">
    <cfRule type="cellIs" dxfId="5" priority="35" stopIfTrue="1" operator="between">
      <formula>1</formula>
      <formula>300</formula>
    </cfRule>
    <cfRule type="cellIs" dxfId="4" priority="36" stopIfTrue="1" operator="lessThanOrEqual">
      <formula>0</formula>
    </cfRule>
  </conditionalFormatting>
  <conditionalFormatting sqref="L29:N29">
    <cfRule type="cellIs" dxfId="3" priority="33" stopIfTrue="1" operator="between">
      <formula>1</formula>
      <formula>300</formula>
    </cfRule>
    <cfRule type="cellIs" dxfId="2" priority="34" stopIfTrue="1" operator="lessThanOrEqual">
      <formula>0</formula>
    </cfRule>
  </conditionalFormatting>
  <conditionalFormatting sqref="L31:N31">
    <cfRule type="cellIs" dxfId="1" priority="31" stopIfTrue="1" operator="between">
      <formula>1</formula>
      <formula>300</formula>
    </cfRule>
    <cfRule type="cellIs" dxfId="0" priority="32" stopIfTrue="1" operator="lessThanOrEqual">
      <formula>0</formula>
    </cfRule>
  </conditionalFormatting>
  <dataValidations count="6">
    <dataValidation type="list" allowBlank="1" showInputMessage="1" showErrorMessage="1" sqref="F9 F11 F31 F13 F17 F19 F21 F15 F25 F27 F29 F23" xr:uid="{FC77AFFA-F080-B44B-9F5B-D94E911A8ABC}">
      <formula1>"11-12,13-14,15-16,17-18,19-23,24-34,+35"</formula1>
    </dataValidation>
    <dataValidation type="list" allowBlank="1" showInputMessage="1" showErrorMessage="1" prompt="Feil_i_kat. 5-kamp - Feil verdi i kategori 5-kamp" sqref="G12" xr:uid="{C7E12B2F-757C-0141-94F8-4D0D1A36A21A}">
      <formula1>"11-12,13-14,15-16,17-18,19-23,24-34,+35,35+"</formula1>
    </dataValidation>
    <dataValidation type="list" allowBlank="1" showInputMessage="1" showErrorMessage="1" sqref="E9 F12 E11 E13 E17 E19 E21 E15 E25 E27 E29 E31 E23" xr:uid="{198EFB6E-24CC-4446-8792-61B06710178D}">
      <formula1>"UM,JM,SM,UK,JK,SK,M35,M40,M45,M50,M55,M60,M65,M70,M75,M80,M85,M90,K35,K40,K45,K50,K55,K60,K65,K70,K75,K80,K85,K90"</formula1>
    </dataValidation>
    <dataValidation type="list" allowBlank="1" showInputMessage="1" showErrorMessage="1" sqref="C9 C11 C31 C13 C17 C19 C21 C15 C25 C27 C29 C23" xr:uid="{5B2C7448-9AB5-614A-999F-A6E0968F371D}">
      <formula1>"44,48,53,56,58,60,63,65,69,71,77,'+77,79,86,'+86,88,94,'+94,110,'+110"</formula1>
    </dataValidation>
    <dataValidation type="list" allowBlank="1" showInputMessage="1" showErrorMessage="1" sqref="D5:I5" xr:uid="{F8DBE25A-B11C-0841-B155-3D9074542245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7BCCF461-ADF9-C748-8DE1-33DB89814AE7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9" orientation="landscape" copies="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21875" defaultRowHeight="12.6" x14ac:dyDescent="0.25"/>
  <cols>
    <col min="1" max="1" width="11.44140625" customWidth="1"/>
    <col min="2" max="2" width="11.5546875" style="23" customWidth="1"/>
    <col min="3" max="3" width="12.44140625" bestFit="1" customWidth="1"/>
  </cols>
  <sheetData>
    <row r="1" spans="1:3" ht="13.2" x14ac:dyDescent="0.25">
      <c r="A1" s="230" t="s">
        <v>24</v>
      </c>
      <c r="B1" s="230"/>
      <c r="C1" s="230"/>
    </row>
    <row r="2" spans="1:3" ht="13.2" x14ac:dyDescent="0.25">
      <c r="A2" s="28" t="s">
        <v>22</v>
      </c>
      <c r="B2" s="27" t="s">
        <v>25</v>
      </c>
      <c r="C2" t="s">
        <v>26</v>
      </c>
    </row>
    <row r="3" spans="1:3" ht="13.2" x14ac:dyDescent="0.25">
      <c r="A3" s="29">
        <v>30</v>
      </c>
      <c r="B3" s="27">
        <v>1</v>
      </c>
      <c r="C3" s="28">
        <v>1</v>
      </c>
    </row>
    <row r="4" spans="1:3" ht="13.2" x14ac:dyDescent="0.25">
      <c r="A4" s="29">
        <v>31</v>
      </c>
      <c r="B4" s="27">
        <v>1.016</v>
      </c>
      <c r="C4" s="27">
        <v>1.016</v>
      </c>
    </row>
    <row r="5" spans="1:3" ht="13.2" x14ac:dyDescent="0.25">
      <c r="A5" s="29">
        <v>32</v>
      </c>
      <c r="B5" s="27">
        <v>1.0309999999999999</v>
      </c>
      <c r="C5" s="27">
        <v>1.0169999999999999</v>
      </c>
    </row>
    <row r="6" spans="1:3" ht="13.2" x14ac:dyDescent="0.25">
      <c r="A6" s="29">
        <v>33</v>
      </c>
      <c r="B6" s="27">
        <v>1.046</v>
      </c>
      <c r="C6" s="27">
        <v>1.046</v>
      </c>
    </row>
    <row r="7" spans="1:3" ht="13.2" x14ac:dyDescent="0.25">
      <c r="A7" s="29">
        <v>34</v>
      </c>
      <c r="B7" s="27">
        <v>1.0589999999999999</v>
      </c>
      <c r="C7" s="27">
        <v>1.0589999999999999</v>
      </c>
    </row>
    <row r="8" spans="1:3" ht="13.2" x14ac:dyDescent="0.25">
      <c r="A8" s="29">
        <v>35</v>
      </c>
      <c r="B8" s="27">
        <v>1.0720000000000001</v>
      </c>
      <c r="C8" s="27">
        <v>1.0720000000000001</v>
      </c>
    </row>
    <row r="9" spans="1:3" ht="13.2" x14ac:dyDescent="0.25">
      <c r="A9" s="29">
        <v>36</v>
      </c>
      <c r="B9" s="27">
        <v>1.083</v>
      </c>
      <c r="C9" s="27">
        <v>1.0840000000000001</v>
      </c>
    </row>
    <row r="10" spans="1:3" ht="13.2" x14ac:dyDescent="0.25">
      <c r="A10" s="29">
        <v>37</v>
      </c>
      <c r="B10" s="27">
        <v>1.0960000000000001</v>
      </c>
      <c r="C10" s="27">
        <v>1.097</v>
      </c>
    </row>
    <row r="11" spans="1:3" ht="13.2" x14ac:dyDescent="0.25">
      <c r="A11" s="29">
        <v>38</v>
      </c>
      <c r="B11" s="27">
        <v>1.109</v>
      </c>
      <c r="C11" s="27">
        <v>1.1100000000000001</v>
      </c>
    </row>
    <row r="12" spans="1:3" ht="13.2" x14ac:dyDescent="0.25">
      <c r="A12" s="29">
        <v>39</v>
      </c>
      <c r="B12" s="27">
        <v>1.1220000000000001</v>
      </c>
      <c r="C12" s="27">
        <v>1.1240000000000001</v>
      </c>
    </row>
    <row r="13" spans="1:3" ht="13.2" x14ac:dyDescent="0.25">
      <c r="A13" s="29">
        <v>40</v>
      </c>
      <c r="B13" s="27">
        <v>1.135</v>
      </c>
      <c r="C13" s="27">
        <v>1.1379999999999999</v>
      </c>
    </row>
    <row r="14" spans="1:3" ht="13.2" x14ac:dyDescent="0.25">
      <c r="A14" s="29">
        <v>41</v>
      </c>
      <c r="B14" s="27">
        <v>1.149</v>
      </c>
      <c r="C14" s="27">
        <v>1.153</v>
      </c>
    </row>
    <row r="15" spans="1:3" ht="13.2" x14ac:dyDescent="0.25">
      <c r="A15" s="29">
        <v>42</v>
      </c>
      <c r="B15" s="27">
        <v>1.1619999999999999</v>
      </c>
      <c r="C15" s="27">
        <v>1.17</v>
      </c>
    </row>
    <row r="16" spans="1:3" ht="13.2" x14ac:dyDescent="0.25">
      <c r="A16" s="29">
        <v>43</v>
      </c>
      <c r="B16" s="27">
        <v>1.1759999999999999</v>
      </c>
      <c r="C16" s="27">
        <v>1.1870000000000001</v>
      </c>
    </row>
    <row r="17" spans="1:3" ht="13.2" x14ac:dyDescent="0.25">
      <c r="A17" s="29">
        <v>44</v>
      </c>
      <c r="B17" s="27">
        <v>1.1890000000000001</v>
      </c>
      <c r="C17" s="27">
        <v>1.2050000000000001</v>
      </c>
    </row>
    <row r="18" spans="1:3" ht="13.2" x14ac:dyDescent="0.25">
      <c r="A18" s="29">
        <v>45</v>
      </c>
      <c r="B18" s="27">
        <v>1.2030000000000001</v>
      </c>
      <c r="C18" s="27">
        <v>1.2230000000000001</v>
      </c>
    </row>
    <row r="19" spans="1:3" ht="13.2" x14ac:dyDescent="0.25">
      <c r="A19" s="29">
        <v>46</v>
      </c>
      <c r="B19" s="27">
        <v>1.218</v>
      </c>
      <c r="C19" s="27">
        <v>1.244</v>
      </c>
    </row>
    <row r="20" spans="1:3" ht="13.2" x14ac:dyDescent="0.25">
      <c r="A20" s="29">
        <v>47</v>
      </c>
      <c r="B20" s="27">
        <v>1.2330000000000001</v>
      </c>
      <c r="C20" s="27">
        <v>1.2649999999999999</v>
      </c>
    </row>
    <row r="21" spans="1:3" ht="13.2" x14ac:dyDescent="0.25">
      <c r="A21" s="29">
        <v>48</v>
      </c>
      <c r="B21" s="27">
        <v>1.248</v>
      </c>
      <c r="C21" s="27">
        <v>1.288</v>
      </c>
    </row>
    <row r="22" spans="1:3" ht="13.2" x14ac:dyDescent="0.25">
      <c r="A22" s="29">
        <v>49</v>
      </c>
      <c r="B22" s="27">
        <v>1.2629999999999999</v>
      </c>
      <c r="C22" s="27">
        <v>1.3129999999999999</v>
      </c>
    </row>
    <row r="23" spans="1:3" ht="13.2" x14ac:dyDescent="0.25">
      <c r="A23" s="29">
        <v>50</v>
      </c>
      <c r="B23" s="27">
        <v>1.2789999999999999</v>
      </c>
      <c r="C23" s="27">
        <v>1.34</v>
      </c>
    </row>
    <row r="24" spans="1:3" ht="13.2" x14ac:dyDescent="0.25">
      <c r="A24" s="29">
        <v>51</v>
      </c>
      <c r="B24" s="27">
        <v>1.2969999999999999</v>
      </c>
      <c r="C24" s="27">
        <v>1.369</v>
      </c>
    </row>
    <row r="25" spans="1:3" ht="13.2" x14ac:dyDescent="0.25">
      <c r="A25" s="29">
        <v>52</v>
      </c>
      <c r="B25" s="27">
        <v>1.3160000000000001</v>
      </c>
      <c r="C25" s="27">
        <v>1.401</v>
      </c>
    </row>
    <row r="26" spans="1:3" ht="13.2" x14ac:dyDescent="0.25">
      <c r="A26" s="29">
        <v>53</v>
      </c>
      <c r="B26" s="27">
        <v>1.3380000000000001</v>
      </c>
      <c r="C26" s="27">
        <v>1.4350000000000001</v>
      </c>
    </row>
    <row r="27" spans="1:3" ht="13.2" x14ac:dyDescent="0.25">
      <c r="A27" s="29">
        <v>54</v>
      </c>
      <c r="B27" s="27">
        <v>1.361</v>
      </c>
      <c r="C27" s="27">
        <v>1.47</v>
      </c>
    </row>
    <row r="28" spans="1:3" ht="13.2" x14ac:dyDescent="0.25">
      <c r="A28" s="29">
        <v>55</v>
      </c>
      <c r="B28" s="27">
        <v>1.385</v>
      </c>
      <c r="C28" s="27">
        <v>1.5069999999999999</v>
      </c>
    </row>
    <row r="29" spans="1:3" ht="13.8" x14ac:dyDescent="0.25">
      <c r="A29" s="29">
        <v>56</v>
      </c>
      <c r="B29" s="27">
        <v>1.411</v>
      </c>
      <c r="C29" s="31">
        <v>1.5449999999999999</v>
      </c>
    </row>
    <row r="30" spans="1:3" ht="13.8" x14ac:dyDescent="0.25">
      <c r="A30" s="29">
        <v>57</v>
      </c>
      <c r="B30" s="27">
        <v>1.4370000000000001</v>
      </c>
      <c r="C30" s="30">
        <v>1.585</v>
      </c>
    </row>
    <row r="31" spans="1:3" ht="13.8" x14ac:dyDescent="0.25">
      <c r="A31" s="29">
        <v>58</v>
      </c>
      <c r="B31" s="27">
        <v>1.462</v>
      </c>
      <c r="C31" s="31">
        <v>1.625</v>
      </c>
    </row>
    <row r="32" spans="1:3" ht="13.8" x14ac:dyDescent="0.25">
      <c r="A32" s="29">
        <v>59</v>
      </c>
      <c r="B32" s="27">
        <v>1.488</v>
      </c>
      <c r="C32" s="30">
        <v>1.665</v>
      </c>
    </row>
    <row r="33" spans="1:3" ht="13.8" x14ac:dyDescent="0.25">
      <c r="A33" s="29">
        <v>60</v>
      </c>
      <c r="B33" s="27">
        <v>1.514</v>
      </c>
      <c r="C33" s="31">
        <v>1.7050000000000001</v>
      </c>
    </row>
    <row r="34" spans="1:3" ht="13.8" x14ac:dyDescent="0.25">
      <c r="A34" s="29">
        <v>61</v>
      </c>
      <c r="B34" s="27">
        <v>1.5409999999999999</v>
      </c>
      <c r="C34" s="30">
        <v>1.744</v>
      </c>
    </row>
    <row r="35" spans="1:3" ht="13.8" x14ac:dyDescent="0.25">
      <c r="A35" s="29">
        <v>62</v>
      </c>
      <c r="B35" s="27">
        <v>1.5680000000000001</v>
      </c>
      <c r="C35" s="31">
        <v>1.778</v>
      </c>
    </row>
    <row r="36" spans="1:3" ht="13.8" x14ac:dyDescent="0.25">
      <c r="A36" s="29">
        <v>63</v>
      </c>
      <c r="B36" s="27">
        <v>1.5980000000000001</v>
      </c>
      <c r="C36" s="30">
        <v>1.8080000000000001</v>
      </c>
    </row>
    <row r="37" spans="1:3" ht="13.8" x14ac:dyDescent="0.25">
      <c r="A37" s="29">
        <v>64</v>
      </c>
      <c r="B37" s="27">
        <v>1.629</v>
      </c>
      <c r="C37" s="31">
        <v>1.839</v>
      </c>
    </row>
    <row r="38" spans="1:3" ht="13.8" x14ac:dyDescent="0.25">
      <c r="A38" s="29">
        <v>65</v>
      </c>
      <c r="B38" s="27">
        <v>1.663</v>
      </c>
      <c r="C38" s="30">
        <v>1.873</v>
      </c>
    </row>
    <row r="39" spans="1:3" ht="13.8" x14ac:dyDescent="0.25">
      <c r="A39" s="29">
        <v>66</v>
      </c>
      <c r="B39" s="27">
        <v>1.6990000000000001</v>
      </c>
      <c r="C39" s="31">
        <v>1.909</v>
      </c>
    </row>
    <row r="40" spans="1:3" ht="13.8" x14ac:dyDescent="0.25">
      <c r="A40" s="29">
        <v>67</v>
      </c>
      <c r="B40" s="27">
        <v>1.738</v>
      </c>
      <c r="C40" s="30">
        <v>1.948</v>
      </c>
    </row>
    <row r="41" spans="1:3" ht="13.8" x14ac:dyDescent="0.25">
      <c r="A41" s="29">
        <v>68</v>
      </c>
      <c r="B41" s="27">
        <v>1.7789999999999999</v>
      </c>
      <c r="C41" s="31">
        <v>1.9890000000000001</v>
      </c>
    </row>
    <row r="42" spans="1:3" ht="13.8" x14ac:dyDescent="0.25">
      <c r="A42" s="29">
        <v>69</v>
      </c>
      <c r="B42" s="27">
        <v>1.823</v>
      </c>
      <c r="C42" s="30">
        <v>2.0329999999999999</v>
      </c>
    </row>
    <row r="43" spans="1:3" ht="13.8" x14ac:dyDescent="0.25">
      <c r="A43" s="29">
        <v>70</v>
      </c>
      <c r="B43" s="27">
        <v>1.867</v>
      </c>
      <c r="C43" s="31">
        <v>2.077</v>
      </c>
    </row>
    <row r="44" spans="1:3" ht="13.8" x14ac:dyDescent="0.25">
      <c r="A44" s="29">
        <v>71</v>
      </c>
      <c r="B44" s="27">
        <v>1.91</v>
      </c>
      <c r="C44" s="30">
        <v>2.12</v>
      </c>
    </row>
    <row r="45" spans="1:3" ht="13.8" x14ac:dyDescent="0.25">
      <c r="A45" s="29">
        <v>72</v>
      </c>
      <c r="B45" s="27">
        <v>1.9530000000000001</v>
      </c>
      <c r="C45" s="31">
        <v>2.1629999999999998</v>
      </c>
    </row>
    <row r="46" spans="1:3" ht="13.8" x14ac:dyDescent="0.25">
      <c r="A46" s="29">
        <v>73</v>
      </c>
      <c r="B46" s="27">
        <v>2.004</v>
      </c>
      <c r="C46" s="30">
        <v>2.214</v>
      </c>
    </row>
    <row r="47" spans="1:3" ht="13.8" x14ac:dyDescent="0.25">
      <c r="A47" s="29">
        <v>74</v>
      </c>
      <c r="B47" s="27">
        <v>2.06</v>
      </c>
      <c r="C47" s="31">
        <v>2.27</v>
      </c>
    </row>
    <row r="48" spans="1:3" ht="13.8" x14ac:dyDescent="0.25">
      <c r="A48" s="29">
        <v>75</v>
      </c>
      <c r="B48" s="27">
        <v>2.117</v>
      </c>
      <c r="C48" s="30">
        <v>2.327</v>
      </c>
    </row>
    <row r="49" spans="1:3" ht="13.8" x14ac:dyDescent="0.25">
      <c r="A49" s="29">
        <v>76</v>
      </c>
      <c r="B49" s="27">
        <v>2.181</v>
      </c>
      <c r="C49" s="31">
        <v>2.391</v>
      </c>
    </row>
    <row r="50" spans="1:3" ht="13.8" x14ac:dyDescent="0.25">
      <c r="A50" s="29">
        <v>77</v>
      </c>
      <c r="B50" s="27">
        <v>2.2549999999999999</v>
      </c>
      <c r="C50" s="30">
        <v>2.4649999999999999</v>
      </c>
    </row>
    <row r="51" spans="1:3" ht="13.8" x14ac:dyDescent="0.25">
      <c r="A51" s="29">
        <v>78</v>
      </c>
      <c r="B51" s="27">
        <v>2.3359999999999999</v>
      </c>
      <c r="C51" s="31">
        <v>2.5459999999999998</v>
      </c>
    </row>
    <row r="52" spans="1:3" ht="13.8" x14ac:dyDescent="0.25">
      <c r="A52" s="29">
        <v>79</v>
      </c>
      <c r="B52" s="27">
        <v>2.419</v>
      </c>
      <c r="C52" s="30">
        <v>2.629</v>
      </c>
    </row>
    <row r="53" spans="1:3" ht="13.8" x14ac:dyDescent="0.25">
      <c r="A53" s="29">
        <v>80</v>
      </c>
      <c r="B53" s="27">
        <v>2.504</v>
      </c>
      <c r="C53" s="31">
        <v>2.714</v>
      </c>
    </row>
    <row r="54" spans="1:3" ht="13.8" x14ac:dyDescent="0.25">
      <c r="A54" s="29">
        <v>81</v>
      </c>
      <c r="B54" s="27">
        <v>2.597</v>
      </c>
      <c r="C54" s="32"/>
    </row>
    <row r="55" spans="1:3" ht="13.8" x14ac:dyDescent="0.25">
      <c r="A55" s="29">
        <v>82</v>
      </c>
      <c r="B55" s="27">
        <v>2.702</v>
      </c>
      <c r="C55" s="32"/>
    </row>
    <row r="56" spans="1:3" ht="13.8" x14ac:dyDescent="0.25">
      <c r="A56" s="29">
        <v>83</v>
      </c>
      <c r="B56" s="27">
        <v>2.831</v>
      </c>
      <c r="C56" s="32"/>
    </row>
    <row r="57" spans="1:3" ht="13.8" x14ac:dyDescent="0.25">
      <c r="A57" s="29">
        <v>84</v>
      </c>
      <c r="B57" s="27">
        <v>2.9809999999999999</v>
      </c>
      <c r="C57" s="32"/>
    </row>
    <row r="58" spans="1:3" ht="13.8" x14ac:dyDescent="0.25">
      <c r="A58" s="29">
        <v>85</v>
      </c>
      <c r="B58" s="27">
        <v>3.153</v>
      </c>
      <c r="C58" s="32"/>
    </row>
    <row r="59" spans="1:3" ht="13.8" x14ac:dyDescent="0.25">
      <c r="A59" s="29">
        <v>86</v>
      </c>
      <c r="B59" s="27">
        <v>3.3519999999999999</v>
      </c>
      <c r="C59" s="32"/>
    </row>
    <row r="60" spans="1:3" ht="13.8" x14ac:dyDescent="0.25">
      <c r="A60" s="29">
        <v>87</v>
      </c>
      <c r="B60" s="27">
        <v>3.58</v>
      </c>
      <c r="C60" s="32"/>
    </row>
    <row r="61" spans="1:3" ht="13.8" x14ac:dyDescent="0.25">
      <c r="A61" s="29">
        <v>88</v>
      </c>
      <c r="B61" s="27">
        <v>3.8420000000000001</v>
      </c>
      <c r="C61" s="32"/>
    </row>
    <row r="62" spans="1:3" ht="13.8" x14ac:dyDescent="0.25">
      <c r="A62" s="29">
        <v>89</v>
      </c>
      <c r="B62" s="27">
        <v>4.1449999999999996</v>
      </c>
      <c r="C62" s="32"/>
    </row>
    <row r="63" spans="1:3" ht="13.8" x14ac:dyDescent="0.25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Pulje 1</vt:lpstr>
      <vt:lpstr>Pulje 2 </vt:lpstr>
      <vt:lpstr>Pulje 3</vt:lpstr>
      <vt:lpstr>Meltzer-Faber</vt:lpstr>
      <vt:lpstr>'Pulje 1'!Utskriftsområde</vt:lpstr>
      <vt:lpstr>'Pulje 2 '!Utskriftsområde</vt:lpstr>
      <vt:lpstr>'Pulje 3'!Utskriftsområde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Larvik Atletklubb</cp:lastModifiedBy>
  <cp:lastPrinted>2026-06-05T18:23:51Z</cp:lastPrinted>
  <dcterms:created xsi:type="dcterms:W3CDTF">2001-08-31T20:44:44Z</dcterms:created>
  <dcterms:modified xsi:type="dcterms:W3CDTF">2026-06-07T08:47:17Z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