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6A168CB8-74AD-46FE-9115-724155441B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ulje 1" sheetId="34" r:id="rId1"/>
    <sheet name="Pulje 2" sheetId="51" r:id="rId2"/>
    <sheet name="Meltzer-Faber" sheetId="23" state="hidden" r:id="rId3"/>
    <sheet name="Module1" sheetId="2" state="veryHidden" r:id="rId4"/>
  </sheets>
  <definedNames>
    <definedName name="_xlnm.Print_Area" localSheetId="0">'Pulje 1'!$B1:$AB46</definedName>
    <definedName name="_xlnm.Print_Area" localSheetId="1">'Pulje 2'!$B1:$AB46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3" i="51" l="1"/>
  <c r="AE33" i="51"/>
  <c r="X32" i="51"/>
  <c r="W32" i="51"/>
  <c r="Y32" i="51" s="1"/>
  <c r="V32" i="51"/>
  <c r="AJ31" i="51"/>
  <c r="AI31" i="51"/>
  <c r="AE31" i="51"/>
  <c r="AD31" i="51"/>
  <c r="AC31" i="51"/>
  <c r="R31" i="51"/>
  <c r="Q31" i="51"/>
  <c r="S31" i="51" s="1"/>
  <c r="T31" i="51" s="1"/>
  <c r="S32" i="51" s="1"/>
  <c r="Y30" i="51"/>
  <c r="AJ29" i="51"/>
  <c r="AI29" i="51"/>
  <c r="AD29" i="51"/>
  <c r="AC29" i="51"/>
  <c r="AE29" i="51" s="1"/>
  <c r="R29" i="51"/>
  <c r="Q29" i="51"/>
  <c r="S29" i="51" s="1"/>
  <c r="T29" i="51" s="1"/>
  <c r="S30" i="51" s="1"/>
  <c r="X28" i="51"/>
  <c r="W28" i="51"/>
  <c r="V28" i="51"/>
  <c r="Y28" i="51" s="1"/>
  <c r="AJ27" i="51"/>
  <c r="AE27" i="51"/>
  <c r="AD27" i="51"/>
  <c r="AC27" i="51"/>
  <c r="R27" i="51"/>
  <c r="Q27" i="51"/>
  <c r="S27" i="51" s="1"/>
  <c r="T27" i="51" s="1"/>
  <c r="S28" i="51" s="1"/>
  <c r="X26" i="51"/>
  <c r="V26" i="51"/>
  <c r="AJ25" i="51"/>
  <c r="W26" i="51" s="1"/>
  <c r="AD25" i="51"/>
  <c r="AC25" i="51"/>
  <c r="AE25" i="51" s="1"/>
  <c r="R25" i="51"/>
  <c r="S25" i="51" s="1"/>
  <c r="T25" i="51" s="1"/>
  <c r="S26" i="51" s="1"/>
  <c r="Q25" i="51"/>
  <c r="X24" i="51"/>
  <c r="V24" i="51"/>
  <c r="AJ23" i="51"/>
  <c r="W24" i="51" s="1"/>
  <c r="Y24" i="51" s="1"/>
  <c r="AD23" i="51"/>
  <c r="AC23" i="51"/>
  <c r="AE23" i="51" s="1"/>
  <c r="S23" i="51"/>
  <c r="T23" i="51" s="1"/>
  <c r="S24" i="51" s="1"/>
  <c r="R23" i="51"/>
  <c r="Q23" i="51"/>
  <c r="X22" i="51"/>
  <c r="V22" i="51"/>
  <c r="AJ21" i="51"/>
  <c r="W22" i="51" s="1"/>
  <c r="Y22" i="51" s="1"/>
  <c r="AE21" i="51"/>
  <c r="AF21" i="51" s="1"/>
  <c r="AD21" i="51"/>
  <c r="AC21" i="51"/>
  <c r="R21" i="51"/>
  <c r="Q21" i="51"/>
  <c r="S21" i="51" s="1"/>
  <c r="T21" i="51" s="1"/>
  <c r="S22" i="51" s="1"/>
  <c r="Z22" i="51" s="1"/>
  <c r="X20" i="51"/>
  <c r="V20" i="51"/>
  <c r="AJ19" i="51"/>
  <c r="W20" i="51" s="1"/>
  <c r="AD19" i="51"/>
  <c r="AC19" i="51"/>
  <c r="AE19" i="51" s="1"/>
  <c r="S19" i="51"/>
  <c r="T19" i="51" s="1"/>
  <c r="S20" i="51" s="1"/>
  <c r="R19" i="51"/>
  <c r="Q19" i="51"/>
  <c r="Y18" i="51"/>
  <c r="X18" i="51"/>
  <c r="W18" i="51"/>
  <c r="V18" i="51"/>
  <c r="AJ17" i="51"/>
  <c r="AD17" i="51"/>
  <c r="AC17" i="51"/>
  <c r="AE17" i="51" s="1"/>
  <c r="R17" i="51"/>
  <c r="Q17" i="51"/>
  <c r="S17" i="51" s="1"/>
  <c r="T17" i="51" s="1"/>
  <c r="S18" i="51" s="1"/>
  <c r="X16" i="51"/>
  <c r="V16" i="51"/>
  <c r="AJ15" i="51"/>
  <c r="W16" i="51" s="1"/>
  <c r="AD15" i="51"/>
  <c r="AC15" i="51"/>
  <c r="AE15" i="51" s="1"/>
  <c r="R15" i="51"/>
  <c r="Q15" i="51"/>
  <c r="S15" i="51" s="1"/>
  <c r="T15" i="51" s="1"/>
  <c r="S16" i="51" s="1"/>
  <c r="X14" i="51"/>
  <c r="W14" i="51"/>
  <c r="Y14" i="51" s="1"/>
  <c r="V14" i="51"/>
  <c r="AJ13" i="51"/>
  <c r="AD13" i="51"/>
  <c r="AC13" i="51"/>
  <c r="AE13" i="51" s="1"/>
  <c r="R13" i="51"/>
  <c r="Q13" i="51"/>
  <c r="S13" i="51" s="1"/>
  <c r="T13" i="51" s="1"/>
  <c r="S14" i="51" s="1"/>
  <c r="X12" i="51"/>
  <c r="V12" i="51"/>
  <c r="AJ11" i="51"/>
  <c r="W12" i="51" s="1"/>
  <c r="Y12" i="51" s="1"/>
  <c r="AH11" i="51"/>
  <c r="AF11" i="51"/>
  <c r="AG11" i="51" s="1"/>
  <c r="AE11" i="51"/>
  <c r="AD11" i="51"/>
  <c r="AI11" i="51" s="1"/>
  <c r="AC11" i="51"/>
  <c r="S11" i="51"/>
  <c r="T11" i="51" s="1"/>
  <c r="S12" i="51" s="1"/>
  <c r="Z12" i="51" s="1"/>
  <c r="R11" i="51"/>
  <c r="Q11" i="51"/>
  <c r="X10" i="51"/>
  <c r="V10" i="51"/>
  <c r="AJ9" i="51"/>
  <c r="W10" i="51" s="1"/>
  <c r="Y10" i="51" s="1"/>
  <c r="AD9" i="51"/>
  <c r="AC9" i="51"/>
  <c r="AE9" i="51" s="1"/>
  <c r="R9" i="51"/>
  <c r="S9" i="51" s="1"/>
  <c r="T9" i="51" s="1"/>
  <c r="S10" i="51" s="1"/>
  <c r="Q9" i="51"/>
  <c r="AF33" i="34"/>
  <c r="AE33" i="34"/>
  <c r="X32" i="34"/>
  <c r="W32" i="34"/>
  <c r="V32" i="34"/>
  <c r="Y32" i="34" s="1"/>
  <c r="AJ31" i="34"/>
  <c r="AE31" i="34"/>
  <c r="AD31" i="34"/>
  <c r="AI31" i="34" s="1"/>
  <c r="AC31" i="34"/>
  <c r="R31" i="34"/>
  <c r="Q31" i="34"/>
  <c r="S31" i="34" s="1"/>
  <c r="T31" i="34" s="1"/>
  <c r="S32" i="34" s="1"/>
  <c r="Y30" i="34"/>
  <c r="AJ29" i="34"/>
  <c r="AI29" i="34"/>
  <c r="AF29" i="34"/>
  <c r="U29" i="34" s="1"/>
  <c r="AE29" i="34"/>
  <c r="AD29" i="34"/>
  <c r="AC29" i="34"/>
  <c r="S29" i="34"/>
  <c r="T29" i="34" s="1"/>
  <c r="S30" i="34" s="1"/>
  <c r="Z30" i="34" s="1"/>
  <c r="R29" i="34"/>
  <c r="Q29" i="34"/>
  <c r="Y28" i="34"/>
  <c r="AJ27" i="34"/>
  <c r="AE27" i="34"/>
  <c r="Z28" i="34" s="1"/>
  <c r="AD27" i="34"/>
  <c r="AI27" i="34" s="1"/>
  <c r="AC27" i="34"/>
  <c r="R27" i="34"/>
  <c r="Q27" i="34"/>
  <c r="S27" i="34" s="1"/>
  <c r="T27" i="34" s="1"/>
  <c r="S28" i="34" s="1"/>
  <c r="Y26" i="34"/>
  <c r="AJ25" i="34"/>
  <c r="AI25" i="34"/>
  <c r="AF25" i="34"/>
  <c r="U25" i="34" s="1"/>
  <c r="AE25" i="34"/>
  <c r="AD25" i="34"/>
  <c r="AC25" i="34"/>
  <c r="S25" i="34"/>
  <c r="T25" i="34" s="1"/>
  <c r="S26" i="34" s="1"/>
  <c r="Z26" i="34" s="1"/>
  <c r="R25" i="34"/>
  <c r="Q25" i="34"/>
  <c r="X24" i="34"/>
  <c r="W24" i="34"/>
  <c r="V24" i="34"/>
  <c r="Y24" i="34" s="1"/>
  <c r="AJ23" i="34"/>
  <c r="AD23" i="34"/>
  <c r="AC23" i="34"/>
  <c r="AE23" i="34" s="1"/>
  <c r="R23" i="34"/>
  <c r="Q23" i="34"/>
  <c r="S23" i="34" s="1"/>
  <c r="T23" i="34" s="1"/>
  <c r="S24" i="34" s="1"/>
  <c r="X22" i="34"/>
  <c r="W22" i="34"/>
  <c r="V22" i="34"/>
  <c r="Y22" i="34" s="1"/>
  <c r="AJ21" i="34"/>
  <c r="AD21" i="34"/>
  <c r="AC21" i="34"/>
  <c r="AE21" i="34" s="1"/>
  <c r="R21" i="34"/>
  <c r="Q21" i="34"/>
  <c r="S21" i="34" s="1"/>
  <c r="T21" i="34" s="1"/>
  <c r="S22" i="34" s="1"/>
  <c r="X20" i="34"/>
  <c r="W20" i="34"/>
  <c r="Y20" i="34" s="1"/>
  <c r="V20" i="34"/>
  <c r="AJ19" i="34"/>
  <c r="AD19" i="34"/>
  <c r="AC19" i="34"/>
  <c r="AE19" i="34" s="1"/>
  <c r="R19" i="34"/>
  <c r="S19" i="34" s="1"/>
  <c r="T19" i="34" s="1"/>
  <c r="S20" i="34" s="1"/>
  <c r="Q19" i="34"/>
  <c r="X18" i="34"/>
  <c r="V18" i="34"/>
  <c r="AJ17" i="34"/>
  <c r="W18" i="34" s="1"/>
  <c r="AE17" i="34"/>
  <c r="AD17" i="34"/>
  <c r="AC17" i="34"/>
  <c r="S17" i="34"/>
  <c r="T17" i="34" s="1"/>
  <c r="S18" i="34" s="1"/>
  <c r="R17" i="34"/>
  <c r="Q17" i="34"/>
  <c r="X16" i="34"/>
  <c r="V16" i="34"/>
  <c r="AJ15" i="34"/>
  <c r="W16" i="34" s="1"/>
  <c r="AE15" i="34"/>
  <c r="AF15" i="34" s="1"/>
  <c r="AD15" i="34"/>
  <c r="AC15" i="34"/>
  <c r="R15" i="34"/>
  <c r="S15" i="34" s="1"/>
  <c r="T15" i="34" s="1"/>
  <c r="S16" i="34" s="1"/>
  <c r="Q15" i="34"/>
  <c r="X14" i="34"/>
  <c r="V14" i="34"/>
  <c r="AJ13" i="34"/>
  <c r="W14" i="34" s="1"/>
  <c r="AD13" i="34"/>
  <c r="AC13" i="34"/>
  <c r="AE13" i="34" s="1"/>
  <c r="R13" i="34"/>
  <c r="Q13" i="34"/>
  <c r="S13" i="34" s="1"/>
  <c r="T13" i="34" s="1"/>
  <c r="S14" i="34" s="1"/>
  <c r="X12" i="34"/>
  <c r="W12" i="34"/>
  <c r="V12" i="34"/>
  <c r="Y12" i="34" s="1"/>
  <c r="AJ11" i="34"/>
  <c r="AD11" i="34"/>
  <c r="AC11" i="34"/>
  <c r="AE11" i="34" s="1"/>
  <c r="R11" i="34"/>
  <c r="Q11" i="34"/>
  <c r="S11" i="34" s="1"/>
  <c r="T11" i="34" s="1"/>
  <c r="S12" i="34" s="1"/>
  <c r="X10" i="34"/>
  <c r="W10" i="34"/>
  <c r="V10" i="34"/>
  <c r="Y10" i="34" s="1"/>
  <c r="AJ9" i="34"/>
  <c r="AD9" i="34"/>
  <c r="AC9" i="34"/>
  <c r="AE9" i="34" s="1"/>
  <c r="R9" i="34"/>
  <c r="Q9" i="34"/>
  <c r="S9" i="34" s="1"/>
  <c r="T9" i="34" s="1"/>
  <c r="S10" i="34" s="1"/>
  <c r="Y26" i="51" l="1"/>
  <c r="Y14" i="34"/>
  <c r="Y20" i="51"/>
  <c r="Z30" i="51"/>
  <c r="AF29" i="51"/>
  <c r="Z14" i="51"/>
  <c r="AF13" i="51"/>
  <c r="Y16" i="34"/>
  <c r="Z20" i="51"/>
  <c r="AF19" i="51"/>
  <c r="Z24" i="34"/>
  <c r="AF23" i="34"/>
  <c r="U15" i="34"/>
  <c r="AH15" i="34"/>
  <c r="AI15" i="34" s="1"/>
  <c r="AG15" i="34"/>
  <c r="Z14" i="34"/>
  <c r="AF13" i="34"/>
  <c r="AH21" i="51"/>
  <c r="AG21" i="51"/>
  <c r="AI21" i="51" s="1"/>
  <c r="U21" i="51"/>
  <c r="Z10" i="34"/>
  <c r="AF9" i="34"/>
  <c r="AF15" i="51"/>
  <c r="Z16" i="51"/>
  <c r="Z32" i="51"/>
  <c r="Z18" i="34"/>
  <c r="Y16" i="51"/>
  <c r="Y18" i="34"/>
  <c r="AF21" i="34"/>
  <c r="Z22" i="34"/>
  <c r="Z32" i="34"/>
  <c r="AF23" i="51"/>
  <c r="AF9" i="51"/>
  <c r="Z10" i="51"/>
  <c r="Z18" i="51"/>
  <c r="AF17" i="51"/>
  <c r="AF11" i="34"/>
  <c r="Z12" i="34"/>
  <c r="Z20" i="34"/>
  <c r="AF19" i="34"/>
  <c r="AF25" i="51"/>
  <c r="AG29" i="34"/>
  <c r="AH29" i="34"/>
  <c r="Z16" i="34"/>
  <c r="AF27" i="34"/>
  <c r="AF31" i="34"/>
  <c r="AF27" i="51"/>
  <c r="AH25" i="34"/>
  <c r="AF31" i="51"/>
  <c r="AF17" i="34"/>
  <c r="U11" i="51"/>
  <c r="AG25" i="34"/>
  <c r="AH17" i="34" l="1"/>
  <c r="AI17" i="34" s="1"/>
  <c r="AG17" i="34"/>
  <c r="U17" i="34"/>
  <c r="AH27" i="34"/>
  <c r="AG27" i="34"/>
  <c r="U27" i="34"/>
  <c r="AG23" i="34"/>
  <c r="AH23" i="34"/>
  <c r="AI23" i="34" s="1"/>
  <c r="U23" i="34"/>
  <c r="AH13" i="51"/>
  <c r="U13" i="51"/>
  <c r="AG13" i="51"/>
  <c r="AI13" i="51" s="1"/>
  <c r="U29" i="51"/>
  <c r="AG29" i="51"/>
  <c r="AH29" i="51"/>
  <c r="AH31" i="51"/>
  <c r="AG31" i="51"/>
  <c r="U31" i="51"/>
  <c r="AG15" i="51"/>
  <c r="AI15" i="51" s="1"/>
  <c r="U15" i="51"/>
  <c r="AH15" i="51"/>
  <c r="AH11" i="34"/>
  <c r="AI11" i="34" s="1"/>
  <c r="AG11" i="34"/>
  <c r="U11" i="34"/>
  <c r="U9" i="51"/>
  <c r="AH9" i="51"/>
  <c r="AG9" i="51"/>
  <c r="AI9" i="51" s="1"/>
  <c r="AH21" i="34"/>
  <c r="AI21" i="34" s="1"/>
  <c r="AG21" i="34"/>
  <c r="U21" i="34"/>
  <c r="AH31" i="34"/>
  <c r="AG31" i="34"/>
  <c r="U31" i="34"/>
  <c r="AH25" i="51"/>
  <c r="AG25" i="51"/>
  <c r="AI25" i="51" s="1"/>
  <c r="Z26" i="51" s="1"/>
  <c r="AH27" i="51"/>
  <c r="AG27" i="51"/>
  <c r="AI27" i="51" s="1"/>
  <c r="Z28" i="51" s="1"/>
  <c r="AH9" i="34"/>
  <c r="AI9" i="34" s="1"/>
  <c r="AG9" i="34"/>
  <c r="U9" i="34"/>
  <c r="AH13" i="34"/>
  <c r="AI13" i="34" s="1"/>
  <c r="AG13" i="34"/>
  <c r="U13" i="34"/>
  <c r="U19" i="34"/>
  <c r="AH19" i="34"/>
  <c r="AI19" i="34" s="1"/>
  <c r="AG19" i="34"/>
  <c r="AG17" i="51"/>
  <c r="AI17" i="51" s="1"/>
  <c r="AH17" i="51"/>
  <c r="U17" i="51"/>
  <c r="AG19" i="51"/>
  <c r="AI19" i="51" s="1"/>
  <c r="U19" i="51"/>
  <c r="AH19" i="51"/>
  <c r="AH23" i="51"/>
  <c r="AG23" i="51"/>
  <c r="AI23" i="51" s="1"/>
  <c r="Z24" i="51" s="1"/>
  <c r="U25" i="51" l="1"/>
  <c r="U23" i="51"/>
  <c r="U27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7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00000000-0006-0000-0000-000005000000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00000000-0006-0000-0000-000006000000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00000000-0006-0000-0000-000007000000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0" shapeId="0" xr:uid="{00000000-0006-0000-0000-000009000000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0" shapeId="0" xr:uid="{00000000-0006-0000-0000-00000B000000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0" shapeId="0" xr:uid="{00000000-0006-0000-0000-00000D000000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7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0" shapeId="0" xr:uid="{00000000-0006-0000-0100-000002000000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00000000-0006-0000-0100-000003000000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00000000-0006-0000-0100-000004000000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00000000-0006-0000-0100-000005000000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00000000-0006-0000-0100-000006000000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00000000-0006-0000-0100-000007000000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0" shapeId="0" xr:uid="{00000000-0006-0000-0100-000009000000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0" shapeId="0" xr:uid="{00000000-0006-0000-0100-00000B000000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0" shapeId="0" xr:uid="{00000000-0006-0000-0100-00000D000000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<sst xmlns="http://schemas.openxmlformats.org/spreadsheetml/2006/main" count="396" uniqueCount="146">
  <si>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</si>
  <si>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 xml:space="preserve"> ØVELSEN 40 M SPRINT</t>
  </si>
  <si>
    <t>Norges Vektløfterforbund</t>
  </si>
  <si>
    <t xml:space="preserve">    Ved manuell tidtaking skal det legges til 0,2 sek</t>
  </si>
  <si>
    <t>Stevnekat:</t>
  </si>
  <si>
    <t>Regionsmesterskap</t>
  </si>
  <si>
    <t>Arrangør:</t>
  </si>
  <si>
    <t>Voll IL</t>
  </si>
  <si>
    <t>Sted:</t>
  </si>
  <si>
    <t>Vollhallen</t>
  </si>
  <si>
    <t>Dato:</t>
  </si>
  <si>
    <t>Pulje:</t>
  </si>
  <si>
    <t>meltzer</t>
  </si>
  <si>
    <t>Sinclair
Coeff.</t>
  </si>
  <si>
    <t>NVF-ID</t>
  </si>
  <si>
    <t>Vekt
kl</t>
  </si>
  <si>
    <t>Kropps-
vekt</t>
  </si>
  <si>
    <t xml:space="preserve"> Kate-vekt</t>
  </si>
  <si>
    <t>Kat
5 k</t>
  </si>
  <si>
    <t>Fødsels-</t>
  </si>
  <si>
    <t>St</t>
  </si>
  <si>
    <t>Navn</t>
  </si>
  <si>
    <t>Lag</t>
  </si>
  <si>
    <t>Rykk</t>
  </si>
  <si>
    <t>Støt</t>
  </si>
  <si>
    <t xml:space="preserve">    Beste forsøk i</t>
  </si>
  <si>
    <t>Sammen-</t>
  </si>
  <si>
    <t>Poeng</t>
  </si>
  <si>
    <t>3-hopp</t>
  </si>
  <si>
    <t>Kulekast</t>
  </si>
  <si>
    <t>40 m sprint</t>
  </si>
  <si>
    <t>3-kamp</t>
  </si>
  <si>
    <t>5-kamp</t>
  </si>
  <si>
    <t>Pl.</t>
  </si>
  <si>
    <t>Rek.</t>
  </si>
  <si>
    <t>faber</t>
  </si>
  <si>
    <t>dato</t>
  </si>
  <si>
    <t>nr</t>
  </si>
  <si>
    <t xml:space="preserve">      hver øvelse</t>
  </si>
  <si>
    <t>lagt</t>
  </si>
  <si>
    <t>Veteran</t>
  </si>
  <si>
    <t>sum</t>
  </si>
  <si>
    <t>total</t>
  </si>
  <si>
    <t>Kjønn</t>
  </si>
  <si>
    <t>Alder</t>
  </si>
  <si>
    <t>menn</t>
  </si>
  <si>
    <t>kvinner</t>
  </si>
  <si>
    <t>gyldig</t>
  </si>
  <si>
    <t>2015009</t>
  </si>
  <si>
    <t>48</t>
  </si>
  <si>
    <t>UK</t>
  </si>
  <si>
    <t>11-12</t>
  </si>
  <si>
    <t>Embla Tønnesen Klippenberg</t>
  </si>
  <si>
    <t>Vigrestad IK</t>
  </si>
  <si>
    <t/>
  </si>
  <si>
    <t>2013024</t>
  </si>
  <si>
    <t>13-14</t>
  </si>
  <si>
    <t>Regine Hansen Hole</t>
  </si>
  <si>
    <t>2012031</t>
  </si>
  <si>
    <t>58</t>
  </si>
  <si>
    <t>Malin Hansen Hole</t>
  </si>
  <si>
    <t>2013019</t>
  </si>
  <si>
    <t>Live Sveinsvoll</t>
  </si>
  <si>
    <t>2009003</t>
  </si>
  <si>
    <t>63</t>
  </si>
  <si>
    <t>17-18</t>
  </si>
  <si>
    <t>Lea Berge Jensen</t>
  </si>
  <si>
    <t>2008055</t>
  </si>
  <si>
    <t>JK</t>
  </si>
  <si>
    <t>Milla Bøckman</t>
  </si>
  <si>
    <t>2003007</t>
  </si>
  <si>
    <t>77</t>
  </si>
  <si>
    <t>SK</t>
  </si>
  <si>
    <t>19-23</t>
  </si>
  <si>
    <t>Hanna Kongsvik Vihovde</t>
  </si>
  <si>
    <t>Haugesund VK</t>
  </si>
  <si>
    <t>2016003</t>
  </si>
  <si>
    <t>44</t>
  </si>
  <si>
    <t>UK 44</t>
  </si>
  <si>
    <t>Jenny Matnisdal</t>
  </si>
  <si>
    <t xml:space="preserve"> </t>
  </si>
  <si>
    <t>Rolle</t>
  </si>
  <si>
    <t>Klubb</t>
  </si>
  <si>
    <t>Stevnets leder</t>
  </si>
  <si>
    <t>1958002</t>
  </si>
  <si>
    <t>Hans Bjørnar Hagenes</t>
  </si>
  <si>
    <t>Speaker</t>
  </si>
  <si>
    <t>2009005</t>
  </si>
  <si>
    <t>Ove Berge Christiansen</t>
  </si>
  <si>
    <t>Tysvær VK</t>
  </si>
  <si>
    <t>Dommer</t>
  </si>
  <si>
    <t>1979008</t>
  </si>
  <si>
    <t>Arvid Høien</t>
  </si>
  <si>
    <t>Chief Marshall</t>
  </si>
  <si>
    <t>1957002</t>
  </si>
  <si>
    <t>Roy Johan Andersen Revheim</t>
  </si>
  <si>
    <t>1997007</t>
  </si>
  <si>
    <t>Andreas Klinkenberg</t>
  </si>
  <si>
    <t>Stavanger AK</t>
  </si>
  <si>
    <t>Teknisk kontrollør</t>
  </si>
  <si>
    <t>.</t>
  </si>
  <si>
    <t>1993020</t>
  </si>
  <si>
    <t>Kristian Helleren</t>
  </si>
  <si>
    <t>Sekretær</t>
  </si>
  <si>
    <t>Jury</t>
  </si>
  <si>
    <t>Tidtaker</t>
  </si>
  <si>
    <t>1954001</t>
  </si>
  <si>
    <t>Torbjørn Ødegård</t>
  </si>
  <si>
    <t>Nye rekorder</t>
  </si>
  <si>
    <t>Kat
5 kamp</t>
  </si>
  <si>
    <t>2014021</t>
  </si>
  <si>
    <t>88</t>
  </si>
  <si>
    <t>UM</t>
  </si>
  <si>
    <t>Torbjørn Brusli</t>
  </si>
  <si>
    <t>2012001</t>
  </si>
  <si>
    <t>94</t>
  </si>
  <si>
    <t>Thor Engelsvoll</t>
  </si>
  <si>
    <t>2013018</t>
  </si>
  <si>
    <t>56</t>
  </si>
  <si>
    <t>Leander Lindmo Vold</t>
  </si>
  <si>
    <t>2011012</t>
  </si>
  <si>
    <t>15-16</t>
  </si>
  <si>
    <t>Thomas Kongsvik Vihovde</t>
  </si>
  <si>
    <t>2004016</t>
  </si>
  <si>
    <t>110</t>
  </si>
  <si>
    <t>SM</t>
  </si>
  <si>
    <t>Alexander Eide</t>
  </si>
  <si>
    <t>24-34</t>
  </si>
  <si>
    <t>2002007</t>
  </si>
  <si>
    <t>+110</t>
  </si>
  <si>
    <t>Hans Gunnar Kvadsheim</t>
  </si>
  <si>
    <t>1979011</t>
  </si>
  <si>
    <t>M45</t>
  </si>
  <si>
    <t>+35</t>
  </si>
  <si>
    <t>Yngve Tran Sundt</t>
  </si>
  <si>
    <t>1973009</t>
  </si>
  <si>
    <t>M50</t>
  </si>
  <si>
    <t>Frode Vihovde</t>
  </si>
  <si>
    <t>1991016</t>
  </si>
  <si>
    <t>M35</t>
  </si>
  <si>
    <t>Tord Gravdal</t>
  </si>
  <si>
    <t>1978008</t>
  </si>
  <si>
    <t>Ronny Matnisdal</t>
  </si>
  <si>
    <t>Meltzer-Faber</t>
  </si>
  <si>
    <t>Poeng menn</t>
  </si>
  <si>
    <t>Poeng kvinner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</si>
</sst>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;[Red]0.0"/>
    <numFmt numFmtId="166" formatCode="dd\.mm\.yyyy"/>
    <numFmt numFmtId="167" formatCode="0;[Red]0"/>
    <numFmt numFmtId="168" formatCode="dd/mm/yy;@"/>
    <numFmt numFmtId="169" formatCode="0.000000"/>
    <numFmt numFmtId="170" formatCode="dd/mm/yy"/>
    <numFmt numFmtId="171" formatCode="General;[Red]\-General"/>
    <numFmt numFmtId="172" formatCode="0.000"/>
  </numFmts>
  <fonts count="3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MS Sans Serif"/>
    </font>
    <font>
      <b/>
      <sz val="28"/>
      <name val="Arial Black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sz val="18"/>
      <name val="Arial Black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0"/>
      <name val="Arial"/>
      <family val="2"/>
    </font>
    <font>
      <sz val="12"/>
      <name val="Calibri"/>
      <family val="2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u/>
      <sz val="12"/>
      <color rgb="FF000080"/>
      <name val="Times New Roman"/>
      <family val="1"/>
    </font>
    <font>
      <b/>
      <sz val="12"/>
      <color indexed="18"/>
      <name val="Times New Roman"/>
      <family val="1"/>
    </font>
    <font>
      <sz val="8"/>
      <name val="Times New Roman"/>
      <family val="1"/>
    </font>
    <font>
      <sz val="11"/>
      <color rgb="FF000000"/>
      <name val="Arial"/>
      <family val="2"/>
    </font>
    <font>
      <sz val="11"/>
      <name val="Arial"/>
      <family val="2"/>
    </font>
    <font>
      <b/>
      <sz val="24"/>
      <name val="Arial Black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4"/>
      </left>
      <right/>
      <top style="thin">
        <color auto="1"/>
      </top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dashed">
        <color theme="4"/>
      </bottom>
      <diagonal/>
    </border>
    <border>
      <left/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/>
      <top style="dash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ashed">
        <color theme="4"/>
      </top>
      <bottom style="thin">
        <color theme="4"/>
      </bottom>
      <diagonal/>
    </border>
    <border>
      <left/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/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rgb="FF000000"/>
      </left>
      <right/>
      <top style="dash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9" fontId="10" fillId="0" borderId="0" xfId="0" applyNumberFormat="1" applyFont="1" applyAlignment="1" applyProtection="1">
      <alignment horizontal="center"/>
      <protection locked="0"/>
    </xf>
    <xf numFmtId="2" fontId="9" fillId="0" borderId="0" xfId="0" applyNumberFormat="1" applyFont="1" applyAlignment="1">
      <alignment horizontal="right"/>
    </xf>
    <xf numFmtId="1" fontId="10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3" fillId="2" borderId="0" xfId="0" applyFont="1" applyFill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2" fontId="1" fillId="0" borderId="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2" fontId="10" fillId="0" borderId="11" xfId="0" applyNumberFormat="1" applyFont="1" applyBorder="1" applyAlignment="1" applyProtection="1">
      <alignment horizontal="center" vertical="center"/>
      <protection locked="0"/>
    </xf>
    <xf numFmtId="166" fontId="10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12" xfId="0" applyNumberFormat="1" applyFont="1" applyBorder="1" applyAlignment="1" applyProtection="1">
      <alignment horizontal="center" vertical="center"/>
      <protection locked="0"/>
    </xf>
    <xf numFmtId="167" fontId="14" fillId="0" borderId="13" xfId="0" applyNumberFormat="1" applyFont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168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9" fontId="12" fillId="0" borderId="0" xfId="0" applyNumberFormat="1" applyFont="1" applyAlignment="1">
      <alignment vertical="center"/>
    </xf>
    <xf numFmtId="49" fontId="10" fillId="0" borderId="14" xfId="0" applyNumberFormat="1" applyFont="1" applyBorder="1" applyAlignment="1" applyProtection="1">
      <alignment horizontal="right" vertical="center"/>
      <protection locked="0"/>
    </xf>
    <xf numFmtId="2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4" fontId="10" fillId="0" borderId="15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 applyProtection="1">
      <alignment horizontal="center" vertical="center"/>
      <protection locked="0"/>
    </xf>
    <xf numFmtId="168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vertical="center"/>
    </xf>
    <xf numFmtId="0" fontId="13" fillId="0" borderId="17" xfId="0" applyFont="1" applyBorder="1" applyAlignment="1">
      <alignment vertical="center"/>
    </xf>
    <xf numFmtId="1" fontId="10" fillId="0" borderId="18" xfId="0" applyNumberFormat="1" applyFont="1" applyBorder="1" applyAlignment="1" applyProtection="1">
      <alignment horizontal="center" vertical="center"/>
      <protection locked="0"/>
    </xf>
    <xf numFmtId="167" fontId="14" fillId="0" borderId="19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 wrapText="1"/>
    </xf>
    <xf numFmtId="0" fontId="10" fillId="0" borderId="18" xfId="0" applyFont="1" applyBorder="1" applyAlignment="1" applyProtection="1">
      <alignment horizontal="center" vertical="center"/>
      <protection locked="0"/>
    </xf>
    <xf numFmtId="2" fontId="10" fillId="0" borderId="14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 applyProtection="1">
      <alignment horizontal="right" vertical="center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2" fontId="10" fillId="0" borderId="18" xfId="0" applyNumberFormat="1" applyFont="1" applyBorder="1" applyAlignment="1" applyProtection="1">
      <alignment horizontal="center" vertical="center"/>
      <protection locked="0"/>
    </xf>
    <xf numFmtId="166" fontId="10" fillId="0" borderId="18" xfId="0" applyNumberFormat="1" applyFont="1" applyBorder="1" applyAlignment="1" applyProtection="1">
      <alignment horizontal="center" vertical="center"/>
      <protection locked="0"/>
    </xf>
    <xf numFmtId="1" fontId="10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2" fontId="10" fillId="3" borderId="18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8" xfId="0" applyFont="1" applyBorder="1"/>
    <xf numFmtId="1" fontId="2" fillId="0" borderId="0" xfId="0" applyNumberFormat="1" applyFont="1" applyAlignment="1">
      <alignment horizontal="center" vertical="center"/>
    </xf>
    <xf numFmtId="1" fontId="18" fillId="0" borderId="18" xfId="0" applyNumberFormat="1" applyFont="1" applyBorder="1" applyAlignment="1" applyProtection="1">
      <alignment horizontal="right" vertical="center"/>
      <protection locked="0"/>
    </xf>
    <xf numFmtId="0" fontId="14" fillId="0" borderId="18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167" fontId="19" fillId="0" borderId="18" xfId="0" applyNumberFormat="1" applyFont="1" applyBorder="1" applyAlignment="1">
      <alignment horizontal="center" vertical="center"/>
    </xf>
    <xf numFmtId="167" fontId="9" fillId="0" borderId="18" xfId="0" applyNumberFormat="1" applyFont="1" applyBorder="1" applyAlignment="1" applyProtection="1">
      <alignment horizontal="center" vertical="center"/>
      <protection locked="0"/>
    </xf>
    <xf numFmtId="167" fontId="20" fillId="0" borderId="18" xfId="0" applyNumberFormat="1" applyFont="1" applyBorder="1" applyAlignment="1" applyProtection="1">
      <alignment horizontal="center" vertical="center"/>
      <protection locked="0"/>
    </xf>
    <xf numFmtId="2" fontId="21" fillId="0" borderId="18" xfId="0" applyNumberFormat="1" applyFont="1" applyBorder="1" applyAlignment="1" applyProtection="1">
      <alignment horizontal="center" vertical="center"/>
      <protection locked="0"/>
    </xf>
    <xf numFmtId="2" fontId="21" fillId="0" borderId="18" xfId="0" applyNumberFormat="1" applyFont="1" applyBorder="1" applyAlignment="1">
      <alignment horizontal="center" vertical="center"/>
    </xf>
    <xf numFmtId="0" fontId="18" fillId="0" borderId="15" xfId="0" applyFont="1" applyBorder="1" applyAlignment="1" applyProtection="1">
      <alignment horizontal="right" vertical="center"/>
      <protection locked="0"/>
    </xf>
    <xf numFmtId="168" fontId="10" fillId="0" borderId="15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170" fontId="14" fillId="0" borderId="23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23" xfId="0" applyFont="1" applyBorder="1" applyAlignment="1">
      <alignment horizontal="left" vertical="center"/>
    </xf>
    <xf numFmtId="2" fontId="14" fillId="0" borderId="24" xfId="0" applyNumberFormat="1" applyFont="1" applyBorder="1" applyAlignment="1">
      <alignment horizontal="center" vertical="center"/>
    </xf>
    <xf numFmtId="2" fontId="14" fillId="0" borderId="25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4" fontId="14" fillId="0" borderId="26" xfId="0" applyNumberFormat="1" applyFont="1" applyBorder="1" applyAlignment="1">
      <alignment horizontal="center" vertical="center"/>
    </xf>
    <xf numFmtId="1" fontId="14" fillId="0" borderId="27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2" fillId="0" borderId="0" xfId="0" applyFont="1"/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71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0" xfId="0" applyFont="1"/>
    <xf numFmtId="0" fontId="8" fillId="0" borderId="3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3" xfId="0" applyFont="1" applyBorder="1" applyAlignment="1">
      <alignment horizontal="left"/>
    </xf>
    <xf numFmtId="0" fontId="1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50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49" fontId="10" fillId="0" borderId="12" xfId="0" applyNumberFormat="1" applyFont="1" applyBorder="1" applyAlignment="1" applyProtection="1">
      <alignment horizontal="center" vertical="center"/>
      <protection locked="0"/>
    </xf>
    <xf numFmtId="2" fontId="10" fillId="0" borderId="12" xfId="0" applyNumberFormat="1" applyFont="1" applyBorder="1" applyAlignment="1" applyProtection="1">
      <alignment horizontal="center" vertical="center"/>
      <protection locked="0"/>
    </xf>
    <xf numFmtId="166" fontId="10" fillId="0" borderId="12" xfId="0" applyNumberFormat="1" applyFont="1" applyBorder="1" applyAlignment="1" applyProtection="1">
      <alignment horizontal="center" vertical="center"/>
      <protection locked="0"/>
    </xf>
    <xf numFmtId="1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172" fontId="3" fillId="0" borderId="0" xfId="0" applyNumberFormat="1" applyFont="1"/>
    <xf numFmtId="0" fontId="16" fillId="0" borderId="0" xfId="0" applyFont="1"/>
    <xf numFmtId="172" fontId="16" fillId="0" borderId="0" xfId="0" applyNumberFormat="1" applyFont="1"/>
    <xf numFmtId="1" fontId="16" fillId="0" borderId="0" xfId="0" applyNumberFormat="1" applyFont="1"/>
    <xf numFmtId="172" fontId="23" fillId="0" borderId="0" xfId="0" applyNumberFormat="1" applyFont="1" applyAlignment="1">
      <alignment horizontal="right" vertical="center"/>
    </xf>
    <xf numFmtId="172" fontId="23" fillId="4" borderId="0" xfId="0" applyNumberFormat="1" applyFont="1" applyFill="1" applyAlignment="1">
      <alignment horizontal="right" vertical="center"/>
    </xf>
    <xf numFmtId="0" fontId="2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10" fillId="0" borderId="0" xfId="0" applyNumberFormat="1" applyFont="1" applyAlignment="1" applyProtection="1">
      <alignment horizontal="left"/>
      <protection locked="0"/>
    </xf>
    <xf numFmtId="166" fontId="10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2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60"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i/>
        <strike/>
        <condense/>
        <extend/>
        <color indexed="10"/>
      </font>
    </dxf>
    <dxf>
      <font>
        <b/>
        <i/>
        <condense/>
        <extend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0"/>
  <sheetViews>
    <sheetView showGridLines="0" tabSelected="1" zoomScaleNormal="100" workbookViewId="0">
      <selection activeCell="B25" sqref="B25"/>
    </sheetView>
  </sheetViews>
  <sheetFormatPr defaultColWidth="9.140625" defaultRowHeight="12.95" customHeight="1" x14ac:dyDescent="0.2"/>
  <cols>
    <col min="1" max="1" width="4.42578125" style="1" customWidth="1"/>
    <col min="2" max="2" width="10.140625" style="1" customWidth="1"/>
    <col min="3" max="3" width="6.42578125" style="2" customWidth="1"/>
    <col min="4" max="4" width="8.5703125" style="2" customWidth="1"/>
    <col min="5" max="5" width="6.42578125" style="3" customWidth="1"/>
    <col min="6" max="6" width="6.85546875" style="3" customWidth="1"/>
    <col min="7" max="7" width="11.28515625" style="2" bestFit="1" customWidth="1"/>
    <col min="8" max="8" width="3.85546875" style="2" customWidth="1"/>
    <col min="9" max="9" width="27.85546875" style="4" customWidth="1"/>
    <col min="10" max="10" width="21" style="4" customWidth="1"/>
    <col min="11" max="11" width="6.85546875" style="2" customWidth="1"/>
    <col min="12" max="12" width="6.85546875" style="5" customWidth="1"/>
    <col min="13" max="13" width="6.85546875" style="2" customWidth="1"/>
    <col min="14" max="14" width="8.85546875" style="2" customWidth="1"/>
    <col min="15" max="19" width="6.85546875" style="2" customWidth="1"/>
    <col min="20" max="23" width="8" style="6" customWidth="1"/>
    <col min="24" max="24" width="9" style="6" customWidth="1"/>
    <col min="25" max="26" width="8" style="6" customWidth="1"/>
    <col min="27" max="27" width="5" style="6" bestFit="1" customWidth="1"/>
    <col min="28" max="28" width="5.5703125" style="6" customWidth="1"/>
    <col min="29" max="29" width="9.5703125" style="1" hidden="1" customWidth="1"/>
    <col min="30" max="31" width="9.140625" style="1" hidden="1" customWidth="1"/>
    <col min="32" max="32" width="7.85546875" style="1" hidden="1" customWidth="1"/>
    <col min="33" max="33" width="9.140625" style="1" hidden="1" customWidth="1"/>
    <col min="34" max="35" width="9.140625" style="7" hidden="1" customWidth="1"/>
    <col min="36" max="36" width="9.140625" style="1" hidden="1" customWidth="1"/>
    <col min="37" max="37" width="9.140625" style="1" customWidth="1"/>
    <col min="38" max="16384" width="9.140625" style="1"/>
  </cols>
  <sheetData>
    <row r="1" spans="1:36" ht="18.95" customHeight="1" x14ac:dyDescent="0.2">
      <c r="A1" s="8"/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6" ht="75" customHeight="1" x14ac:dyDescent="0.8">
      <c r="A2" s="8"/>
      <c r="B2" s="8"/>
      <c r="C2" s="8"/>
      <c r="D2" s="8"/>
      <c r="E2" s="8"/>
      <c r="F2" s="8"/>
      <c r="G2" s="163" t="s">
        <v>0</v>
      </c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8"/>
      <c r="T2" s="8"/>
      <c r="U2" s="9" t="s">
        <v>1</v>
      </c>
      <c r="V2" s="8"/>
      <c r="W2" s="8"/>
      <c r="X2" s="8"/>
      <c r="Y2" s="8"/>
    </row>
    <row r="3" spans="1:36" ht="29.1" customHeight="1" x14ac:dyDescent="0.5">
      <c r="A3" s="8"/>
      <c r="B3" s="8"/>
      <c r="C3" s="8"/>
      <c r="D3" s="8"/>
      <c r="E3" s="10"/>
      <c r="F3" s="8"/>
      <c r="G3" s="164" t="s">
        <v>2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1" t="s">
        <v>3</v>
      </c>
      <c r="T3" s="11"/>
      <c r="U3" s="11"/>
      <c r="V3" s="11"/>
      <c r="W3" s="11"/>
      <c r="X3" s="11"/>
      <c r="Y3" s="11"/>
      <c r="Z3" s="11"/>
    </row>
    <row r="4" spans="1:36" ht="12.75" x14ac:dyDescent="0.2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36" s="12" customFormat="1" ht="15.95" customHeight="1" x14ac:dyDescent="0.25">
      <c r="C5" s="13" t="s">
        <v>4</v>
      </c>
      <c r="D5" s="165" t="s">
        <v>5</v>
      </c>
      <c r="E5" s="165"/>
      <c r="F5" s="165"/>
      <c r="G5" s="165"/>
      <c r="H5" s="165"/>
      <c r="I5" s="165"/>
      <c r="J5" s="13" t="s">
        <v>6</v>
      </c>
      <c r="K5" s="165" t="s">
        <v>7</v>
      </c>
      <c r="L5" s="165"/>
      <c r="M5" s="165"/>
      <c r="N5" s="165"/>
      <c r="O5" s="13" t="s">
        <v>8</v>
      </c>
      <c r="P5" s="166" t="s">
        <v>9</v>
      </c>
      <c r="Q5" s="166"/>
      <c r="R5" s="166"/>
      <c r="S5" s="166"/>
      <c r="T5" s="13" t="s">
        <v>10</v>
      </c>
      <c r="U5" s="167">
        <v>46179</v>
      </c>
      <c r="V5" s="167"/>
      <c r="W5" s="14"/>
      <c r="X5" s="14"/>
      <c r="Y5" s="14"/>
      <c r="Z5" s="15" t="s">
        <v>11</v>
      </c>
      <c r="AA5" s="15"/>
      <c r="AB5" s="16">
        <v>1</v>
      </c>
      <c r="AH5" s="17"/>
      <c r="AI5" s="17"/>
    </row>
    <row r="6" spans="1:36" ht="12.75" x14ac:dyDescent="0.2">
      <c r="AG6" s="18" t="s">
        <v>12</v>
      </c>
      <c r="AH6" s="18" t="s">
        <v>12</v>
      </c>
      <c r="AI6" s="18" t="s">
        <v>12</v>
      </c>
      <c r="AJ6" s="168" t="s">
        <v>13</v>
      </c>
    </row>
    <row r="7" spans="1:36" s="2" customFormat="1" ht="12.75" x14ac:dyDescent="0.2">
      <c r="B7" s="169" t="s">
        <v>14</v>
      </c>
      <c r="C7" s="171" t="s">
        <v>15</v>
      </c>
      <c r="D7" s="171" t="s">
        <v>16</v>
      </c>
      <c r="E7" s="173" t="s">
        <v>17</v>
      </c>
      <c r="F7" s="175" t="s">
        <v>18</v>
      </c>
      <c r="G7" s="19" t="s">
        <v>19</v>
      </c>
      <c r="H7" s="19" t="s">
        <v>20</v>
      </c>
      <c r="I7" s="19" t="s">
        <v>21</v>
      </c>
      <c r="J7" s="19" t="s">
        <v>22</v>
      </c>
      <c r="K7" s="20"/>
      <c r="L7" s="21" t="s">
        <v>23</v>
      </c>
      <c r="M7" s="19"/>
      <c r="N7" s="19"/>
      <c r="O7" s="22" t="s">
        <v>24</v>
      </c>
      <c r="P7" s="19"/>
      <c r="Q7" s="23" t="s">
        <v>25</v>
      </c>
      <c r="R7" s="19"/>
      <c r="S7" s="19" t="s">
        <v>26</v>
      </c>
      <c r="T7" s="24" t="s">
        <v>27</v>
      </c>
      <c r="U7" s="25" t="s">
        <v>27</v>
      </c>
      <c r="V7" s="26" t="s">
        <v>28</v>
      </c>
      <c r="W7" s="26" t="s">
        <v>29</v>
      </c>
      <c r="X7" s="26" t="s">
        <v>30</v>
      </c>
      <c r="Y7" s="27" t="s">
        <v>31</v>
      </c>
      <c r="Z7" s="28" t="s">
        <v>32</v>
      </c>
      <c r="AA7" s="29" t="s">
        <v>33</v>
      </c>
      <c r="AB7" s="24" t="s">
        <v>34</v>
      </c>
      <c r="AC7" s="7"/>
      <c r="AG7" s="30" t="s">
        <v>35</v>
      </c>
      <c r="AH7" s="30" t="s">
        <v>35</v>
      </c>
      <c r="AI7" s="30" t="s">
        <v>35</v>
      </c>
      <c r="AJ7" s="168"/>
    </row>
    <row r="8" spans="1:36" s="2" customFormat="1" ht="12.75" x14ac:dyDescent="0.2">
      <c r="B8" s="170"/>
      <c r="C8" s="172"/>
      <c r="D8" s="172"/>
      <c r="E8" s="174"/>
      <c r="F8" s="176"/>
      <c r="G8" s="31" t="s">
        <v>36</v>
      </c>
      <c r="H8" s="31" t="s">
        <v>37</v>
      </c>
      <c r="I8" s="31"/>
      <c r="J8" s="31"/>
      <c r="K8" s="32">
        <v>1</v>
      </c>
      <c r="L8" s="32">
        <v>2</v>
      </c>
      <c r="M8" s="33">
        <v>3</v>
      </c>
      <c r="N8" s="33">
        <v>1</v>
      </c>
      <c r="O8" s="32">
        <v>2</v>
      </c>
      <c r="P8" s="33">
        <v>3</v>
      </c>
      <c r="Q8" s="34" t="s">
        <v>38</v>
      </c>
      <c r="R8" s="31"/>
      <c r="S8" s="31" t="s">
        <v>39</v>
      </c>
      <c r="T8" s="35"/>
      <c r="U8" s="36" t="s">
        <v>40</v>
      </c>
      <c r="V8" s="26" t="s">
        <v>27</v>
      </c>
      <c r="W8" s="26" t="s">
        <v>27</v>
      </c>
      <c r="X8" s="26" t="s">
        <v>27</v>
      </c>
      <c r="Y8" s="37" t="s">
        <v>41</v>
      </c>
      <c r="Z8" s="38" t="s">
        <v>42</v>
      </c>
      <c r="AA8" s="38"/>
      <c r="AB8" s="35"/>
      <c r="AD8" s="2" t="s">
        <v>43</v>
      </c>
      <c r="AE8" s="2" t="s">
        <v>44</v>
      </c>
      <c r="AF8" s="7" t="s">
        <v>40</v>
      </c>
      <c r="AG8" s="30" t="s">
        <v>45</v>
      </c>
      <c r="AH8" s="30" t="s">
        <v>46</v>
      </c>
      <c r="AI8" s="30" t="s">
        <v>47</v>
      </c>
    </row>
    <row r="9" spans="1:36" s="39" customFormat="1" ht="20.100000000000001" customHeight="1" x14ac:dyDescent="0.25">
      <c r="B9" s="40" t="s">
        <v>48</v>
      </c>
      <c r="C9" s="41" t="s">
        <v>49</v>
      </c>
      <c r="D9" s="42">
        <v>47.35</v>
      </c>
      <c r="E9" s="41" t="s">
        <v>50</v>
      </c>
      <c r="F9" s="41" t="s">
        <v>51</v>
      </c>
      <c r="G9" s="43">
        <v>42132</v>
      </c>
      <c r="H9" s="44">
        <v>3</v>
      </c>
      <c r="I9" s="45" t="s">
        <v>52</v>
      </c>
      <c r="J9" s="46" t="s">
        <v>53</v>
      </c>
      <c r="K9" s="47">
        <v>16</v>
      </c>
      <c r="L9" s="47">
        <v>-18</v>
      </c>
      <c r="M9" s="47">
        <v>18</v>
      </c>
      <c r="N9" s="47">
        <v>21</v>
      </c>
      <c r="O9" s="48">
        <v>23</v>
      </c>
      <c r="P9" s="48">
        <v>25</v>
      </c>
      <c r="Q9" s="49">
        <f>IF(MAX(K9:M9)&gt;0,IF(MAX(K9:M9)&lt;0,0,TRUNC(MAX(K9:M9)/1)*1),"")</f>
        <v>18</v>
      </c>
      <c r="R9" s="50">
        <f>IF(MAX(N9:P9)&gt;0,IF(MAX(N9:P9)&lt;0,0,TRUNC(MAX(N9:P9)/1)*1),"")</f>
        <v>25</v>
      </c>
      <c r="S9" s="50">
        <f>IF(Q9="","",IF(R9="","",IF(SUM(Q9:R9)=0,"",SUM(Q9:R9))))</f>
        <v>43</v>
      </c>
      <c r="T9" s="51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69.085384514113329</v>
      </c>
      <c r="U9" s="52" t="str">
        <f>IF(AF9=1,T9*AI9,"")</f>
        <v/>
      </c>
      <c r="V9" s="53">
        <v>4.5</v>
      </c>
      <c r="W9" s="53">
        <v>5.33</v>
      </c>
      <c r="X9" s="53">
        <v>8.7200000000000006</v>
      </c>
      <c r="Y9" s="51"/>
      <c r="Z9" s="52"/>
      <c r="AA9" s="52">
        <v>1</v>
      </c>
      <c r="AB9" s="54" t="s">
        <v>54</v>
      </c>
      <c r="AC9" s="55">
        <f>U5</f>
        <v>46179</v>
      </c>
      <c r="AD9" s="56" t="str">
        <f>IF(ISNUMBER(FIND("M",E9)),"m",IF(ISNUMBER(FIND("K",E9)),"k"))</f>
        <v>k</v>
      </c>
      <c r="AE9" s="57">
        <f>IF(OR(G9="",AC9=""),0,(YEAR(AC9)-YEAR(G9)))</f>
        <v>11</v>
      </c>
      <c r="AF9" s="58">
        <f>IF(AE9&gt;34,1,0)</f>
        <v>0</v>
      </c>
      <c r="AG9" s="39" t="b">
        <f>IF(AF9=1,LOOKUP(AE9,'Meltzer-Faber'!A3:A63,'Meltzer-Faber'!B3:B63))</f>
        <v>0</v>
      </c>
      <c r="AH9" s="59" t="b">
        <f>IF(AF9=1,LOOKUP(AE9,'Meltzer-Faber'!A3:A63,'Meltzer-Faber'!C3:C63))</f>
        <v>0</v>
      </c>
      <c r="AI9" s="59" t="b">
        <f>IF(AD9="m",AG9,IF(AD9="k",AH9,""))</f>
        <v>0</v>
      </c>
      <c r="AJ9" s="60">
        <f>IF(D9="","",IF(D9&gt;193.609,1,IF(D9&lt;32,10^(0.722762521*LOG10(32/193.609)^2),10^(0.722762521*LOG10(D9/193.609)^2))))</f>
        <v>1.8636207225797436</v>
      </c>
    </row>
    <row r="10" spans="1:36" s="39" customFormat="1" ht="20.100000000000001" customHeight="1" x14ac:dyDescent="0.2">
      <c r="B10" s="61"/>
      <c r="C10" s="62"/>
      <c r="D10" s="62"/>
      <c r="E10" s="62"/>
      <c r="F10" s="63"/>
      <c r="G10" s="64"/>
      <c r="H10" s="65"/>
      <c r="I10" s="66"/>
      <c r="J10" s="66"/>
      <c r="K10" s="177"/>
      <c r="L10" s="177"/>
      <c r="M10" s="177"/>
      <c r="N10" s="178"/>
      <c r="O10" s="178"/>
      <c r="P10" s="178"/>
      <c r="Q10" s="68"/>
      <c r="R10" s="62"/>
      <c r="S10" s="177">
        <f>IF(T9="","",T9*1.2)</f>
        <v>82.902461416935992</v>
      </c>
      <c r="T10" s="177"/>
      <c r="U10" s="62"/>
      <c r="V10" s="62">
        <f>IF(V9&gt;0,V9*20,"")</f>
        <v>90</v>
      </c>
      <c r="W10" s="62">
        <f>IF(W9="","",(W9*10)*AJ9)</f>
        <v>99.330984513500326</v>
      </c>
      <c r="X10" s="62">
        <f>IF(ROUNDUP(X9,1)&gt;0,IF((80+(8-ROUNDUP(X9,1))*40)&lt;0,0,80+(8-ROUNDUP(X9,1))*40),"")</f>
        <v>48.000000000000043</v>
      </c>
      <c r="Y10" s="67">
        <f>IF(SUM(V10,W10,X10)&gt;0,SUM(V10,W10,X10),"")</f>
        <v>237.33098451350037</v>
      </c>
      <c r="Z10" s="69">
        <f>IF(AE9&gt;34,(IF(OR(S10="",V10="",W10="",X10=""),"",SUM(S10,V10,W10,X10))*AI9),IF(OR(S10="",V10="",W10="",X10=""),"", SUM(S10,V10,W10,X10)))</f>
        <v>320.23344593043635</v>
      </c>
      <c r="AA10" s="69"/>
      <c r="AB10" s="63"/>
      <c r="AC10" s="70"/>
      <c r="AD10" s="2"/>
      <c r="AE10" s="57"/>
      <c r="AF10" s="71"/>
      <c r="AH10" s="59"/>
      <c r="AI10" s="59"/>
      <c r="AJ10" s="60"/>
    </row>
    <row r="11" spans="1:36" s="39" customFormat="1" ht="20.100000000000001" customHeight="1" x14ac:dyDescent="0.2">
      <c r="B11" s="72" t="s">
        <v>55</v>
      </c>
      <c r="C11" s="41" t="s">
        <v>49</v>
      </c>
      <c r="D11" s="42">
        <v>45.39</v>
      </c>
      <c r="E11" s="41" t="s">
        <v>50</v>
      </c>
      <c r="F11" s="41" t="s">
        <v>56</v>
      </c>
      <c r="G11" s="43">
        <v>41457</v>
      </c>
      <c r="H11" s="44">
        <v>4</v>
      </c>
      <c r="I11" s="45" t="s">
        <v>57</v>
      </c>
      <c r="J11" s="46" t="s">
        <v>7</v>
      </c>
      <c r="K11" s="47">
        <v>22</v>
      </c>
      <c r="L11" s="47">
        <v>24</v>
      </c>
      <c r="M11" s="47">
        <v>-27</v>
      </c>
      <c r="N11" s="47">
        <v>32</v>
      </c>
      <c r="O11" s="73">
        <v>34</v>
      </c>
      <c r="P11" s="73">
        <v>-36</v>
      </c>
      <c r="Q11" s="74">
        <f>IF(MAX(K11:M11)&gt;0,IF(MAX(K11:M11)&lt;0,0,TRUNC(MAX(K11:M11)/1)*1),"")</f>
        <v>24</v>
      </c>
      <c r="R11" s="75">
        <f>IF(MAX(N11:P11)&gt;0,IF(MAX(N11:P11)&lt;0,0,TRUNC(MAX(N11:P11)/1)*1),"")</f>
        <v>34</v>
      </c>
      <c r="S11" s="75">
        <f>IF(Q11="","",IF(R11="","",IF(SUM(Q11:R11)=0,"",SUM(Q11:R11))))</f>
        <v>58</v>
      </c>
      <c r="T11" s="76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96.470162183070656</v>
      </c>
      <c r="U11" s="77" t="str">
        <f>IF(AF11=1,T11*AI11,"")</f>
        <v/>
      </c>
      <c r="V11" s="78">
        <v>5.33</v>
      </c>
      <c r="W11" s="78">
        <v>8.98</v>
      </c>
      <c r="X11" s="78">
        <v>7.69</v>
      </c>
      <c r="Y11" s="79"/>
      <c r="Z11" s="77"/>
      <c r="AA11" s="77">
        <v>1</v>
      </c>
      <c r="AB11" s="80" t="s">
        <v>54</v>
      </c>
      <c r="AC11" s="70">
        <f>U5</f>
        <v>46179</v>
      </c>
      <c r="AD11" s="56" t="str">
        <f>IF(ISNUMBER(FIND("M",E11)),"m",IF(ISNUMBER(FIND("K",E11)),"k"))</f>
        <v>k</v>
      </c>
      <c r="AE11" s="57">
        <f>IF(OR(G11="",AC11=""),0,(YEAR(AC11)-YEAR(G11)))</f>
        <v>13</v>
      </c>
      <c r="AF11" s="58">
        <f t="shared" ref="AF11:AF23" si="0">IF(AE11&gt;34,1,0)</f>
        <v>0</v>
      </c>
      <c r="AG11" s="39" t="b">
        <f>IF(AF11=1,LOOKUP(AE11,'Meltzer-Faber'!A3:A63,'Meltzer-Faber'!B3:B63))</f>
        <v>0</v>
      </c>
      <c r="AH11" s="59" t="b">
        <f>IF(AF11=1,LOOKUP(AE11,'Meltzer-Faber'!A3:A63,'Meltzer-Faber'!C3:C63))</f>
        <v>0</v>
      </c>
      <c r="AI11" s="59" t="b">
        <f>IF(AD11="m",AG11,IF(AD11="k",AH11,""))</f>
        <v>0</v>
      </c>
      <c r="AJ11" s="60">
        <f>IF(D11="","",IF(D11&gt;193.609,1,IF(D11&lt;32,10^(0.722762521*LOG10(32/193.609)^2),10^(0.722762521*LOG10(D11/193.609)^2))))</f>
        <v>1.9356770395990086</v>
      </c>
    </row>
    <row r="12" spans="1:36" s="39" customFormat="1" ht="20.100000000000001" customHeight="1" x14ac:dyDescent="0.2">
      <c r="B12" s="81"/>
      <c r="C12" s="62"/>
      <c r="D12" s="62"/>
      <c r="E12" s="62"/>
      <c r="F12" s="63"/>
      <c r="G12" s="64"/>
      <c r="H12" s="65"/>
      <c r="I12" s="66"/>
      <c r="J12" s="66"/>
      <c r="K12" s="177"/>
      <c r="L12" s="177"/>
      <c r="M12" s="177"/>
      <c r="N12" s="178"/>
      <c r="O12" s="178"/>
      <c r="P12" s="178"/>
      <c r="Q12" s="68"/>
      <c r="R12" s="62"/>
      <c r="S12" s="177">
        <f>IF(T11="","",T11*1.2)</f>
        <v>115.76419461968479</v>
      </c>
      <c r="T12" s="177"/>
      <c r="U12" s="69"/>
      <c r="V12" s="62">
        <f>IF(V11&gt;0,V11*20,"")</f>
        <v>106.6</v>
      </c>
      <c r="W12" s="62">
        <f>IF(W11="","",(W11*10)*AJ11)</f>
        <v>173.823798155991</v>
      </c>
      <c r="X12" s="62">
        <f>IF(ROUNDUP(X11,1)&gt;0,IF((80+(8-ROUNDUP(X11,1))*40)&lt;0,0,80+(8-ROUNDUP(X11,1))*40),"")</f>
        <v>92.000000000000028</v>
      </c>
      <c r="Y12" s="67">
        <f>IF(SUM(V12,W12,X12)&gt;0,SUM(V12,W12,X12),"")</f>
        <v>372.42379815599099</v>
      </c>
      <c r="Z12" s="69">
        <f>IF(AE11&gt;34,(IF(OR(S12="",V12="",W12="",X12=""),"",SUM(S12,V12,W12,X12))*AI11),IF(OR(S12="",V12="",W12="",X12=""),"", SUM(S12,V12,W12,X12)))</f>
        <v>488.18799277567575</v>
      </c>
      <c r="AA12" s="69"/>
      <c r="AB12" s="63"/>
      <c r="AC12" s="70"/>
      <c r="AD12" s="2"/>
      <c r="AE12" s="57"/>
      <c r="AF12" s="58"/>
      <c r="AH12" s="59"/>
      <c r="AI12" s="59"/>
      <c r="AJ12" s="60"/>
    </row>
    <row r="13" spans="1:36" s="39" customFormat="1" ht="20.100000000000001" customHeight="1" x14ac:dyDescent="0.2">
      <c r="B13" s="82" t="s">
        <v>58</v>
      </c>
      <c r="C13" s="83" t="s">
        <v>59</v>
      </c>
      <c r="D13" s="84">
        <v>56.27</v>
      </c>
      <c r="E13" s="83" t="s">
        <v>50</v>
      </c>
      <c r="F13" s="83" t="s">
        <v>56</v>
      </c>
      <c r="G13" s="85">
        <v>40976</v>
      </c>
      <c r="H13" s="86">
        <v>5</v>
      </c>
      <c r="I13" s="87" t="s">
        <v>60</v>
      </c>
      <c r="J13" s="88" t="s">
        <v>7</v>
      </c>
      <c r="K13" s="73">
        <v>30</v>
      </c>
      <c r="L13" s="73">
        <v>33</v>
      </c>
      <c r="M13" s="73">
        <v>-35</v>
      </c>
      <c r="N13" s="73">
        <v>40</v>
      </c>
      <c r="O13" s="73">
        <v>-43</v>
      </c>
      <c r="P13" s="73">
        <v>43</v>
      </c>
      <c r="Q13" s="74">
        <f>IF(MAX(K13:M13)&gt;0,IF(MAX(K13:M13)&lt;0,0,TRUNC(MAX(K13:M13)/1)*1),"")</f>
        <v>33</v>
      </c>
      <c r="R13" s="75">
        <f>IF(MAX(N13:P13)&gt;0,IF(MAX(N13:P13)&lt;0,0,TRUNC(MAX(N13:P13)/1)*1),"")</f>
        <v>43</v>
      </c>
      <c r="S13" s="75">
        <f>IF(Q13="","",IF(R13="","",IF(SUM(Q13:R13)=0,"",SUM(Q13:R13))))</f>
        <v>76</v>
      </c>
      <c r="T13" s="76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107.35026956299963</v>
      </c>
      <c r="U13" s="77" t="str">
        <f>IF(AF13=1,T13*AI13,"")</f>
        <v/>
      </c>
      <c r="V13" s="78">
        <v>5.38</v>
      </c>
      <c r="W13" s="78">
        <v>9.02</v>
      </c>
      <c r="X13" s="78">
        <v>7.44</v>
      </c>
      <c r="Y13" s="89"/>
      <c r="Z13" s="77"/>
      <c r="AA13" s="77">
        <v>2</v>
      </c>
      <c r="AB13" s="80" t="s">
        <v>54</v>
      </c>
      <c r="AC13" s="70">
        <f>U5</f>
        <v>46179</v>
      </c>
      <c r="AD13" s="56" t="str">
        <f>IF(ISNUMBER(FIND("M",E13)),"m",IF(ISNUMBER(FIND("K",E13)),"k"))</f>
        <v>k</v>
      </c>
      <c r="AE13" s="57">
        <f>IF(OR(G13="",AC13=""),0,(YEAR(AC13)-YEAR(G13)))</f>
        <v>14</v>
      </c>
      <c r="AF13" s="58">
        <f t="shared" si="0"/>
        <v>0</v>
      </c>
      <c r="AG13" s="39" t="b">
        <f>IF(AF13=1,LOOKUP(AE13,'Meltzer-Faber'!A3:A63,'Meltzer-Faber'!B3:B63))</f>
        <v>0</v>
      </c>
      <c r="AH13" s="59" t="b">
        <f>IF(AF13=1,LOOKUP(AE13,'Meltzer-Faber'!A3:A63,'Meltzer-Faber'!C3:C63))</f>
        <v>0</v>
      </c>
      <c r="AI13" s="59" t="b">
        <f t="shared" ref="AI13:AI23" si="1">IF(AD13="m",AG13,IF(AD13="k",AH13,""))</f>
        <v>0</v>
      </c>
      <c r="AJ13" s="60">
        <f>IF(D13="","",IF(D13&gt;193.609,1,IF(D13&lt;32,10^(0.722762521*LOG10(32/193.609)^2),10^(0.722762521*LOG10(D13/193.609)^2))))</f>
        <v>1.6149149022335281</v>
      </c>
    </row>
    <row r="14" spans="1:36" s="39" customFormat="1" ht="20.100000000000001" customHeight="1" x14ac:dyDescent="0.2">
      <c r="B14" s="81"/>
      <c r="C14" s="62"/>
      <c r="D14" s="62"/>
      <c r="E14" s="62"/>
      <c r="F14" s="63"/>
      <c r="G14" s="64"/>
      <c r="H14" s="65"/>
      <c r="I14" s="66"/>
      <c r="J14" s="66"/>
      <c r="K14" s="177"/>
      <c r="L14" s="177"/>
      <c r="M14" s="177"/>
      <c r="N14" s="178"/>
      <c r="O14" s="178"/>
      <c r="P14" s="178"/>
      <c r="Q14" s="68"/>
      <c r="R14" s="62"/>
      <c r="S14" s="177">
        <f>IF(T13="","",T13*1.2)</f>
        <v>128.82032347559954</v>
      </c>
      <c r="T14" s="177"/>
      <c r="U14" s="62"/>
      <c r="V14" s="62">
        <f>IF(V13&gt;0,V13*20,"")</f>
        <v>107.6</v>
      </c>
      <c r="W14" s="62">
        <f>IF(W13="","",(W13*10)*AJ13)</f>
        <v>145.6653241814642</v>
      </c>
      <c r="X14" s="62">
        <f>IF(ROUNDUP(X13,1)&gt;0,IF((80+(8-ROUNDUP(X13,1))*40)&lt;0,0,80+(8-ROUNDUP(X13,1))*40),"")</f>
        <v>100</v>
      </c>
      <c r="Y14" s="67">
        <f>IF(SUM(V14,W14,X14)&gt;0,SUM(V14,W14,X14),"")</f>
        <v>353.26532418146417</v>
      </c>
      <c r="Z14" s="69">
        <f>IF(AE13&gt;34,(IF(OR(S14="",V14="",W14="",X14=""),"",SUM(S14,V14,W14,X14))*AI13),IF(OR(S14="",V14="",W14="",X14=""),"", SUM(S14,V14,W14,X14)))</f>
        <v>482.08564765706376</v>
      </c>
      <c r="AA14" s="69"/>
      <c r="AB14" s="63"/>
      <c r="AC14" s="70"/>
      <c r="AD14" s="2"/>
      <c r="AE14" s="57"/>
      <c r="AF14" s="58"/>
      <c r="AH14" s="59"/>
      <c r="AI14" s="59"/>
      <c r="AJ14" s="60"/>
    </row>
    <row r="15" spans="1:36" s="39" customFormat="1" ht="20.100000000000001" customHeight="1" x14ac:dyDescent="0.2">
      <c r="B15" s="82" t="s">
        <v>61</v>
      </c>
      <c r="C15" s="83" t="s">
        <v>49</v>
      </c>
      <c r="D15" s="84">
        <v>47.15</v>
      </c>
      <c r="E15" s="83" t="s">
        <v>50</v>
      </c>
      <c r="F15" s="83" t="s">
        <v>56</v>
      </c>
      <c r="G15" s="85">
        <v>41537</v>
      </c>
      <c r="H15" s="86">
        <v>2</v>
      </c>
      <c r="I15" s="87" t="s">
        <v>62</v>
      </c>
      <c r="J15" s="88" t="s">
        <v>7</v>
      </c>
      <c r="K15" s="73">
        <v>22</v>
      </c>
      <c r="L15" s="73">
        <v>25</v>
      </c>
      <c r="M15" s="73">
        <v>-27</v>
      </c>
      <c r="N15" s="73">
        <v>30</v>
      </c>
      <c r="O15" s="73">
        <v>33</v>
      </c>
      <c r="P15" s="73">
        <v>-35</v>
      </c>
      <c r="Q15" s="74">
        <f>IF(MAX(K15:M15)&gt;0,IF(MAX(K15:M15)&lt;0,0,TRUNC(MAX(K15:M15)/1)*1),"")</f>
        <v>25</v>
      </c>
      <c r="R15" s="75">
        <f>IF(MAX(N15:P15)&gt;0,IF(MAX(N15:P15)&lt;0,0,TRUNC(MAX(N15:P15)/1)*1),"")</f>
        <v>33</v>
      </c>
      <c r="S15" s="75">
        <f>IF(Q15="","",IF(R15="","",IF(SUM(Q15:R15)=0,"",SUM(Q15:R15))))</f>
        <v>58</v>
      </c>
      <c r="T15" s="76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93.503621961212758</v>
      </c>
      <c r="U15" s="77" t="str">
        <f>IF(AF15=1,T15*AI15,"")</f>
        <v/>
      </c>
      <c r="V15" s="78">
        <v>4.76</v>
      </c>
      <c r="W15" s="78">
        <v>6.84</v>
      </c>
      <c r="X15" s="78">
        <v>8.4700000000000006</v>
      </c>
      <c r="Y15" s="79"/>
      <c r="Z15" s="77"/>
      <c r="AA15" s="77">
        <v>3</v>
      </c>
      <c r="AB15" s="80" t="s">
        <v>54</v>
      </c>
      <c r="AC15" s="70">
        <f>U5</f>
        <v>46179</v>
      </c>
      <c r="AD15" s="56" t="str">
        <f>IF(ISNUMBER(FIND("M",E15)),"m",IF(ISNUMBER(FIND("K",E15)),"k"))</f>
        <v>k</v>
      </c>
      <c r="AE15" s="57">
        <f>IF(OR(G15="",AC15=""),0,(YEAR(AC15)-YEAR(G15)))</f>
        <v>13</v>
      </c>
      <c r="AF15" s="58">
        <f t="shared" si="0"/>
        <v>0</v>
      </c>
      <c r="AG15" s="39" t="b">
        <f>IF(AF15=1,LOOKUP(AE15,'Meltzer-Faber'!A3:A63,'Meltzer-Faber'!B3:B63))</f>
        <v>0</v>
      </c>
      <c r="AH15" s="59" t="b">
        <f>IF(AF15=1,LOOKUP(AE15,'Meltzer-Faber'!A3:A63,'Meltzer-Faber'!C3:C63))</f>
        <v>0</v>
      </c>
      <c r="AI15" s="59" t="b">
        <f t="shared" si="1"/>
        <v>0</v>
      </c>
      <c r="AJ15" s="60">
        <f>IF(D15="","",IF(D15&gt;193.609,1,IF(D15&lt;32,10^(0.722762521*LOG10(32/193.609)^2),10^(0.722762521*LOG10(D15/193.609)^2))))</f>
        <v>1.8706183315624274</v>
      </c>
    </row>
    <row r="16" spans="1:36" s="39" customFormat="1" ht="20.100000000000001" customHeight="1" x14ac:dyDescent="0.2">
      <c r="B16" s="81"/>
      <c r="C16" s="62"/>
      <c r="D16" s="62"/>
      <c r="E16" s="62"/>
      <c r="F16" s="63"/>
      <c r="G16" s="64"/>
      <c r="H16" s="65"/>
      <c r="I16" s="66"/>
      <c r="J16" s="66"/>
      <c r="K16" s="177"/>
      <c r="L16" s="177"/>
      <c r="M16" s="177"/>
      <c r="N16" s="178"/>
      <c r="O16" s="178"/>
      <c r="P16" s="178"/>
      <c r="Q16" s="90"/>
      <c r="R16" s="91"/>
      <c r="S16" s="177">
        <f>IF(T15="","",T15*1.2)</f>
        <v>112.20434635345531</v>
      </c>
      <c r="T16" s="177"/>
      <c r="U16" s="62"/>
      <c r="V16" s="62">
        <f>IF(V15&gt;0,V15*20,"")</f>
        <v>95.199999999999989</v>
      </c>
      <c r="W16" s="62">
        <f>IF(W15="","",(W15*10)*AJ15)</f>
        <v>127.95029387887004</v>
      </c>
      <c r="X16" s="62">
        <f>IF(ROUNDUP(X15,1)&gt;0,IF((80+(8-ROUNDUP(X15,1))*40)&lt;0,0,80+(8-ROUNDUP(X15,1))*40),"")</f>
        <v>60</v>
      </c>
      <c r="Y16" s="67">
        <f>IF(SUM(V16,W16,X16)&gt;0,SUM(V16,W16,X16),"")</f>
        <v>283.15029387887</v>
      </c>
      <c r="Z16" s="69">
        <f>IF(AE15&gt;34,(IF(OR(S16="",V16="",W16="",X16=""),"",SUM(S16,V16,W16,X16))*AI15),IF(OR(S16="",V16="",W16="",X16=""),"", SUM(S16,V16,W16,X16)))</f>
        <v>395.35464023232532</v>
      </c>
      <c r="AA16" s="69"/>
      <c r="AB16" s="63"/>
      <c r="AC16" s="70"/>
      <c r="AD16" s="2"/>
      <c r="AE16" s="57"/>
      <c r="AF16" s="58"/>
      <c r="AH16" s="59"/>
      <c r="AI16" s="59"/>
      <c r="AJ16" s="60"/>
    </row>
    <row r="17" spans="2:36" s="39" customFormat="1" ht="20.100000000000001" customHeight="1" x14ac:dyDescent="0.25">
      <c r="B17" s="82" t="s">
        <v>63</v>
      </c>
      <c r="C17" s="83" t="s">
        <v>64</v>
      </c>
      <c r="D17" s="84">
        <v>62.71</v>
      </c>
      <c r="E17" s="83" t="s">
        <v>50</v>
      </c>
      <c r="F17" s="83" t="s">
        <v>65</v>
      </c>
      <c r="G17" s="85">
        <v>39927</v>
      </c>
      <c r="H17" s="86">
        <v>7</v>
      </c>
      <c r="I17" s="92" t="s">
        <v>66</v>
      </c>
      <c r="J17" s="88" t="s">
        <v>53</v>
      </c>
      <c r="K17" s="73">
        <v>60</v>
      </c>
      <c r="L17" s="73">
        <v>64</v>
      </c>
      <c r="M17" s="73">
        <v>-66</v>
      </c>
      <c r="N17" s="73">
        <v>73</v>
      </c>
      <c r="O17" s="73">
        <v>78</v>
      </c>
      <c r="P17" s="73">
        <v>-80</v>
      </c>
      <c r="Q17" s="74">
        <f>IF(MAX(K17:M17)&gt;0,IF(MAX(K17:M17)&lt;0,0,TRUNC(MAX(K17:M17)/1)*1),"")</f>
        <v>64</v>
      </c>
      <c r="R17" s="75">
        <f>IF(MAX(N17:P17)&gt;0,IF(MAX(N17:P17)&lt;0,0,TRUNC(MAX(N17:P17)/1)*1),"")</f>
        <v>78</v>
      </c>
      <c r="S17" s="86">
        <f>IF(Q17="","",IF(R17="","",IF(SUM(Q17:R17)=0,"",SUM(Q17:R17))))</f>
        <v>142</v>
      </c>
      <c r="T17" s="76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186.93206449948872</v>
      </c>
      <c r="U17" s="77" t="str">
        <f>IF(AF17=1,T17*AI17,"")</f>
        <v/>
      </c>
      <c r="V17" s="78">
        <v>6.83</v>
      </c>
      <c r="W17" s="78">
        <v>11.4</v>
      </c>
      <c r="X17" s="78">
        <v>6.93</v>
      </c>
      <c r="Y17" s="79"/>
      <c r="Z17" s="77"/>
      <c r="AA17" s="77">
        <v>1</v>
      </c>
      <c r="AB17" s="80" t="s">
        <v>54</v>
      </c>
      <c r="AC17" s="70">
        <f>U5</f>
        <v>46179</v>
      </c>
      <c r="AD17" s="56" t="str">
        <f>IF(ISNUMBER(FIND("M",E17)),"m",IF(ISNUMBER(FIND("K",E17)),"k"))</f>
        <v>k</v>
      </c>
      <c r="AE17" s="57">
        <f>IF(OR(G17="",AC17=""),0,(YEAR(AC17)-YEAR(G17)))</f>
        <v>17</v>
      </c>
      <c r="AF17" s="58">
        <f t="shared" si="0"/>
        <v>0</v>
      </c>
      <c r="AG17" s="39" t="b">
        <f>IF(AF17=1,LOOKUP(AE17,'Meltzer-Faber'!A3:A63,'Meltzer-Faber'!B3:B63))</f>
        <v>0</v>
      </c>
      <c r="AH17" s="59" t="b">
        <f>IF(AF17=1,LOOKUP(AE17,'Meltzer-Faber'!A3:A63,'Meltzer-Faber'!C3:C63))</f>
        <v>0</v>
      </c>
      <c r="AI17" s="59" t="b">
        <f t="shared" si="1"/>
        <v>0</v>
      </c>
      <c r="AJ17" s="60">
        <f>IF(D17="","",IF(D17&gt;193.609,1,IF(D17&lt;32,10^(0.722762521*LOG10(32/193.609)^2),10^(0.722762521*LOG10(D17/193.609)^2))))</f>
        <v>1.4901984447958077</v>
      </c>
    </row>
    <row r="18" spans="2:36" s="39" customFormat="1" ht="20.100000000000001" customHeight="1" x14ac:dyDescent="0.2">
      <c r="B18" s="81"/>
      <c r="C18" s="62"/>
      <c r="D18" s="62"/>
      <c r="E18" s="62"/>
      <c r="F18" s="63"/>
      <c r="G18" s="64"/>
      <c r="H18" s="65"/>
      <c r="I18" s="66"/>
      <c r="J18" s="66"/>
      <c r="K18" s="177"/>
      <c r="L18" s="177"/>
      <c r="M18" s="177"/>
      <c r="N18" s="178"/>
      <c r="O18" s="178"/>
      <c r="P18" s="178"/>
      <c r="Q18" s="68"/>
      <c r="R18" s="62"/>
      <c r="S18" s="177">
        <f>IF(T17="","",T17*1.2)</f>
        <v>224.31847739938647</v>
      </c>
      <c r="T18" s="177"/>
      <c r="U18" s="62"/>
      <c r="V18" s="62">
        <f>IF(V17&gt;0,V17*20,"")</f>
        <v>136.6</v>
      </c>
      <c r="W18" s="62">
        <f>IF(W17="","",(W17*10)*AJ17)</f>
        <v>169.88262270672206</v>
      </c>
      <c r="X18" s="62">
        <f>IF(ROUNDUP(X17,1)&gt;0,IF((80+(8-ROUNDUP(X17,1))*40)&lt;0,0,80+(8-ROUNDUP(X17,1))*40),"")</f>
        <v>120</v>
      </c>
      <c r="Y18" s="67">
        <f>IF(SUM(V18,W18,X18)&gt;0,SUM(V18,W18,X18),"")</f>
        <v>426.48262270672205</v>
      </c>
      <c r="Z18" s="69">
        <f>IF(AE17&gt;34,(IF(OR(S18="",V18="",W18="",X18=""),"",SUM(S18,V18,W18,X18))*AI17),IF(OR(S18="",V18="",W18="",X18=""),"", SUM(S18,V18,W18,X18)))</f>
        <v>650.80110010610849</v>
      </c>
      <c r="AA18" s="69"/>
      <c r="AB18" s="63"/>
      <c r="AC18" s="70"/>
      <c r="AD18" s="2"/>
      <c r="AE18" s="57"/>
      <c r="AF18" s="58"/>
      <c r="AH18" s="59"/>
      <c r="AI18" s="59"/>
      <c r="AJ18" s="60"/>
    </row>
    <row r="19" spans="2:36" s="39" customFormat="1" ht="20.100000000000001" customHeight="1" x14ac:dyDescent="0.25">
      <c r="B19" s="82" t="s">
        <v>67</v>
      </c>
      <c r="C19" s="83" t="s">
        <v>59</v>
      </c>
      <c r="D19" s="84">
        <v>56.35</v>
      </c>
      <c r="E19" s="83" t="s">
        <v>68</v>
      </c>
      <c r="F19" s="83" t="s">
        <v>65</v>
      </c>
      <c r="G19" s="85">
        <v>39747</v>
      </c>
      <c r="H19" s="86">
        <v>6</v>
      </c>
      <c r="I19" s="92" t="s">
        <v>69</v>
      </c>
      <c r="J19" s="88" t="s">
        <v>53</v>
      </c>
      <c r="K19" s="73">
        <v>-37</v>
      </c>
      <c r="L19" s="73">
        <v>-37</v>
      </c>
      <c r="M19" s="73">
        <v>37</v>
      </c>
      <c r="N19" s="73">
        <v>-40</v>
      </c>
      <c r="O19" s="73">
        <v>40</v>
      </c>
      <c r="P19" s="73">
        <v>-44</v>
      </c>
      <c r="Q19" s="74">
        <f>IF(MAX(K19:M19)&gt;0,IF(MAX(K19:M19)&lt;0,0,TRUNC(MAX(K19:M19)/1)*1),"")</f>
        <v>37</v>
      </c>
      <c r="R19" s="75">
        <f>IF(MAX(N19:P19)&gt;0,IF(MAX(N19:P19)&lt;0,0,TRUNC(MAX(N19:P19)/1)*1),"")</f>
        <v>40</v>
      </c>
      <c r="S19" s="86">
        <f>IF(Q19="","",IF(R19="","",IF(SUM(Q19:R19)=0,"",SUM(Q19:R19))))</f>
        <v>77</v>
      </c>
      <c r="T19" s="76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108.65672204581024</v>
      </c>
      <c r="U19" s="77" t="str">
        <f>IF(AF19=1,T19*AI19,"")</f>
        <v/>
      </c>
      <c r="V19" s="78">
        <v>5.73</v>
      </c>
      <c r="W19" s="78">
        <v>7.86</v>
      </c>
      <c r="X19" s="78">
        <v>7.81</v>
      </c>
      <c r="Y19" s="79"/>
      <c r="Z19" s="77"/>
      <c r="AA19" s="77">
        <v>2</v>
      </c>
      <c r="AB19" s="80" t="s">
        <v>54</v>
      </c>
      <c r="AC19" s="70">
        <f>U5</f>
        <v>46179</v>
      </c>
      <c r="AD19" s="56" t="str">
        <f>IF(ISNUMBER(FIND("M",E19)),"m",IF(ISNUMBER(FIND("K",E19)),"k"))</f>
        <v>k</v>
      </c>
      <c r="AE19" s="57">
        <f>IF(OR(G19="",AC19=""),0,(YEAR(AC19)-YEAR(G19)))</f>
        <v>18</v>
      </c>
      <c r="AF19" s="58">
        <f t="shared" si="0"/>
        <v>0</v>
      </c>
      <c r="AG19" s="39" t="b">
        <f>IF(AF19=1,LOOKUP(AE19,'Meltzer-Faber'!A3:A63,'Meltzer-Faber'!B3:B63))</f>
        <v>0</v>
      </c>
      <c r="AH19" s="59" t="b">
        <f>IF(AF19=1,LOOKUP(AE19,'Meltzer-Faber'!A3:A63,'Meltzer-Faber'!C3:C63))</f>
        <v>0</v>
      </c>
      <c r="AI19" s="59" t="b">
        <f t="shared" si="1"/>
        <v>0</v>
      </c>
      <c r="AJ19" s="60">
        <f>IF(D19="","",IF(D19&gt;193.609,1,IF(D19&lt;32,10^(0.722762521*LOG10(32/193.609)^2),10^(0.722762521*LOG10(D19/193.609)^2))))</f>
        <v>1.6131371103271313</v>
      </c>
    </row>
    <row r="20" spans="2:36" s="39" customFormat="1" ht="20.100000000000001" customHeight="1" x14ac:dyDescent="0.2">
      <c r="B20" s="81"/>
      <c r="C20" s="62"/>
      <c r="D20" s="62"/>
      <c r="E20" s="62"/>
      <c r="F20" s="63"/>
      <c r="G20" s="64"/>
      <c r="H20" s="65"/>
      <c r="I20" s="66"/>
      <c r="J20" s="66"/>
      <c r="K20" s="177"/>
      <c r="L20" s="177"/>
      <c r="M20" s="177"/>
      <c r="N20" s="178"/>
      <c r="O20" s="178"/>
      <c r="P20" s="178"/>
      <c r="Q20" s="68"/>
      <c r="R20" s="62"/>
      <c r="S20" s="177">
        <f>IF(T19="","",T19*1.2)</f>
        <v>130.38806645497229</v>
      </c>
      <c r="T20" s="177"/>
      <c r="U20" s="62"/>
      <c r="V20" s="62">
        <f>IF(V19&gt;0,V19*20,"")</f>
        <v>114.60000000000001</v>
      </c>
      <c r="W20" s="62">
        <f>IF(W19="","",(W19*10)*AJ19)</f>
        <v>126.79257687171253</v>
      </c>
      <c r="X20" s="62">
        <f>IF(ROUNDUP(X19,1)&gt;0,IF((80+(8-ROUNDUP(X19,1))*40)&lt;0,0,80+(8-ROUNDUP(X19,1))*40),"")</f>
        <v>84.000000000000028</v>
      </c>
      <c r="Y20" s="67">
        <f>IF(SUM(V20,W20,X20)&gt;0,SUM(V20,W20,X20),"")</f>
        <v>325.39257687171255</v>
      </c>
      <c r="Z20" s="69">
        <f>IF(AE19&gt;34,(IF(OR(S20="",V20="",W20="",X20=""),"",SUM(S20,V20,W20,X20))*AI19),IF(OR(S20="",V20="",W20="",X20=""),"", SUM(S20,V20,W20,X20)))</f>
        <v>455.78064332668487</v>
      </c>
      <c r="AA20" s="69"/>
      <c r="AB20" s="63"/>
      <c r="AC20" s="70"/>
      <c r="AD20" s="2"/>
      <c r="AE20" s="57"/>
      <c r="AF20" s="58"/>
      <c r="AH20" s="59"/>
      <c r="AI20" s="59"/>
      <c r="AJ20" s="60"/>
    </row>
    <row r="21" spans="2:36" s="39" customFormat="1" ht="20.100000000000001" customHeight="1" x14ac:dyDescent="0.2">
      <c r="B21" s="82" t="s">
        <v>70</v>
      </c>
      <c r="C21" s="83" t="s">
        <v>71</v>
      </c>
      <c r="D21" s="84">
        <v>75.09</v>
      </c>
      <c r="E21" s="83" t="s">
        <v>72</v>
      </c>
      <c r="F21" s="83" t="s">
        <v>73</v>
      </c>
      <c r="G21" s="85">
        <v>37657</v>
      </c>
      <c r="H21" s="86">
        <v>8</v>
      </c>
      <c r="I21" s="87" t="s">
        <v>74</v>
      </c>
      <c r="J21" s="88" t="s">
        <v>75</v>
      </c>
      <c r="K21" s="73">
        <v>67</v>
      </c>
      <c r="L21" s="73">
        <v>71</v>
      </c>
      <c r="M21" s="73">
        <v>75</v>
      </c>
      <c r="N21" s="73">
        <v>80</v>
      </c>
      <c r="O21" s="73">
        <v>85</v>
      </c>
      <c r="P21" s="73">
        <v>87</v>
      </c>
      <c r="Q21" s="74">
        <f>IF(MAX(K21:M21)&gt;0,IF(MAX(K21:M21)&lt;0,0,TRUNC(MAX(K21:M21)/1)*1),"")</f>
        <v>75</v>
      </c>
      <c r="R21" s="75">
        <f>IF(MAX(N21:P21)&gt;0,IF(MAX(N21:P21)&lt;0,0,TRUNC(MAX(N21:P21)/1)*1),"")</f>
        <v>87</v>
      </c>
      <c r="S21" s="86">
        <f>IF(Q21="","",IF(R21="","",IF(SUM(Q21:R21)=0,"",SUM(Q21:R21))))</f>
        <v>162</v>
      </c>
      <c r="T21" s="76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>193.08949993883328</v>
      </c>
      <c r="U21" s="77" t="str">
        <f>IF(AF21=1,T21*AI21,"")</f>
        <v/>
      </c>
      <c r="V21" s="78">
        <v>6.54</v>
      </c>
      <c r="W21" s="78">
        <v>10.18</v>
      </c>
      <c r="X21" s="78">
        <v>7.78</v>
      </c>
      <c r="Y21" s="79"/>
      <c r="Z21" s="77"/>
      <c r="AA21" s="77">
        <v>1</v>
      </c>
      <c r="AB21" s="80" t="s">
        <v>54</v>
      </c>
      <c r="AC21" s="70">
        <f>U5</f>
        <v>46179</v>
      </c>
      <c r="AD21" s="56" t="str">
        <f>IF(ISNUMBER(FIND("M",E21)),"m",IF(ISNUMBER(FIND("K",E21)),"k"))</f>
        <v>k</v>
      </c>
      <c r="AE21" s="57">
        <f>IF(OR(G21="",AC21=""),0,(YEAR(AC21)-YEAR(G21)))</f>
        <v>23</v>
      </c>
      <c r="AF21" s="58">
        <f t="shared" si="0"/>
        <v>0</v>
      </c>
      <c r="AG21" s="39" t="b">
        <f>IF(AF21=1,LOOKUP(AE21,'Meltzer-Faber'!A3:A63,'Meltzer-Faber'!B3:B63))</f>
        <v>0</v>
      </c>
      <c r="AH21" s="59" t="b">
        <f>IF(AF21=1,LOOKUP(AE21,'Meltzer-Faber'!A3:A63,'Meltzer-Faber'!C3:C63))</f>
        <v>0</v>
      </c>
      <c r="AI21" s="59" t="b">
        <f t="shared" si="1"/>
        <v>0</v>
      </c>
      <c r="AJ21" s="60">
        <f>IF(D21="","",IF(D21&gt;193.609,1,IF(D21&lt;32,10^(0.722762521*LOG10(32/193.609)^2),10^(0.722762521*LOG10(D21/193.609)^2))))</f>
        <v>1.3252380384051778</v>
      </c>
    </row>
    <row r="22" spans="2:36" s="39" customFormat="1" ht="20.100000000000001" customHeight="1" x14ac:dyDescent="0.2">
      <c r="B22" s="81"/>
      <c r="C22" s="62"/>
      <c r="D22" s="62"/>
      <c r="E22" s="62"/>
      <c r="F22" s="63"/>
      <c r="G22" s="64"/>
      <c r="H22" s="65"/>
      <c r="I22" s="66"/>
      <c r="J22" s="66"/>
      <c r="K22" s="177"/>
      <c r="L22" s="177"/>
      <c r="M22" s="177"/>
      <c r="N22" s="178"/>
      <c r="O22" s="178"/>
      <c r="P22" s="178"/>
      <c r="Q22" s="68"/>
      <c r="R22" s="62"/>
      <c r="S22" s="177">
        <f>IF(T21="","",T21*1.2)</f>
        <v>231.70739992659992</v>
      </c>
      <c r="T22" s="177"/>
      <c r="U22" s="62"/>
      <c r="V22" s="62">
        <f>IF(V21&gt;0,V21*20,"")</f>
        <v>130.80000000000001</v>
      </c>
      <c r="W22" s="62">
        <f>IF(W21="","",(W21*10)*AJ21)</f>
        <v>134.90923230964711</v>
      </c>
      <c r="X22" s="62">
        <f>IF(ROUNDUP(X21,1)&gt;0,IF((80+(8-ROUNDUP(X21,1))*40)&lt;0,0,80+(8-ROUNDUP(X21,1))*40),"")</f>
        <v>88</v>
      </c>
      <c r="Y22" s="67">
        <f>IF(SUM(V22,W22,X22)&gt;0,SUM(V22,W22,X22),"")</f>
        <v>353.70923230964712</v>
      </c>
      <c r="Z22" s="69">
        <f>IF(AE21&gt;34,(IF(OR(S22="",V22="",W22="",X22=""),"",SUM(S22,V22,W22,X22))*AI21),IF(OR(S22="",V22="",W22="",X22=""),"", SUM(S22,V22,W22,X22)))</f>
        <v>585.4166322362471</v>
      </c>
      <c r="AA22" s="69"/>
      <c r="AB22" s="63"/>
      <c r="AC22" s="70"/>
      <c r="AD22" s="2"/>
      <c r="AE22" s="57"/>
      <c r="AF22" s="58"/>
      <c r="AH22" s="59"/>
      <c r="AI22" s="59"/>
      <c r="AJ22" s="60"/>
    </row>
    <row r="23" spans="2:36" s="39" customFormat="1" ht="20.100000000000001" customHeight="1" x14ac:dyDescent="0.2">
      <c r="B23" s="82" t="s">
        <v>76</v>
      </c>
      <c r="C23" s="83" t="s">
        <v>77</v>
      </c>
      <c r="D23" s="84">
        <v>29.83</v>
      </c>
      <c r="E23" s="83" t="s">
        <v>50</v>
      </c>
      <c r="F23" s="83" t="s">
        <v>78</v>
      </c>
      <c r="G23" s="85">
        <v>42489</v>
      </c>
      <c r="H23" s="86">
        <v>1</v>
      </c>
      <c r="I23" s="87" t="s">
        <v>79</v>
      </c>
      <c r="J23" s="88" t="s">
        <v>53</v>
      </c>
      <c r="K23" s="73">
        <v>11</v>
      </c>
      <c r="L23" s="73">
        <v>13</v>
      </c>
      <c r="M23" s="73">
        <v>-16</v>
      </c>
      <c r="N23" s="73">
        <v>13</v>
      </c>
      <c r="O23" s="73">
        <v>15</v>
      </c>
      <c r="P23" s="73">
        <v>18</v>
      </c>
      <c r="Q23" s="74">
        <f>IF(MAX(K23:M23)&gt;0,IF(MAX(K23:M23)&lt;0,0,TRUNC(MAX(K23:M23)/1)*1),"")</f>
        <v>13</v>
      </c>
      <c r="R23" s="75">
        <f>IF(MAX(N23:P23)&gt;0,IF(MAX(N23:P23)&lt;0,0,TRUNC(MAX(N23:P23)/1)*1),"")</f>
        <v>18</v>
      </c>
      <c r="S23" s="86">
        <f>IF(Q23="","",IF(R23="","",IF(SUM(Q23:R23)=0,"",SUM(Q23:R23))))</f>
        <v>31</v>
      </c>
      <c r="T23" s="76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77.719932570828945</v>
      </c>
      <c r="U23" s="77" t="str">
        <f>IF(AF23=1,T23*AI23,"")</f>
        <v/>
      </c>
      <c r="V23" s="78">
        <v>4.5999999999999996</v>
      </c>
      <c r="W23" s="78">
        <v>2.56</v>
      </c>
      <c r="X23" s="78">
        <v>9.58</v>
      </c>
      <c r="Y23" s="79"/>
      <c r="Z23" s="77"/>
      <c r="AA23" s="77">
        <v>1</v>
      </c>
      <c r="AB23" s="80" t="s">
        <v>54</v>
      </c>
      <c r="AC23" s="70">
        <f>U5</f>
        <v>46179</v>
      </c>
      <c r="AD23" s="56" t="str">
        <f>IF(ISNUMBER(FIND("M",E23)),"m",IF(ISNUMBER(FIND("K",E23)),"k"))</f>
        <v>k</v>
      </c>
      <c r="AE23" s="93">
        <f>IF(OR(G23="",AC23=""),0,(YEAR(AC23)-YEAR(G23)))</f>
        <v>10</v>
      </c>
      <c r="AF23" s="58">
        <f t="shared" si="0"/>
        <v>0</v>
      </c>
      <c r="AG23" s="39" t="b">
        <f>IF(AF23=1,LOOKUP(AE23,'Meltzer-Faber'!A3:A63,'Meltzer-Faber'!B3:B63))</f>
        <v>0</v>
      </c>
      <c r="AH23" s="59" t="b">
        <f>IF(AF23=1,LOOKUP(AE23,'Meltzer-Faber'!A3:A63,'Meltzer-Faber'!C3:C63))</f>
        <v>0</v>
      </c>
      <c r="AI23" s="59" t="b">
        <f t="shared" si="1"/>
        <v>0</v>
      </c>
      <c r="AJ23" s="60">
        <f>IF(D23="","",IF(D23&gt;193.609,1,IF(D23&lt;32,10^(0.722762521*LOG10(32/193.609)^2),10^(0.722762521*LOG10(D23/193.609)^2))))</f>
        <v>2.7652408321204516</v>
      </c>
    </row>
    <row r="24" spans="2:36" s="39" customFormat="1" ht="20.100000000000001" customHeight="1" x14ac:dyDescent="0.2">
      <c r="B24" s="81"/>
      <c r="C24" s="62"/>
      <c r="D24" s="62"/>
      <c r="E24" s="62"/>
      <c r="F24" s="63"/>
      <c r="G24" s="64"/>
      <c r="H24" s="65"/>
      <c r="I24" s="66"/>
      <c r="J24" s="66"/>
      <c r="K24" s="177"/>
      <c r="L24" s="177"/>
      <c r="M24" s="177"/>
      <c r="N24" s="178"/>
      <c r="O24" s="178"/>
      <c r="P24" s="178"/>
      <c r="Q24" s="68"/>
      <c r="R24" s="62"/>
      <c r="S24" s="177">
        <f>IF(T23="","",T23*1.2)</f>
        <v>93.263919084994725</v>
      </c>
      <c r="T24" s="177"/>
      <c r="U24" s="62"/>
      <c r="V24" s="62">
        <f>IF(V23&gt;0,V23*20,"")</f>
        <v>92</v>
      </c>
      <c r="W24" s="62">
        <f>IF(W23="","",(W23*10)*AJ23)</f>
        <v>70.790165302283569</v>
      </c>
      <c r="X24" s="62">
        <f>IF(ROUNDUP(X23,1)&gt;0,IF((80+(8-ROUNDUP(X23,1))*40)&lt;0,0,80+(8-ROUNDUP(X23,1))*40),"")</f>
        <v>16.000000000000014</v>
      </c>
      <c r="Y24" s="67">
        <f>IF(SUM(V24,W24,X24)&gt;0,SUM(V24,W24,X24),"")</f>
        <v>178.79016530228358</v>
      </c>
      <c r="Z24" s="69">
        <f>IF(AE23&gt;34,(IF(OR(S24="",V24="",W24="",X24=""),"",SUM(S24,V24,W24,X24))*AI23),IF(OR(S24="",V24="",W24="",X24=""),"", SUM(S24,V24,W24,X24)))</f>
        <v>272.05408438727829</v>
      </c>
      <c r="AA24" s="69"/>
      <c r="AB24" s="63"/>
      <c r="AC24" s="70"/>
      <c r="AD24" s="2"/>
      <c r="AE24" s="57"/>
      <c r="AF24" s="58"/>
      <c r="AH24" s="59"/>
      <c r="AI24" s="59"/>
      <c r="AJ24" s="60"/>
    </row>
    <row r="25" spans="2:36" s="39" customFormat="1" ht="20.100000000000001" customHeight="1" x14ac:dyDescent="0.2">
      <c r="B25" s="82"/>
      <c r="C25" s="83"/>
      <c r="D25" s="84"/>
      <c r="E25" s="83"/>
      <c r="F25" s="83"/>
      <c r="G25" s="85"/>
      <c r="H25" s="86"/>
      <c r="I25" s="87"/>
      <c r="J25" s="88"/>
      <c r="K25" s="73"/>
      <c r="L25" s="73"/>
      <c r="M25" s="73"/>
      <c r="N25" s="73"/>
      <c r="O25" s="73"/>
      <c r="P25" s="73"/>
      <c r="Q25" s="74" t="str">
        <f>IF(MAX(K25:M25)&gt;0,IF(MAX(K25:M25)&lt;0,0,TRUNC(MAX(K25:M25)/1)*1),"")</f>
        <v/>
      </c>
      <c r="R25" s="75" t="str">
        <f>IF(MAX(N25:P25)&gt;0,IF(MAX(N25:P25)&lt;0,0,TRUNC(MAX(N25:P25)/1)*1),"")</f>
        <v/>
      </c>
      <c r="S25" s="86" t="str">
        <f>IF(Q25="","",IF(R25="","",IF(SUM(Q25:R25)=0,"",SUM(Q25:R25))))</f>
        <v/>
      </c>
      <c r="T25" s="76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77" t="str">
        <f>IF(AF25=1,T25*AI25,"")</f>
        <v/>
      </c>
      <c r="V25" s="78"/>
      <c r="W25" s="78"/>
      <c r="X25" s="78"/>
      <c r="Y25" s="79"/>
      <c r="Z25" s="77"/>
      <c r="AA25" s="77"/>
      <c r="AB25" s="80"/>
      <c r="AC25" s="70">
        <f>U5</f>
        <v>46179</v>
      </c>
      <c r="AD25" s="56" t="b">
        <f>IF(ISNUMBER(FIND("M",E25)),"m",IF(ISNUMBER(FIND("K",E25)),"k"))</f>
        <v>0</v>
      </c>
      <c r="AE25" s="93">
        <f>IF(OR(G25="",AC25=""),0,(YEAR(AC25)-YEAR(G25)))</f>
        <v>0</v>
      </c>
      <c r="AF25" s="58">
        <f t="shared" ref="AF25" si="2">IF(AE25&gt;34,1,0)</f>
        <v>0</v>
      </c>
      <c r="AG25" s="39" t="b">
        <f>IF(AF25=1,LOOKUP(AE25,'Meltzer-Faber'!A3:A63,'Meltzer-Faber'!B3:B63))</f>
        <v>0</v>
      </c>
      <c r="AH25" s="59" t="b">
        <f>IF(AF25=1,LOOKUP(AE25,'Meltzer-Faber'!A3:A63,'Meltzer-Faber'!C3:C63))</f>
        <v>0</v>
      </c>
      <c r="AI25" s="59" t="str">
        <f t="shared" ref="AI25" si="3">IF(AD25="m",AG25,IF(AD25="k",AH25,""))</f>
        <v/>
      </c>
      <c r="AJ25" s="60" t="str">
        <f>IF(D25="","",IF(D25&gt;193.609,1,IF(D25&lt;32,10^(0.722762521*LOG10(32/193.609)^2),10^(0.722762521*LOG10(D25/193.609)^2))))</f>
        <v/>
      </c>
    </row>
    <row r="26" spans="2:36" s="39" customFormat="1" ht="20.100000000000001" customHeight="1" x14ac:dyDescent="0.2">
      <c r="B26" s="81"/>
      <c r="C26" s="62"/>
      <c r="D26" s="62"/>
      <c r="E26" s="62"/>
      <c r="F26" s="63"/>
      <c r="G26" s="64"/>
      <c r="H26" s="65"/>
      <c r="I26" s="66"/>
      <c r="J26" s="66"/>
      <c r="K26" s="177"/>
      <c r="L26" s="177"/>
      <c r="M26" s="177"/>
      <c r="N26" s="178"/>
      <c r="O26" s="178"/>
      <c r="P26" s="178"/>
      <c r="Q26" s="68"/>
      <c r="R26" s="62"/>
      <c r="S26" s="177" t="str">
        <f>IF(T25="","",T25*1.2)</f>
        <v/>
      </c>
      <c r="T26" s="177"/>
      <c r="U26" s="62"/>
      <c r="V26" s="62"/>
      <c r="W26" s="62"/>
      <c r="X26" s="62"/>
      <c r="Y26" s="67" t="str">
        <f>IF(SUM(V26,W26,X26)&gt;0,SUM(V26,W26,X26),"")</f>
        <v/>
      </c>
      <c r="Z26" s="69" t="str">
        <f>IF(AE25&gt;34,(IF(OR(S26="",V26="",W26="",X26=""),"",SUM(S26,V26,W26,X26))*AI25),IF(OR(S26="",V26="",W26="",X26=""),"", SUM(S26,V26,W26,X26)))</f>
        <v/>
      </c>
      <c r="AA26" s="69"/>
      <c r="AB26" s="63"/>
      <c r="AC26" s="70"/>
      <c r="AD26" s="2"/>
      <c r="AE26" s="57"/>
      <c r="AF26" s="58"/>
      <c r="AH26" s="59"/>
      <c r="AI26" s="59"/>
      <c r="AJ26" s="60"/>
    </row>
    <row r="27" spans="2:36" s="39" customFormat="1" ht="20.100000000000001" customHeight="1" x14ac:dyDescent="0.2">
      <c r="B27" s="82"/>
      <c r="C27" s="94"/>
      <c r="D27" s="84"/>
      <c r="E27" s="95"/>
      <c r="F27" s="96"/>
      <c r="G27" s="85"/>
      <c r="H27" s="83"/>
      <c r="I27" s="88"/>
      <c r="J27" s="88"/>
      <c r="K27" s="97"/>
      <c r="L27" s="98"/>
      <c r="M27" s="98"/>
      <c r="N27" s="98"/>
      <c r="O27" s="99"/>
      <c r="P27" s="99"/>
      <c r="Q27" s="74" t="str">
        <f>IF(MAX(K27:M27)&gt;0,IF(MAX(K27:M27)&lt;0,0,TRUNC(MAX(K27:M27)/1)*1),"")</f>
        <v/>
      </c>
      <c r="R27" s="75" t="str">
        <f>IF(MAX(N27:P27)&gt;0,IF(MAX(N27:P27)&lt;0,0,TRUNC(MAX(N27:P27)/1)*1),"")</f>
        <v/>
      </c>
      <c r="S27" s="86" t="str">
        <f>IF(Q27="","",IF(R27="","",IF(SUM(Q27:R27)=0,"",SUM(Q27:R27))))</f>
        <v/>
      </c>
      <c r="T27" s="76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77" t="str">
        <f>IF(AF27=1,T27*AI27,"")</f>
        <v/>
      </c>
      <c r="V27" s="100"/>
      <c r="W27" s="100"/>
      <c r="X27" s="101"/>
      <c r="Y27" s="79"/>
      <c r="Z27" s="77"/>
      <c r="AA27" s="77"/>
      <c r="AB27" s="80"/>
      <c r="AC27" s="70">
        <f>U5</f>
        <v>46179</v>
      </c>
      <c r="AD27" s="56" t="b">
        <f>IF(ISNUMBER(FIND("M",E27)),"m",IF(ISNUMBER(FIND("K",E27)),"k"))</f>
        <v>0</v>
      </c>
      <c r="AE27" s="93">
        <f>IF(OR(G27="",AC27=""),0,(YEAR(AC27)-YEAR(G27)))</f>
        <v>0</v>
      </c>
      <c r="AF27" s="58">
        <f t="shared" ref="AF27" si="4">IF(AE27&gt;34,1,0)</f>
        <v>0</v>
      </c>
      <c r="AG27" s="39" t="b">
        <f>IF(AF27=1,LOOKUP(AE27,'Meltzer-Faber'!A3:A63,'Meltzer-Faber'!B3:B63))</f>
        <v>0</v>
      </c>
      <c r="AH27" s="59" t="b">
        <f>IF(AF27=1,LOOKUP(AE27,'Meltzer-Faber'!A3:A63,'Meltzer-Faber'!C3:C63))</f>
        <v>0</v>
      </c>
      <c r="AI27" s="59" t="str">
        <f t="shared" ref="AI27" si="5">IF(AD27="m",AG27,IF(AD27="k",AH27,""))</f>
        <v/>
      </c>
      <c r="AJ27" s="60" t="str">
        <f>IF(D27="","",IF(D27&gt;193.609,1,IF(D27&lt;32,10^(0.722762521*LOG10(32/193.609)^2),10^(0.722762521*LOG10(D27/193.609)^2))))</f>
        <v/>
      </c>
    </row>
    <row r="28" spans="2:36" s="39" customFormat="1" ht="20.100000000000001" customHeight="1" x14ac:dyDescent="0.2">
      <c r="B28" s="81"/>
      <c r="C28" s="102"/>
      <c r="D28" s="62"/>
      <c r="E28" s="63"/>
      <c r="F28" s="63"/>
      <c r="G28" s="103"/>
      <c r="H28" s="64"/>
      <c r="I28" s="66"/>
      <c r="J28" s="66"/>
      <c r="K28" s="178"/>
      <c r="L28" s="178"/>
      <c r="M28" s="178"/>
      <c r="N28" s="178"/>
      <c r="O28" s="178"/>
      <c r="P28" s="178"/>
      <c r="Q28" s="68"/>
      <c r="R28" s="62"/>
      <c r="S28" s="177" t="str">
        <f>IF(T27="","",T27*1.2)</f>
        <v/>
      </c>
      <c r="T28" s="177"/>
      <c r="U28" s="62"/>
      <c r="V28" s="62"/>
      <c r="W28" s="62"/>
      <c r="X28" s="62"/>
      <c r="Y28" s="67" t="str">
        <f>IF(SUM(V28,W28,X28)&gt;0,SUM(V28,W28,X28),"")</f>
        <v/>
      </c>
      <c r="Z28" s="69" t="str">
        <f>IF(AE27&gt;34,(IF(OR(S28="",V28="",W28="",X28=""),"",SUM(S28,V28,W28,X28))*AI27),IF(OR(S28="",V28="",W28="",X28=""),"", SUM(S28,V28,W28,X28)))</f>
        <v/>
      </c>
      <c r="AA28" s="69"/>
      <c r="AB28" s="63"/>
      <c r="AC28" s="70"/>
      <c r="AD28" s="2"/>
      <c r="AE28" s="57"/>
      <c r="AF28" s="58"/>
      <c r="AH28" s="59"/>
      <c r="AI28" s="59"/>
      <c r="AJ28" s="60"/>
    </row>
    <row r="29" spans="2:36" s="39" customFormat="1" ht="20.100000000000001" customHeight="1" x14ac:dyDescent="0.2">
      <c r="B29" s="82"/>
      <c r="C29" s="104"/>
      <c r="D29" s="105"/>
      <c r="E29" s="106"/>
      <c r="F29" s="107"/>
      <c r="G29" s="108"/>
      <c r="H29" s="109"/>
      <c r="I29" s="110"/>
      <c r="J29" s="111"/>
      <c r="K29" s="97"/>
      <c r="L29" s="98"/>
      <c r="M29" s="98"/>
      <c r="N29" s="98"/>
      <c r="O29" s="99"/>
      <c r="P29" s="99"/>
      <c r="Q29" s="74" t="str">
        <f>IF(MAX(K29:M29)&gt;0,IF(MAX(K29:M29)&lt;0,0,TRUNC(MAX(K29:M29)/1)*1),"")</f>
        <v/>
      </c>
      <c r="R29" s="75" t="str">
        <f>IF(MAX(N29:P29)&gt;0,IF(MAX(N29:P29)&lt;0,0,TRUNC(MAX(N29:P29)/1)*1),"")</f>
        <v/>
      </c>
      <c r="S29" s="86" t="str">
        <f>IF(Q29="","",IF(R29="","",IF(SUM(Q29:R29)=0,"",SUM(Q29:R29))))</f>
        <v/>
      </c>
      <c r="T29" s="76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77" t="str">
        <f>IF(AF29=1,T29*AI29,"")</f>
        <v/>
      </c>
      <c r="V29" s="78"/>
      <c r="W29" s="78"/>
      <c r="X29" s="78"/>
      <c r="Y29" s="79"/>
      <c r="Z29" s="77"/>
      <c r="AA29" s="77"/>
      <c r="AB29" s="80"/>
      <c r="AC29" s="70">
        <f>U5</f>
        <v>46179</v>
      </c>
      <c r="AD29" s="56" t="b">
        <f>IF(ISNUMBER(FIND("M",E29)),"m",IF(ISNUMBER(FIND("K",E29)),"k"))</f>
        <v>0</v>
      </c>
      <c r="AE29" s="93">
        <f>IF(OR(G29="",AC29=""),0,(YEAR(AC29)-YEAR(G29)))</f>
        <v>0</v>
      </c>
      <c r="AF29" s="58">
        <f t="shared" ref="AF29" si="6">IF(AE29&gt;34,1,0)</f>
        <v>0</v>
      </c>
      <c r="AG29" s="39" t="b">
        <f>IF(AF29=1,LOOKUP(AE29,'Meltzer-Faber'!A3:A63,'Meltzer-Faber'!B3:B63))</f>
        <v>0</v>
      </c>
      <c r="AH29" s="59" t="b">
        <f>IF(AF29=1,LOOKUP(AE29,'Meltzer-Faber'!A3:A63,'Meltzer-Faber'!C3:C63))</f>
        <v>0</v>
      </c>
      <c r="AI29" s="59" t="str">
        <f t="shared" ref="AI29" si="7">IF(AD29="m",AG29,IF(AD29="k",AH29,""))</f>
        <v/>
      </c>
      <c r="AJ29" s="60" t="str">
        <f>IF(D29="","",IF(D29&gt;193.609,1,IF(D29&lt;32,10^(0.722762521*LOG10(32/193.609)^2),10^(0.722762521*LOG10(D29/193.609)^2))))</f>
        <v/>
      </c>
    </row>
    <row r="30" spans="2:36" s="39" customFormat="1" ht="20.100000000000001" customHeight="1" x14ac:dyDescent="0.2">
      <c r="B30" s="81"/>
      <c r="C30" s="112"/>
      <c r="D30" s="113"/>
      <c r="E30" s="114"/>
      <c r="F30" s="115"/>
      <c r="G30" s="116"/>
      <c r="H30" s="117"/>
      <c r="I30" s="118"/>
      <c r="J30" s="118"/>
      <c r="K30" s="178"/>
      <c r="L30" s="178"/>
      <c r="M30" s="178"/>
      <c r="N30" s="178"/>
      <c r="O30" s="178"/>
      <c r="P30" s="178"/>
      <c r="Q30" s="68"/>
      <c r="R30" s="62"/>
      <c r="S30" s="177" t="str">
        <f>IF(T29="","",T29*1.2)</f>
        <v/>
      </c>
      <c r="T30" s="177"/>
      <c r="U30" s="62"/>
      <c r="V30" s="62"/>
      <c r="W30" s="62"/>
      <c r="X30" s="62"/>
      <c r="Y30" s="67" t="str">
        <f>IF(SUM(V30,W30,X30)&gt;0,SUM(V30,W30,X30),"")</f>
        <v/>
      </c>
      <c r="Z30" s="69" t="str">
        <f>IF(AE29&gt;34,(IF(OR(S30="",V30="",W30="",X30=""),"",SUM(S30,V30,W30,X30))*AI29),IF(OR(S30="",V30="",W30="",X30=""),"", SUM(S30,V30,W30,X30)))</f>
        <v/>
      </c>
      <c r="AA30" s="69"/>
      <c r="AB30" s="63"/>
      <c r="AC30" s="70"/>
      <c r="AD30" s="2"/>
      <c r="AE30" s="57"/>
      <c r="AF30" s="58"/>
      <c r="AH30" s="59"/>
      <c r="AI30" s="59"/>
      <c r="AJ30" s="60"/>
    </row>
    <row r="31" spans="2:36" s="39" customFormat="1" ht="20.100000000000001" customHeight="1" x14ac:dyDescent="0.2">
      <c r="B31" s="82"/>
      <c r="C31" s="104"/>
      <c r="D31" s="105"/>
      <c r="E31" s="106"/>
      <c r="F31" s="106"/>
      <c r="G31" s="108"/>
      <c r="H31" s="109"/>
      <c r="I31" s="110"/>
      <c r="J31" s="111"/>
      <c r="K31" s="97"/>
      <c r="L31" s="98"/>
      <c r="M31" s="98"/>
      <c r="N31" s="98"/>
      <c r="O31" s="99"/>
      <c r="P31" s="99"/>
      <c r="Q31" s="74" t="str">
        <f>IF(MAX(K31:M31)&gt;0,IF(MAX(K31:M31)&lt;0,0,TRUNC(MAX(K31:M31)/1)*1),"")</f>
        <v/>
      </c>
      <c r="R31" s="75" t="str">
        <f>IF(MAX(N31:P31)&gt;0,IF(MAX(N31:P31)&lt;0,0,TRUNC(MAX(N31:P31)/1)*1),"")</f>
        <v/>
      </c>
      <c r="S31" s="86" t="str">
        <f>IF(Q31="","",IF(R31="","",IF(SUM(Q31:R31)=0,"",SUM(Q31:R31))))</f>
        <v/>
      </c>
      <c r="T31" s="76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77" t="str">
        <f>IF(AF31=1,T31*AI31,"")</f>
        <v/>
      </c>
      <c r="V31" s="100"/>
      <c r="W31" s="100"/>
      <c r="X31" s="101"/>
      <c r="Y31" s="79"/>
      <c r="Z31" s="77"/>
      <c r="AA31" s="77"/>
      <c r="AB31" s="80"/>
      <c r="AC31" s="70">
        <f>U5</f>
        <v>46179</v>
      </c>
      <c r="AD31" s="56" t="b">
        <f>IF(ISNUMBER(FIND("M",E31)),"m",IF(ISNUMBER(FIND("K",E31)),"k"))</f>
        <v>0</v>
      </c>
      <c r="AE31" s="93">
        <f>IF(OR(G31="",AC31=""),0,(YEAR(AC31)-YEAR(G31)))</f>
        <v>0</v>
      </c>
      <c r="AF31" s="58">
        <f t="shared" ref="AF31" si="8">IF(AE31&gt;34,1,0)</f>
        <v>0</v>
      </c>
      <c r="AG31" s="39" t="b">
        <f>IF(AF31=1,LOOKUP(AE31,'Meltzer-Faber'!A3:A63,'Meltzer-Faber'!B3:B63))</f>
        <v>0</v>
      </c>
      <c r="AH31" s="59" t="b">
        <f>IF(AF31=1,LOOKUP(AE31,'Meltzer-Faber'!A3:A63,'Meltzer-Faber'!C3:C63))</f>
        <v>0</v>
      </c>
      <c r="AI31" s="59" t="str">
        <f t="shared" ref="AI31" si="9">IF(AD31="m",AG31,IF(AD31="k",AH31,""))</f>
        <v/>
      </c>
      <c r="AJ31" s="60" t="str">
        <f>IF(D31="","",IF(D31&gt;193.609,1,IF(D31&lt;32,10^(0.722762521*LOG10(32/193.609)^2),10^(0.722762521*LOG10(D31/193.609)^2))))</f>
        <v/>
      </c>
    </row>
    <row r="32" spans="2:36" s="39" customFormat="1" ht="20.100000000000001" customHeight="1" x14ac:dyDescent="0.2">
      <c r="B32" s="81"/>
      <c r="C32" s="112"/>
      <c r="D32" s="113"/>
      <c r="E32" s="114"/>
      <c r="F32" s="115"/>
      <c r="G32" s="116"/>
      <c r="H32" s="117"/>
      <c r="I32" s="118"/>
      <c r="J32" s="118"/>
      <c r="K32" s="178"/>
      <c r="L32" s="178"/>
      <c r="M32" s="178"/>
      <c r="N32" s="178"/>
      <c r="O32" s="178"/>
      <c r="P32" s="178"/>
      <c r="Q32" s="68"/>
      <c r="R32" s="62"/>
      <c r="S32" s="177" t="str">
        <f>IF(T31="","",T31*1.2)</f>
        <v/>
      </c>
      <c r="T32" s="177"/>
      <c r="U32" s="62"/>
      <c r="V32" s="62" t="str">
        <f>IF(V31&gt;0,V31*20,"")</f>
        <v/>
      </c>
      <c r="W32" s="62" t="str">
        <f>IF(W31="","",(W31*10)*AJ31)</f>
        <v/>
      </c>
      <c r="X32" s="62" t="str">
        <f>IF(ROUNDUP(X31,1)&gt;0,IF((80+(8-ROUNDUP(X31,1))*40)&lt;0,0,80+(8-ROUNDUP(X31,1))*40),"")</f>
        <v/>
      </c>
      <c r="Y32" s="67" t="str">
        <f>IF(SUM(V32,W32,X32)&gt;0,SUM(V32,W32,X32),"")</f>
        <v/>
      </c>
      <c r="Z32" s="69" t="str">
        <f>IF(AE31&gt;34,(IF(OR(S32="",V32="",W32="",X32=""),"",SUM(S32,V32,W32,X32))*AI31),IF(OR(S32="",V32="",W32="",X32=""),"", SUM(S32,V32,W32,X32)))</f>
        <v/>
      </c>
      <c r="AA32" s="69"/>
      <c r="AB32" s="63"/>
      <c r="AC32" s="70"/>
      <c r="AD32" s="2"/>
      <c r="AE32" s="57"/>
      <c r="AF32" s="58"/>
      <c r="AH32" s="59"/>
      <c r="AI32" s="59"/>
      <c r="AJ32" s="60"/>
    </row>
    <row r="33" spans="2:35" s="119" customFormat="1" ht="18.95" customHeight="1" x14ac:dyDescent="0.2">
      <c r="D33" s="120"/>
      <c r="E33" s="121"/>
      <c r="F33" s="121"/>
      <c r="G33" s="121"/>
      <c r="H33" s="122"/>
      <c r="K33" s="123"/>
      <c r="L33" s="124"/>
      <c r="M33" s="123"/>
      <c r="N33" s="123" t="s">
        <v>80</v>
      </c>
      <c r="O33" s="123"/>
      <c r="P33" s="123"/>
      <c r="Q33" s="121"/>
      <c r="R33" s="121"/>
      <c r="S33" s="121"/>
      <c r="T33" s="125"/>
      <c r="U33" s="125"/>
      <c r="V33" s="125"/>
      <c r="W33" s="125"/>
      <c r="X33" s="125"/>
      <c r="Y33" s="125"/>
      <c r="Z33" s="125"/>
      <c r="AA33" s="125"/>
      <c r="AB33" s="125"/>
      <c r="AC33" s="2"/>
      <c r="AD33" s="126"/>
      <c r="AE33" s="127">
        <f>(YEAR(AC33)-YEAR(G33))</f>
        <v>0</v>
      </c>
      <c r="AF33" s="58">
        <f t="shared" ref="AF33" si="10">IF(AE35&gt;34,1,0)</f>
        <v>0</v>
      </c>
      <c r="AH33" s="122"/>
      <c r="AI33" s="122"/>
    </row>
    <row r="34" spans="2:35" s="119" customFormat="1" ht="21" customHeight="1" x14ac:dyDescent="0.2">
      <c r="D34" s="120"/>
      <c r="E34" s="121"/>
      <c r="F34" s="121"/>
      <c r="G34" s="121"/>
      <c r="H34" s="122"/>
      <c r="K34" s="123"/>
      <c r="L34" s="124"/>
      <c r="M34" s="123"/>
      <c r="N34" s="123"/>
      <c r="O34" s="123"/>
      <c r="P34" s="123"/>
      <c r="Q34" s="121"/>
      <c r="R34" s="121"/>
      <c r="S34" s="121"/>
      <c r="T34" s="125"/>
      <c r="U34" s="125"/>
      <c r="V34" s="125"/>
      <c r="W34" s="125"/>
      <c r="X34" s="125"/>
      <c r="Y34" s="125"/>
      <c r="Z34" s="125"/>
      <c r="AA34" s="125"/>
      <c r="AB34" s="125"/>
      <c r="AC34" s="2"/>
      <c r="AD34" s="126"/>
      <c r="AE34" s="127"/>
      <c r="AF34" s="58"/>
      <c r="AH34" s="122"/>
      <c r="AI34" s="122"/>
    </row>
    <row r="35" spans="2:35" ht="23.1" customHeight="1" x14ac:dyDescent="0.25">
      <c r="B35" s="179" t="s">
        <v>81</v>
      </c>
      <c r="C35" s="180"/>
      <c r="D35" s="128" t="s">
        <v>14</v>
      </c>
      <c r="E35" s="179" t="s">
        <v>21</v>
      </c>
      <c r="F35" s="181"/>
      <c r="G35" s="181"/>
      <c r="H35" s="180"/>
      <c r="I35" s="129" t="s">
        <v>82</v>
      </c>
      <c r="J35" s="130"/>
      <c r="K35" s="179" t="s">
        <v>81</v>
      </c>
      <c r="L35" s="181"/>
      <c r="M35" s="180"/>
      <c r="N35" s="131" t="s">
        <v>14</v>
      </c>
      <c r="O35" s="182" t="s">
        <v>21</v>
      </c>
      <c r="P35" s="183"/>
      <c r="Q35" s="183"/>
      <c r="R35" s="184"/>
      <c r="S35" s="182" t="s">
        <v>82</v>
      </c>
      <c r="T35" s="184"/>
      <c r="U35" s="8"/>
      <c r="V35" s="8"/>
      <c r="W35" s="8"/>
      <c r="X35" s="8"/>
      <c r="Y35" s="8"/>
      <c r="Z35" s="8"/>
      <c r="AA35" s="8"/>
      <c r="AB35" s="8"/>
      <c r="AF35" s="2"/>
      <c r="AH35" s="132"/>
      <c r="AI35" s="132"/>
    </row>
    <row r="36" spans="2:35" s="12" customFormat="1" ht="20.100000000000001" customHeight="1" x14ac:dyDescent="0.25">
      <c r="B36" s="185" t="s">
        <v>83</v>
      </c>
      <c r="C36" s="186"/>
      <c r="D36" s="133" t="s">
        <v>84</v>
      </c>
      <c r="E36" s="187" t="s">
        <v>85</v>
      </c>
      <c r="F36" s="188"/>
      <c r="G36" s="188"/>
      <c r="H36" s="186"/>
      <c r="I36" s="134" t="s">
        <v>53</v>
      </c>
      <c r="J36" s="4"/>
      <c r="K36" s="185" t="s">
        <v>86</v>
      </c>
      <c r="L36" s="188"/>
      <c r="M36" s="186"/>
      <c r="N36" s="135" t="s">
        <v>87</v>
      </c>
      <c r="O36" s="189" t="s">
        <v>88</v>
      </c>
      <c r="P36" s="190"/>
      <c r="Q36" s="190"/>
      <c r="R36" s="191"/>
      <c r="S36" s="189" t="s">
        <v>89</v>
      </c>
      <c r="T36" s="192"/>
      <c r="AF36" s="2"/>
      <c r="AH36" s="17"/>
      <c r="AI36" s="17"/>
    </row>
    <row r="37" spans="2:35" s="12" customFormat="1" ht="21" customHeight="1" x14ac:dyDescent="0.25">
      <c r="B37" s="193" t="s">
        <v>90</v>
      </c>
      <c r="C37" s="194"/>
      <c r="D37" s="136" t="s">
        <v>91</v>
      </c>
      <c r="E37" s="195" t="s">
        <v>92</v>
      </c>
      <c r="F37" s="196"/>
      <c r="G37" s="196"/>
      <c r="H37" s="194"/>
      <c r="I37" s="137" t="s">
        <v>53</v>
      </c>
      <c r="J37" s="4"/>
      <c r="K37" s="193" t="s">
        <v>93</v>
      </c>
      <c r="L37" s="196"/>
      <c r="M37" s="194"/>
      <c r="N37" s="138" t="s">
        <v>94</v>
      </c>
      <c r="O37" s="197" t="s">
        <v>95</v>
      </c>
      <c r="P37" s="198"/>
      <c r="Q37" s="198"/>
      <c r="R37" s="199"/>
      <c r="S37" s="197" t="s">
        <v>53</v>
      </c>
      <c r="T37" s="200"/>
      <c r="AH37" s="17"/>
      <c r="AI37" s="17"/>
    </row>
    <row r="38" spans="2:35" s="12" customFormat="1" ht="18.95" customHeight="1" x14ac:dyDescent="0.25">
      <c r="B38" s="193" t="s">
        <v>90</v>
      </c>
      <c r="C38" s="194"/>
      <c r="D38" s="136" t="s">
        <v>96</v>
      </c>
      <c r="E38" s="195" t="s">
        <v>97</v>
      </c>
      <c r="F38" s="196"/>
      <c r="G38" s="196"/>
      <c r="H38" s="194"/>
      <c r="I38" s="137" t="s">
        <v>98</v>
      </c>
      <c r="J38" s="4"/>
      <c r="K38" s="193" t="s">
        <v>99</v>
      </c>
      <c r="L38" s="196"/>
      <c r="M38" s="194"/>
      <c r="N38" s="138" t="s">
        <v>54</v>
      </c>
      <c r="O38" s="197" t="s">
        <v>54</v>
      </c>
      <c r="P38" s="198"/>
      <c r="Q38" s="198"/>
      <c r="R38" s="199"/>
      <c r="S38" s="197" t="s">
        <v>54</v>
      </c>
      <c r="T38" s="200"/>
      <c r="V38" s="12" t="s">
        <v>100</v>
      </c>
      <c r="AH38" s="17"/>
      <c r="AI38" s="17"/>
    </row>
    <row r="39" spans="2:35" s="12" customFormat="1" ht="21" customHeight="1" x14ac:dyDescent="0.25">
      <c r="B39" s="193" t="s">
        <v>90</v>
      </c>
      <c r="C39" s="194"/>
      <c r="D39" s="136" t="s">
        <v>101</v>
      </c>
      <c r="E39" s="195" t="s">
        <v>102</v>
      </c>
      <c r="F39" s="196"/>
      <c r="G39" s="196"/>
      <c r="H39" s="194"/>
      <c r="I39" s="137" t="s">
        <v>7</v>
      </c>
      <c r="J39" s="4"/>
      <c r="K39" s="193" t="s">
        <v>103</v>
      </c>
      <c r="L39" s="196"/>
      <c r="M39" s="194"/>
      <c r="N39" s="138" t="s">
        <v>84</v>
      </c>
      <c r="O39" s="197" t="s">
        <v>85</v>
      </c>
      <c r="P39" s="198"/>
      <c r="Q39" s="198"/>
      <c r="R39" s="199"/>
      <c r="S39" s="197" t="s">
        <v>53</v>
      </c>
      <c r="T39" s="200"/>
      <c r="AD39" s="12" t="s">
        <v>80</v>
      </c>
      <c r="AH39" s="17"/>
      <c r="AI39" s="17"/>
    </row>
    <row r="40" spans="2:35" s="12" customFormat="1" ht="20.100000000000001" customHeight="1" x14ac:dyDescent="0.25">
      <c r="B40" s="193" t="s">
        <v>90</v>
      </c>
      <c r="C40" s="194"/>
      <c r="D40" s="136" t="s">
        <v>54</v>
      </c>
      <c r="E40" s="195" t="s">
        <v>54</v>
      </c>
      <c r="F40" s="196"/>
      <c r="G40" s="196"/>
      <c r="H40" s="194"/>
      <c r="I40" s="137" t="s">
        <v>54</v>
      </c>
      <c r="J40" s="4"/>
      <c r="K40" s="193" t="s">
        <v>104</v>
      </c>
      <c r="L40" s="196"/>
      <c r="M40" s="194"/>
      <c r="N40" s="138" t="s">
        <v>54</v>
      </c>
      <c r="O40" s="197" t="s">
        <v>54</v>
      </c>
      <c r="P40" s="198"/>
      <c r="Q40" s="198"/>
      <c r="R40" s="199"/>
      <c r="S40" s="197" t="s">
        <v>54</v>
      </c>
      <c r="T40" s="200"/>
      <c r="AH40" s="17"/>
      <c r="AI40" s="17"/>
    </row>
    <row r="41" spans="2:35" ht="18.95" customHeight="1" x14ac:dyDescent="0.2">
      <c r="B41" s="193" t="s">
        <v>90</v>
      </c>
      <c r="C41" s="194"/>
      <c r="D41" s="136" t="s">
        <v>54</v>
      </c>
      <c r="E41" s="195" t="s">
        <v>54</v>
      </c>
      <c r="F41" s="196"/>
      <c r="G41" s="196"/>
      <c r="H41" s="194"/>
      <c r="I41" s="137" t="s">
        <v>54</v>
      </c>
      <c r="J41" s="1"/>
      <c r="K41" s="193" t="s">
        <v>104</v>
      </c>
      <c r="L41" s="196"/>
      <c r="M41" s="194"/>
      <c r="N41" s="138" t="s">
        <v>54</v>
      </c>
      <c r="O41" s="197" t="s">
        <v>54</v>
      </c>
      <c r="P41" s="198"/>
      <c r="Q41" s="198"/>
      <c r="R41" s="199"/>
      <c r="S41" s="197" t="s">
        <v>54</v>
      </c>
      <c r="T41" s="200"/>
      <c r="U41" s="1"/>
      <c r="V41" s="1"/>
      <c r="W41" s="1"/>
      <c r="X41" s="1"/>
      <c r="Y41" s="1"/>
      <c r="Z41" s="1"/>
      <c r="AA41" s="1"/>
      <c r="AB41" s="1"/>
    </row>
    <row r="42" spans="2:35" ht="20.100000000000001" customHeight="1" x14ac:dyDescent="0.2">
      <c r="B42" s="193" t="s">
        <v>105</v>
      </c>
      <c r="C42" s="194"/>
      <c r="D42" s="136" t="s">
        <v>106</v>
      </c>
      <c r="E42" s="195" t="s">
        <v>107</v>
      </c>
      <c r="F42" s="196"/>
      <c r="G42" s="196"/>
      <c r="H42" s="194"/>
      <c r="I42" s="137" t="s">
        <v>53</v>
      </c>
      <c r="J42" s="1"/>
      <c r="K42" s="193" t="s">
        <v>104</v>
      </c>
      <c r="L42" s="196"/>
      <c r="M42" s="194"/>
      <c r="N42" s="138" t="s">
        <v>54</v>
      </c>
      <c r="O42" s="197" t="s">
        <v>54</v>
      </c>
      <c r="P42" s="198"/>
      <c r="Q42" s="198"/>
      <c r="R42" s="199"/>
      <c r="S42" s="197" t="s">
        <v>54</v>
      </c>
      <c r="T42" s="200"/>
      <c r="U42" s="1"/>
      <c r="V42" s="1"/>
      <c r="W42" s="1"/>
      <c r="X42" s="1"/>
      <c r="Y42" s="1"/>
      <c r="Z42" s="1"/>
      <c r="AA42" s="1"/>
      <c r="AB42" s="1"/>
    </row>
    <row r="43" spans="2:35" ht="20.100000000000001" customHeight="1" x14ac:dyDescent="0.2">
      <c r="B43" s="201" t="s">
        <v>54</v>
      </c>
      <c r="C43" s="202"/>
      <c r="D43" s="139" t="s">
        <v>54</v>
      </c>
      <c r="E43" s="203" t="s">
        <v>54</v>
      </c>
      <c r="F43" s="204"/>
      <c r="G43" s="204"/>
      <c r="H43" s="202"/>
      <c r="I43" s="140" t="s">
        <v>54</v>
      </c>
      <c r="J43" s="1"/>
      <c r="K43" s="201" t="s">
        <v>104</v>
      </c>
      <c r="L43" s="204"/>
      <c r="M43" s="202"/>
      <c r="N43" s="141" t="s">
        <v>54</v>
      </c>
      <c r="O43" s="205" t="s">
        <v>54</v>
      </c>
      <c r="P43" s="206"/>
      <c r="Q43" s="206"/>
      <c r="R43" s="207"/>
      <c r="S43" s="205" t="s">
        <v>54</v>
      </c>
      <c r="T43" s="208"/>
      <c r="U43" s="1"/>
      <c r="V43" s="1"/>
      <c r="W43" s="1"/>
      <c r="X43" s="1"/>
      <c r="Y43" s="1"/>
      <c r="Z43" s="1"/>
      <c r="AA43" s="1"/>
      <c r="AB43" s="1"/>
    </row>
    <row r="44" spans="2:35" ht="18.95" customHeight="1" x14ac:dyDescent="0.2">
      <c r="B44" s="209"/>
      <c r="C44" s="209"/>
      <c r="D44" s="210"/>
      <c r="E44" s="210"/>
      <c r="F44" s="142"/>
      <c r="G44" s="210"/>
      <c r="H44" s="210"/>
      <c r="I44" s="210"/>
      <c r="J44" s="1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1"/>
      <c r="V44" s="1"/>
      <c r="W44" s="1"/>
      <c r="X44" s="1"/>
      <c r="Y44" s="1"/>
      <c r="Z44" s="1"/>
      <c r="AA44" s="1"/>
      <c r="AB44" s="1"/>
    </row>
    <row r="45" spans="2:35" ht="18" customHeight="1" x14ac:dyDescent="0.2">
      <c r="B45" s="211" t="s">
        <v>108</v>
      </c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3"/>
      <c r="U45" s="1"/>
      <c r="V45" s="1"/>
      <c r="W45" s="1"/>
      <c r="X45" s="1"/>
      <c r="Y45" s="1"/>
      <c r="Z45" s="1"/>
      <c r="AA45" s="1"/>
      <c r="AB45" s="1"/>
    </row>
    <row r="46" spans="2:35" ht="18" customHeight="1" x14ac:dyDescent="0.2">
      <c r="B46" s="201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14"/>
      <c r="U46" s="1"/>
      <c r="V46" s="1"/>
      <c r="W46" s="1"/>
      <c r="X46" s="1"/>
      <c r="Y46" s="1"/>
      <c r="Z46" s="1"/>
      <c r="AA46" s="1"/>
      <c r="AB46" s="1"/>
    </row>
    <row r="47" spans="2:35" ht="14.1" customHeight="1" x14ac:dyDescent="0.25">
      <c r="B47" s="2"/>
      <c r="D47" s="143"/>
      <c r="E47" s="144"/>
      <c r="F47" s="144"/>
      <c r="G47" s="143"/>
      <c r="H47" s="144"/>
      <c r="I47" s="130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</row>
    <row r="48" spans="2:35" ht="14.1" customHeight="1" x14ac:dyDescent="0.25">
      <c r="B48" s="145"/>
      <c r="C48" s="145"/>
      <c r="D48" s="146"/>
      <c r="E48" s="147"/>
      <c r="F48" s="147"/>
      <c r="G48" s="148"/>
      <c r="H48" s="149"/>
      <c r="I48" s="1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</row>
    <row r="49" spans="5:7" ht="12.75" x14ac:dyDescent="0.2"/>
    <row r="50" spans="5:7" ht="12.75" x14ac:dyDescent="0.2">
      <c r="E50" s="215"/>
      <c r="F50" s="215"/>
      <c r="G50" s="215"/>
    </row>
    <row r="51" spans="5:7" ht="12.75" x14ac:dyDescent="0.2"/>
    <row r="52" spans="5:7" ht="12.75" x14ac:dyDescent="0.2"/>
    <row r="53" spans="5:7" ht="12.75" x14ac:dyDescent="0.2"/>
    <row r="54" spans="5:7" ht="12.75" x14ac:dyDescent="0.2"/>
    <row r="55" spans="5:7" ht="12.75" x14ac:dyDescent="0.2"/>
    <row r="56" spans="5:7" ht="12.75" x14ac:dyDescent="0.2"/>
    <row r="57" spans="5:7" ht="12.75" x14ac:dyDescent="0.2"/>
    <row r="58" spans="5:7" ht="12.75" x14ac:dyDescent="0.2"/>
    <row r="59" spans="5:7" ht="12.75" x14ac:dyDescent="0.2"/>
    <row r="60" spans="5:7" ht="12.75" x14ac:dyDescent="0.2"/>
    <row r="61" spans="5:7" ht="12.75" x14ac:dyDescent="0.2"/>
    <row r="62" spans="5:7" ht="12.75" x14ac:dyDescent="0.2"/>
    <row r="63" spans="5:7" ht="12.75" x14ac:dyDescent="0.2"/>
    <row r="64" spans="5:7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</sheetData>
  <mergeCells count="102"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  <mergeCell ref="P44:T44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K28:M28"/>
    <mergeCell ref="N28:P28"/>
    <mergeCell ref="S28:T28"/>
    <mergeCell ref="K30:M30"/>
    <mergeCell ref="N30:P30"/>
    <mergeCell ref="S30:T30"/>
    <mergeCell ref="K32:M32"/>
    <mergeCell ref="N32:P32"/>
    <mergeCell ref="S32:T32"/>
    <mergeCell ref="K22:M22"/>
    <mergeCell ref="N22:P22"/>
    <mergeCell ref="S22:T22"/>
    <mergeCell ref="K24:M24"/>
    <mergeCell ref="N24:P24"/>
    <mergeCell ref="S24:T24"/>
    <mergeCell ref="K26:M26"/>
    <mergeCell ref="N26:P26"/>
    <mergeCell ref="S26:T26"/>
    <mergeCell ref="K16:M16"/>
    <mergeCell ref="N16:P16"/>
    <mergeCell ref="S16:T16"/>
    <mergeCell ref="K18:M18"/>
    <mergeCell ref="N18:P18"/>
    <mergeCell ref="S18:T18"/>
    <mergeCell ref="K20:M20"/>
    <mergeCell ref="N20:P20"/>
    <mergeCell ref="S20:T20"/>
    <mergeCell ref="K10:M10"/>
    <mergeCell ref="N10:P10"/>
    <mergeCell ref="S10:T10"/>
    <mergeCell ref="K12:M12"/>
    <mergeCell ref="N12:P12"/>
    <mergeCell ref="S12:T12"/>
    <mergeCell ref="K14:M14"/>
    <mergeCell ref="N14:P14"/>
    <mergeCell ref="S14:T14"/>
    <mergeCell ref="G2:R2"/>
    <mergeCell ref="G3:R3"/>
    <mergeCell ref="D5:I5"/>
    <mergeCell ref="K5:N5"/>
    <mergeCell ref="P5:S5"/>
    <mergeCell ref="U5:V5"/>
    <mergeCell ref="AJ6:AJ7"/>
    <mergeCell ref="B7:B8"/>
    <mergeCell ref="C7:C8"/>
    <mergeCell ref="D7:D8"/>
    <mergeCell ref="E7:E8"/>
    <mergeCell ref="F7:F8"/>
  </mergeCells>
  <conditionalFormatting sqref="K27">
    <cfRule type="cellIs" dxfId="59" priority="35" operator="between">
      <formula>1</formula>
      <formula>300</formula>
    </cfRule>
    <cfRule type="cellIs" dxfId="58" priority="36" operator="lessThanOrEqual">
      <formula>0</formula>
    </cfRule>
  </conditionalFormatting>
  <conditionalFormatting sqref="K29">
    <cfRule type="cellIs" dxfId="57" priority="33" operator="between">
      <formula>1</formula>
      <formula>300</formula>
    </cfRule>
    <cfRule type="cellIs" dxfId="56" priority="34" operator="lessThanOrEqual">
      <formula>0</formula>
    </cfRule>
  </conditionalFormatting>
  <conditionalFormatting sqref="K31">
    <cfRule type="cellIs" dxfId="55" priority="31" operator="between">
      <formula>1</formula>
      <formula>300</formula>
    </cfRule>
    <cfRule type="cellIs" dxfId="54" priority="32" operator="lessThanOrEqual">
      <formula>0</formula>
    </cfRule>
  </conditionalFormatting>
  <conditionalFormatting sqref="K9:P9">
    <cfRule type="cellIs" dxfId="53" priority="3" operator="between">
      <formula>1</formula>
      <formula>300</formula>
    </cfRule>
    <cfRule type="cellIs" dxfId="52" priority="4" operator="lessThanOrEqual">
      <formula>0</formula>
    </cfRule>
  </conditionalFormatting>
  <conditionalFormatting sqref="K11:P11">
    <cfRule type="cellIs" dxfId="51" priority="1" operator="between">
      <formula>1</formula>
      <formula>300</formula>
    </cfRule>
    <cfRule type="cellIs" dxfId="50" priority="2" operator="lessThanOrEqual">
      <formula>0</formula>
    </cfRule>
  </conditionalFormatting>
  <conditionalFormatting sqref="K13:P13">
    <cfRule type="cellIs" dxfId="49" priority="11" operator="between">
      <formula>1</formula>
      <formula>300</formula>
    </cfRule>
    <cfRule type="cellIs" dxfId="48" priority="12" operator="lessThanOrEqual">
      <formula>0</formula>
    </cfRule>
  </conditionalFormatting>
  <conditionalFormatting sqref="K15:P15">
    <cfRule type="cellIs" dxfId="47" priority="13" operator="between">
      <formula>1</formula>
      <formula>300</formula>
    </cfRule>
    <cfRule type="cellIs" dxfId="46" priority="14" operator="lessThanOrEqual">
      <formula>0</formula>
    </cfRule>
  </conditionalFormatting>
  <conditionalFormatting sqref="K17:P17">
    <cfRule type="cellIs" dxfId="45" priority="19" operator="between">
      <formula>1</formula>
      <formula>300</formula>
    </cfRule>
    <cfRule type="cellIs" dxfId="44" priority="20" operator="lessThanOrEqual">
      <formula>0</formula>
    </cfRule>
  </conditionalFormatting>
  <conditionalFormatting sqref="K19:P19">
    <cfRule type="cellIs" dxfId="43" priority="5" operator="between">
      <formula>1</formula>
      <formula>300</formula>
    </cfRule>
    <cfRule type="cellIs" dxfId="42" priority="6" operator="lessThanOrEqual">
      <formula>0</formula>
    </cfRule>
  </conditionalFormatting>
  <conditionalFormatting sqref="K21:P21">
    <cfRule type="cellIs" dxfId="41" priority="7" operator="between">
      <formula>1</formula>
      <formula>300</formula>
    </cfRule>
    <cfRule type="cellIs" dxfId="40" priority="8" operator="lessThanOrEqual">
      <formula>0</formula>
    </cfRule>
  </conditionalFormatting>
  <conditionalFormatting sqref="K23:P23">
    <cfRule type="cellIs" dxfId="39" priority="9" operator="between">
      <formula>1</formula>
      <formula>300</formula>
    </cfRule>
    <cfRule type="cellIs" dxfId="38" priority="10" operator="lessThanOrEqual">
      <formula>0</formula>
    </cfRule>
  </conditionalFormatting>
  <conditionalFormatting sqref="K25:P25">
    <cfRule type="cellIs" dxfId="37" priority="21" operator="between">
      <formula>1</formula>
      <formula>300</formula>
    </cfRule>
    <cfRule type="cellIs" dxfId="36" priority="22" operator="lessThanOrEqual">
      <formula>0</formula>
    </cfRule>
  </conditionalFormatting>
  <conditionalFormatting sqref="L27:N27">
    <cfRule type="cellIs" dxfId="35" priority="59" operator="between">
      <formula>1</formula>
      <formula>300</formula>
    </cfRule>
    <cfRule type="cellIs" dxfId="34" priority="60" operator="lessThanOrEqual">
      <formula>0</formula>
    </cfRule>
  </conditionalFormatting>
  <conditionalFormatting sqref="L29:N29">
    <cfRule type="cellIs" dxfId="33" priority="57" operator="between">
      <formula>1</formula>
      <formula>300</formula>
    </cfRule>
    <cfRule type="cellIs" dxfId="32" priority="58" operator="lessThanOrEqual">
      <formula>0</formula>
    </cfRule>
  </conditionalFormatting>
  <conditionalFormatting sqref="L31:N31">
    <cfRule type="cellIs" dxfId="31" priority="55" operator="between">
      <formula>1</formula>
      <formula>300</formula>
    </cfRule>
    <cfRule type="cellIs" dxfId="30" priority="56" operator="lessThanOrEqual">
      <formula>0</formula>
    </cfRule>
  </conditionalFormatting>
  <dataValidations count="6">
    <dataValidation type="list" allowBlank="1" showInputMessage="1" showErrorMessage="1" sqref="B36:C43 K36:M43" xr:uid="{00000000-0002-0000-0000-000000000000}">
      <formula1>"Dommer,Stevnets leder,Jury,Sekretær,Speaker,Teknisk kontrollør, Chief Marshall,Tidtaker"</formula1>
    </dataValidation>
    <dataValidation type="list" allowBlank="1" showInputMessage="1" showErrorMessage="1" sqref="C11 C9 C31 C29 C27 C25 C23 C21 C19 C17 C15 C13" xr:uid="{00000000-0002-0000-0000-000001000000}">
      <formula1>"44,48,53,56,58,60,63,65,69,71,77,'+77,79,86,'+86,88,94,'+94,110,'´110"</formula1>
    </dataValidation>
    <dataValidation type="list" allowBlank="1" showInputMessage="1" showErrorMessage="1" sqref="D5:I5" xr:uid="{00000000-0002-0000-0000-00000D000000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E11 F12 E9 E31 E29 E27 E25 E23 E21 E19 E17 E15 E13" xr:uid="{00000000-0002-0000-0000-00000E000000}">
      <formula1>"UM,JM,SM,UK,JK,SK,M35,M40,M45,M50,M55,M60,M65,M70,M75,M80,M85,M90,K35,K40,K45,K50,K55,K60,K65,K70,K75,K80,K85,K90"</formula1>
    </dataValidation>
    <dataValidation type="list" allowBlank="1" showInputMessage="1" showErrorMessage="1" sqref="F11 F9 F31 F29 F27 F25 F23 F21 F19 F17 F15 F13" xr:uid="{00000000-0002-0000-0000-00001A000000}">
      <formula1>"11-12,13-14,15-16,17-18,19-23,24-34,+35"</formula1>
    </dataValidation>
    <dataValidation type="list" allowBlank="1" showInputMessage="1" showErrorMessage="1" prompt="Feil_i_kat. 5-kamp - Feil verdi i kategori 5-kamp" sqref="G12" xr:uid="{00000000-0002-0000-0000-000027000000}">
      <formula1>"11-12,13-14,15-16,17-18,19-23,24-34,+35,35+"</formula1>
    </dataValidation>
  </dataValidations>
  <pageMargins left="0.27559055118110198" right="0.35433070866141703" top="0.27559055118110198" bottom="0.27559055118110198" header="0.5" footer="0.5"/>
  <pageSetup paperSize="9" scale="57" orientation="landscape" useFirstPageNumber="1" horizontalDpi="4294967295" verticalDpi="4294967295" copies="2"/>
  <headerFooter>
    <oddFooter>&amp;C_x000D_&amp;1#&amp;"Aptos"&amp;10&amp;KFF0000 Classification: Open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80"/>
  <sheetViews>
    <sheetView showGridLines="0" topLeftCell="A13" zoomScaleNormal="100" workbookViewId="0">
      <selection activeCell="B9" sqref="B9"/>
    </sheetView>
  </sheetViews>
  <sheetFormatPr defaultColWidth="9.140625" defaultRowHeight="12.95" customHeight="1" x14ac:dyDescent="0.2"/>
  <cols>
    <col min="1" max="1" width="4.42578125" style="1" customWidth="1"/>
    <col min="2" max="2" width="10.140625" style="1" customWidth="1"/>
    <col min="3" max="3" width="6.42578125" style="2" customWidth="1"/>
    <col min="4" max="4" width="8.5703125" style="2" customWidth="1"/>
    <col min="5" max="6" width="6.42578125" style="3" customWidth="1"/>
    <col min="7" max="7" width="11.28515625" style="2" bestFit="1" customWidth="1"/>
    <col min="8" max="8" width="3.85546875" style="2" customWidth="1"/>
    <col min="9" max="9" width="27.85546875" style="4" customWidth="1"/>
    <col min="10" max="10" width="21" style="4" customWidth="1"/>
    <col min="11" max="11" width="6.85546875" style="2" customWidth="1"/>
    <col min="12" max="12" width="6.85546875" style="5" customWidth="1"/>
    <col min="13" max="13" width="6.85546875" style="2" customWidth="1"/>
    <col min="14" max="14" width="8.85546875" style="2" customWidth="1"/>
    <col min="15" max="19" width="6.85546875" style="2" customWidth="1"/>
    <col min="20" max="23" width="8" style="6" customWidth="1"/>
    <col min="24" max="24" width="9" style="6" customWidth="1"/>
    <col min="25" max="26" width="8" style="6" customWidth="1"/>
    <col min="27" max="27" width="5" style="6" bestFit="1" customWidth="1"/>
    <col min="28" max="28" width="5.5703125" style="6" customWidth="1"/>
    <col min="29" max="29" width="9.5703125" style="1" hidden="1" customWidth="1"/>
    <col min="30" max="31" width="9.140625" style="1" hidden="1" customWidth="1"/>
    <col min="32" max="32" width="7.85546875" style="1" hidden="1" customWidth="1"/>
    <col min="33" max="33" width="9.140625" style="1" hidden="1" customWidth="1"/>
    <col min="34" max="35" width="9.140625" style="7" hidden="1" customWidth="1"/>
    <col min="36" max="36" width="9.140625" style="1" hidden="1" customWidth="1"/>
    <col min="37" max="37" width="9.140625" style="1" customWidth="1"/>
    <col min="38" max="16384" width="9.140625" style="1"/>
  </cols>
  <sheetData>
    <row r="1" spans="1:36" ht="18.95" customHeight="1" x14ac:dyDescent="0.2">
      <c r="A1" s="8"/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6" ht="75" customHeight="1" x14ac:dyDescent="0.8">
      <c r="A2" s="8"/>
      <c r="B2" s="8"/>
      <c r="C2" s="8"/>
      <c r="D2" s="8"/>
      <c r="E2" s="8"/>
      <c r="F2" s="8"/>
      <c r="G2" s="163" t="s">
        <v>0</v>
      </c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8"/>
      <c r="T2" s="8"/>
      <c r="U2" s="9" t="s">
        <v>1</v>
      </c>
      <c r="V2" s="8"/>
      <c r="W2" s="8"/>
      <c r="X2" s="8"/>
      <c r="Y2" s="8"/>
    </row>
    <row r="3" spans="1:36" ht="29.1" customHeight="1" x14ac:dyDescent="0.5">
      <c r="A3" s="8"/>
      <c r="B3" s="8"/>
      <c r="C3" s="8"/>
      <c r="D3" s="8"/>
      <c r="E3" s="10"/>
      <c r="F3" s="8"/>
      <c r="G3" s="164" t="s">
        <v>2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1" t="s">
        <v>3</v>
      </c>
      <c r="T3" s="11"/>
      <c r="U3" s="11"/>
      <c r="V3" s="11"/>
      <c r="W3" s="11"/>
      <c r="X3" s="11"/>
      <c r="Y3" s="11"/>
      <c r="Z3" s="11"/>
    </row>
    <row r="4" spans="1:36" ht="12.75" x14ac:dyDescent="0.2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36" s="12" customFormat="1" ht="15.95" customHeight="1" x14ac:dyDescent="0.25">
      <c r="C5" s="13" t="s">
        <v>4</v>
      </c>
      <c r="D5" s="165" t="s">
        <v>5</v>
      </c>
      <c r="E5" s="165"/>
      <c r="F5" s="165"/>
      <c r="G5" s="165"/>
      <c r="H5" s="165"/>
      <c r="I5" s="165"/>
      <c r="J5" s="13" t="s">
        <v>6</v>
      </c>
      <c r="K5" s="165" t="s">
        <v>7</v>
      </c>
      <c r="L5" s="165"/>
      <c r="M5" s="165"/>
      <c r="N5" s="165"/>
      <c r="O5" s="13" t="s">
        <v>8</v>
      </c>
      <c r="P5" s="166" t="s">
        <v>9</v>
      </c>
      <c r="Q5" s="166"/>
      <c r="R5" s="166"/>
      <c r="S5" s="166"/>
      <c r="T5" s="13" t="s">
        <v>10</v>
      </c>
      <c r="U5" s="167">
        <v>46179</v>
      </c>
      <c r="V5" s="167"/>
      <c r="W5" s="14"/>
      <c r="X5" s="14"/>
      <c r="Y5" s="14"/>
      <c r="Z5" s="15" t="s">
        <v>11</v>
      </c>
      <c r="AA5" s="15"/>
      <c r="AB5" s="16">
        <v>2</v>
      </c>
      <c r="AH5" s="17"/>
      <c r="AI5" s="17"/>
    </row>
    <row r="6" spans="1:36" ht="12.75" x14ac:dyDescent="0.2">
      <c r="AG6" s="18" t="s">
        <v>12</v>
      </c>
      <c r="AH6" s="18" t="s">
        <v>12</v>
      </c>
      <c r="AI6" s="18" t="s">
        <v>12</v>
      </c>
      <c r="AJ6" s="168" t="s">
        <v>13</v>
      </c>
    </row>
    <row r="7" spans="1:36" s="2" customFormat="1" ht="12.75" x14ac:dyDescent="0.2">
      <c r="B7" s="169" t="s">
        <v>14</v>
      </c>
      <c r="C7" s="171" t="s">
        <v>15</v>
      </c>
      <c r="D7" s="171" t="s">
        <v>16</v>
      </c>
      <c r="E7" s="173" t="s">
        <v>17</v>
      </c>
      <c r="F7" s="175" t="s">
        <v>109</v>
      </c>
      <c r="G7" s="19" t="s">
        <v>19</v>
      </c>
      <c r="H7" s="19" t="s">
        <v>20</v>
      </c>
      <c r="I7" s="19" t="s">
        <v>21</v>
      </c>
      <c r="J7" s="19" t="s">
        <v>22</v>
      </c>
      <c r="K7" s="20"/>
      <c r="L7" s="21" t="s">
        <v>23</v>
      </c>
      <c r="M7" s="19"/>
      <c r="N7" s="19"/>
      <c r="O7" s="22" t="s">
        <v>24</v>
      </c>
      <c r="P7" s="19"/>
      <c r="Q7" s="23" t="s">
        <v>25</v>
      </c>
      <c r="R7" s="19"/>
      <c r="S7" s="19" t="s">
        <v>26</v>
      </c>
      <c r="T7" s="24" t="s">
        <v>27</v>
      </c>
      <c r="U7" s="25" t="s">
        <v>27</v>
      </c>
      <c r="V7" s="26" t="s">
        <v>28</v>
      </c>
      <c r="W7" s="26" t="s">
        <v>29</v>
      </c>
      <c r="X7" s="26" t="s">
        <v>30</v>
      </c>
      <c r="Y7" s="27" t="s">
        <v>31</v>
      </c>
      <c r="Z7" s="28" t="s">
        <v>32</v>
      </c>
      <c r="AA7" s="29" t="s">
        <v>33</v>
      </c>
      <c r="AB7" s="24" t="s">
        <v>34</v>
      </c>
      <c r="AC7" s="7"/>
      <c r="AG7" s="30" t="s">
        <v>35</v>
      </c>
      <c r="AH7" s="30" t="s">
        <v>35</v>
      </c>
      <c r="AI7" s="30" t="s">
        <v>35</v>
      </c>
      <c r="AJ7" s="168"/>
    </row>
    <row r="8" spans="1:36" s="2" customFormat="1" ht="12.75" x14ac:dyDescent="0.2">
      <c r="B8" s="170"/>
      <c r="C8" s="172"/>
      <c r="D8" s="172"/>
      <c r="E8" s="174"/>
      <c r="F8" s="176"/>
      <c r="G8" s="31" t="s">
        <v>36</v>
      </c>
      <c r="H8" s="31" t="s">
        <v>37</v>
      </c>
      <c r="I8" s="31"/>
      <c r="J8" s="31"/>
      <c r="K8" s="32">
        <v>1</v>
      </c>
      <c r="L8" s="32">
        <v>2</v>
      </c>
      <c r="M8" s="33">
        <v>3</v>
      </c>
      <c r="N8" s="33">
        <v>1</v>
      </c>
      <c r="O8" s="32">
        <v>2</v>
      </c>
      <c r="P8" s="33">
        <v>3</v>
      </c>
      <c r="Q8" s="34" t="s">
        <v>38</v>
      </c>
      <c r="R8" s="31"/>
      <c r="S8" s="31" t="s">
        <v>39</v>
      </c>
      <c r="T8" s="35"/>
      <c r="U8" s="36" t="s">
        <v>40</v>
      </c>
      <c r="V8" s="26" t="s">
        <v>27</v>
      </c>
      <c r="W8" s="26" t="s">
        <v>27</v>
      </c>
      <c r="X8" s="26" t="s">
        <v>27</v>
      </c>
      <c r="Y8" s="37" t="s">
        <v>41</v>
      </c>
      <c r="Z8" s="38" t="s">
        <v>42</v>
      </c>
      <c r="AA8" s="38"/>
      <c r="AB8" s="35"/>
      <c r="AD8" s="2" t="s">
        <v>43</v>
      </c>
      <c r="AE8" s="2" t="s">
        <v>44</v>
      </c>
      <c r="AF8" s="7" t="s">
        <v>40</v>
      </c>
      <c r="AG8" s="30" t="s">
        <v>45</v>
      </c>
      <c r="AH8" s="30" t="s">
        <v>46</v>
      </c>
      <c r="AI8" s="30" t="s">
        <v>47</v>
      </c>
    </row>
    <row r="9" spans="1:36" s="39" customFormat="1" ht="20.100000000000001" customHeight="1" x14ac:dyDescent="0.25">
      <c r="B9" s="40" t="s">
        <v>110</v>
      </c>
      <c r="C9" s="150" t="s">
        <v>111</v>
      </c>
      <c r="D9" s="151">
        <v>85.01</v>
      </c>
      <c r="E9" s="150" t="s">
        <v>112</v>
      </c>
      <c r="F9" s="150" t="s">
        <v>51</v>
      </c>
      <c r="G9" s="152">
        <v>41953</v>
      </c>
      <c r="H9" s="153">
        <v>5</v>
      </c>
      <c r="I9" s="154" t="s">
        <v>113</v>
      </c>
      <c r="J9" s="155" t="s">
        <v>7</v>
      </c>
      <c r="K9" s="48">
        <v>15</v>
      </c>
      <c r="L9" s="48">
        <v>17</v>
      </c>
      <c r="M9" s="48">
        <v>19</v>
      </c>
      <c r="N9" s="48">
        <v>23</v>
      </c>
      <c r="O9" s="48">
        <v>26</v>
      </c>
      <c r="P9" s="48">
        <v>29</v>
      </c>
      <c r="Q9" s="49">
        <f>IF(MAX(K9:M9)&gt;0,IF(MAX(K9:M9)&lt;0,0,TRUNC(MAX(K9:M9)/1)*1),"")</f>
        <v>19</v>
      </c>
      <c r="R9" s="50">
        <f>IF(MAX(N9:P9)&gt;0,IF(MAX(N9:P9)&lt;0,0,TRUNC(MAX(N9:P9)/1)*1),"")</f>
        <v>29</v>
      </c>
      <c r="S9" s="50">
        <f>IF(Q9="","",IF(R9="","",IF(SUM(Q9:R9)=0,"",SUM(Q9:R9))))</f>
        <v>48</v>
      </c>
      <c r="T9" s="51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59.373386824222884</v>
      </c>
      <c r="U9" s="52" t="str">
        <f>IF(AF9=1,T9*AI9,"")</f>
        <v/>
      </c>
      <c r="V9" s="53">
        <v>4.6399999999999997</v>
      </c>
      <c r="W9" s="53">
        <v>7.56</v>
      </c>
      <c r="X9" s="53">
        <v>9</v>
      </c>
      <c r="Y9" s="51"/>
      <c r="Z9" s="52"/>
      <c r="AA9" s="52">
        <v>1</v>
      </c>
      <c r="AB9" s="54" t="s">
        <v>54</v>
      </c>
      <c r="AC9" s="55">
        <f>U5</f>
        <v>46179</v>
      </c>
      <c r="AD9" s="56" t="str">
        <f>IF(ISNUMBER(FIND("M",E9)),"m",IF(ISNUMBER(FIND("K",E9)),"k"))</f>
        <v>m</v>
      </c>
      <c r="AE9" s="57">
        <f>IF(OR(G9="",AC9=""),0,(YEAR(AC9)-YEAR(G9)))</f>
        <v>12</v>
      </c>
      <c r="AF9" s="58">
        <f>IF(AE9&gt;34,1,0)</f>
        <v>0</v>
      </c>
      <c r="AG9" s="39" t="b">
        <f>IF(AF9=1,LOOKUP(AE9,'Meltzer-Faber'!A3:A63,'Meltzer-Faber'!B3:B63))</f>
        <v>0</v>
      </c>
      <c r="AH9" s="59" t="b">
        <f>IF(AF9=1,LOOKUP(AE9,'Meltzer-Faber'!A3:A63,'Meltzer-Faber'!C3:C63))</f>
        <v>0</v>
      </c>
      <c r="AI9" s="59" t="b">
        <f>IF(AD9="m",AG9,IF(AD9="k",AH9,""))</f>
        <v>0</v>
      </c>
      <c r="AJ9" s="60">
        <f>IF(D9="","",IF(D9&gt;193.609,1,IF(D9&lt;32,10^(0.722762521*LOG10(32/193.609)^2),10^(0.722762521*LOG10(D9/193.609)^2))))</f>
        <v>1.2369455588379767</v>
      </c>
    </row>
    <row r="10" spans="1:36" s="39" customFormat="1" ht="20.100000000000001" customHeight="1" x14ac:dyDescent="0.2">
      <c r="B10" s="61"/>
      <c r="C10" s="62"/>
      <c r="D10" s="62"/>
      <c r="E10" s="62"/>
      <c r="F10" s="63"/>
      <c r="G10" s="64"/>
      <c r="H10" s="65"/>
      <c r="I10" s="66"/>
      <c r="J10" s="66"/>
      <c r="K10" s="177"/>
      <c r="L10" s="177"/>
      <c r="M10" s="177"/>
      <c r="N10" s="178"/>
      <c r="O10" s="178"/>
      <c r="P10" s="178"/>
      <c r="Q10" s="68"/>
      <c r="R10" s="62"/>
      <c r="S10" s="177">
        <f>IF(T9="","",T9*1.2)</f>
        <v>71.248064189067463</v>
      </c>
      <c r="T10" s="177"/>
      <c r="U10" s="62"/>
      <c r="V10" s="62">
        <f>IF(V9&gt;0,V9*20,"")</f>
        <v>92.8</v>
      </c>
      <c r="W10" s="62">
        <f>IF(W9="","",(W9*10)*AJ9)</f>
        <v>93.513084248151031</v>
      </c>
      <c r="X10" s="62">
        <f>IF(ROUNDUP(X9,1)&gt;0,IF((80+(8-ROUNDUP(X9,1))*40)&lt;0,0,80+(8-ROUNDUP(X9,1))*40),"")</f>
        <v>40</v>
      </c>
      <c r="Y10" s="67">
        <f>IF(SUM(V10,W10,X10)&gt;0,SUM(V10,W10,X10),"")</f>
        <v>226.31308424815103</v>
      </c>
      <c r="Z10" s="69">
        <f>IF(AE9&gt;34,(IF(OR(S10="",V10="",W10="",X10=""),"",SUM(S10,V10,W10,X10))*AI9),IF(OR(S10="",V10="",W10="",X10=""),"", SUM(S10,V10,W10,X10)))</f>
        <v>297.56114843721849</v>
      </c>
      <c r="AA10" s="69"/>
      <c r="AB10" s="63"/>
      <c r="AC10" s="70"/>
      <c r="AD10" s="2"/>
      <c r="AE10" s="57"/>
      <c r="AF10" s="71"/>
      <c r="AH10" s="59"/>
      <c r="AI10" s="59"/>
      <c r="AJ10" s="60"/>
    </row>
    <row r="11" spans="1:36" s="39" customFormat="1" ht="20.100000000000001" customHeight="1" x14ac:dyDescent="0.2">
      <c r="B11" s="72" t="s">
        <v>114</v>
      </c>
      <c r="C11" s="83" t="s">
        <v>115</v>
      </c>
      <c r="D11" s="84">
        <v>89.31</v>
      </c>
      <c r="E11" s="83" t="s">
        <v>112</v>
      </c>
      <c r="F11" s="83" t="s">
        <v>56</v>
      </c>
      <c r="G11" s="85">
        <v>40973</v>
      </c>
      <c r="H11" s="86">
        <v>7</v>
      </c>
      <c r="I11" s="87" t="s">
        <v>116</v>
      </c>
      <c r="J11" s="88" t="s">
        <v>53</v>
      </c>
      <c r="K11" s="73">
        <v>58</v>
      </c>
      <c r="L11" s="73">
        <v>60</v>
      </c>
      <c r="M11" s="73">
        <v>-62</v>
      </c>
      <c r="N11" s="73">
        <v>69</v>
      </c>
      <c r="O11" s="73">
        <v>71</v>
      </c>
      <c r="P11" s="73">
        <v>73</v>
      </c>
      <c r="Q11" s="74">
        <f>IF(MAX(K11:M11)&gt;0,IF(MAX(K11:M11)&lt;0,0,TRUNC(MAX(K11:M11)/1)*1),"")</f>
        <v>60</v>
      </c>
      <c r="R11" s="75">
        <f>IF(MAX(N11:P11)&gt;0,IF(MAX(N11:P11)&lt;0,0,TRUNC(MAX(N11:P11)/1)*1),"")</f>
        <v>73</v>
      </c>
      <c r="S11" s="75">
        <f>IF(Q11="","",IF(R11="","",IF(SUM(Q11:R11)=0,"",SUM(Q11:R11))))</f>
        <v>133</v>
      </c>
      <c r="T11" s="76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160.49481302863353</v>
      </c>
      <c r="U11" s="77" t="str">
        <f>IF(AF11=1,T11*AI11,"")</f>
        <v/>
      </c>
      <c r="V11" s="78">
        <v>6.97</v>
      </c>
      <c r="W11" s="78">
        <v>9.7799999999999994</v>
      </c>
      <c r="X11" s="78">
        <v>7.56</v>
      </c>
      <c r="Y11" s="79"/>
      <c r="Z11" s="77"/>
      <c r="AA11" s="77">
        <v>1</v>
      </c>
      <c r="AB11" s="80" t="s">
        <v>54</v>
      </c>
      <c r="AC11" s="70">
        <f>U5</f>
        <v>46179</v>
      </c>
      <c r="AD11" s="56" t="str">
        <f>IF(ISNUMBER(FIND("M",E11)),"m",IF(ISNUMBER(FIND("K",E11)),"k"))</f>
        <v>m</v>
      </c>
      <c r="AE11" s="57">
        <f>IF(OR(G11="",AC11=""),0,(YEAR(AC11)-YEAR(G11)))</f>
        <v>14</v>
      </c>
      <c r="AF11" s="58">
        <f t="shared" ref="AF11:AF23" si="0">IF(AE11&gt;34,1,0)</f>
        <v>0</v>
      </c>
      <c r="AG11" s="39" t="b">
        <f>IF(AF11=1,LOOKUP(AE11,'Meltzer-Faber'!A3:A63,'Meltzer-Faber'!B3:B63))</f>
        <v>0</v>
      </c>
      <c r="AH11" s="59" t="b">
        <f>IF(AF11=1,LOOKUP(AE11,'Meltzer-Faber'!A3:A63,'Meltzer-Faber'!C3:C63))</f>
        <v>0</v>
      </c>
      <c r="AI11" s="59" t="b">
        <f>IF(AD11="m",AG11,IF(AD11="k",AH11,""))</f>
        <v>0</v>
      </c>
      <c r="AJ11" s="60">
        <f>IF(D11="","",IF(D11&gt;193.609,1,IF(D11&lt;32,10^(0.722762521*LOG10(32/193.609)^2),10^(0.722762521*LOG10(D11/193.609)^2))))</f>
        <v>1.2067279175085228</v>
      </c>
    </row>
    <row r="12" spans="1:36" s="39" customFormat="1" ht="20.100000000000001" customHeight="1" x14ac:dyDescent="0.2">
      <c r="B12" s="81"/>
      <c r="C12" s="62"/>
      <c r="D12" s="62"/>
      <c r="E12" s="62"/>
      <c r="F12" s="63"/>
      <c r="G12" s="64"/>
      <c r="H12" s="65"/>
      <c r="I12" s="66"/>
      <c r="J12" s="66"/>
      <c r="K12" s="177"/>
      <c r="L12" s="177"/>
      <c r="M12" s="177"/>
      <c r="N12" s="178"/>
      <c r="O12" s="178"/>
      <c r="P12" s="178"/>
      <c r="Q12" s="68"/>
      <c r="R12" s="62"/>
      <c r="S12" s="177">
        <f>IF(T11="","",T11*1.2)</f>
        <v>192.59377563436024</v>
      </c>
      <c r="T12" s="177"/>
      <c r="U12" s="69"/>
      <c r="V12" s="62">
        <f>IF(V11&gt;0,V11*20,"")</f>
        <v>139.4</v>
      </c>
      <c r="W12" s="62">
        <f>IF(W11="","",(W11*10)*AJ11)</f>
        <v>118.01799033233353</v>
      </c>
      <c r="X12" s="62">
        <f>IF(ROUNDUP(X11,1)&gt;0,IF((80+(8-ROUNDUP(X11,1))*40)&lt;0,0,80+(8-ROUNDUP(X11,1))*40),"")</f>
        <v>96.000000000000014</v>
      </c>
      <c r="Y12" s="67">
        <f>IF(SUM(V12,W12,X12)&gt;0,SUM(V12,W12,X12),"")</f>
        <v>353.41799033233355</v>
      </c>
      <c r="Z12" s="69">
        <f>IF(AE11&gt;34,(IF(OR(S12="",V12="",W12="",X12=""),"",SUM(S12,V12,W12,X12))*AI11),IF(OR(S12="",V12="",W12="",X12=""),"", SUM(S12,V12,W12,X12)))</f>
        <v>546.01176596669382</v>
      </c>
      <c r="AA12" s="69"/>
      <c r="AB12" s="63"/>
      <c r="AC12" s="70"/>
      <c r="AD12" s="2"/>
      <c r="AE12" s="57"/>
      <c r="AF12" s="58"/>
      <c r="AH12" s="59"/>
      <c r="AI12" s="59"/>
      <c r="AJ12" s="60"/>
    </row>
    <row r="13" spans="1:36" s="39" customFormat="1" ht="20.100000000000001" customHeight="1" x14ac:dyDescent="0.2">
      <c r="B13" s="82" t="s">
        <v>117</v>
      </c>
      <c r="C13" s="83" t="s">
        <v>118</v>
      </c>
      <c r="D13" s="84">
        <v>32.549999999999997</v>
      </c>
      <c r="E13" s="83" t="s">
        <v>112</v>
      </c>
      <c r="F13" s="83" t="s">
        <v>56</v>
      </c>
      <c r="G13" s="85">
        <v>41336</v>
      </c>
      <c r="H13" s="86">
        <v>1</v>
      </c>
      <c r="I13" s="87" t="s">
        <v>119</v>
      </c>
      <c r="J13" s="88" t="s">
        <v>53</v>
      </c>
      <c r="K13" s="73">
        <v>15</v>
      </c>
      <c r="L13" s="73">
        <v>-17</v>
      </c>
      <c r="M13" s="73">
        <v>17</v>
      </c>
      <c r="N13" s="73">
        <v>20</v>
      </c>
      <c r="O13" s="73">
        <v>22</v>
      </c>
      <c r="P13" s="73">
        <v>24</v>
      </c>
      <c r="Q13" s="74">
        <f>IF(MAX(K13:M13)&gt;0,IF(MAX(K13:M13)&lt;0,0,TRUNC(MAX(K13:M13)/1)*1),"")</f>
        <v>17</v>
      </c>
      <c r="R13" s="75">
        <f>IF(MAX(N13:P13)&gt;0,IF(MAX(N13:P13)&lt;0,0,TRUNC(MAX(N13:P13)/1)*1),"")</f>
        <v>24</v>
      </c>
      <c r="S13" s="75">
        <f>IF(Q13="","",IF(R13="","",IF(SUM(Q13:R13)=0,"",SUM(Q13:R13))))</f>
        <v>41</v>
      </c>
      <c r="T13" s="76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111.22251137083239</v>
      </c>
      <c r="U13" s="77" t="str">
        <f>IF(AF13=1,T13*AI13,"")</f>
        <v/>
      </c>
      <c r="V13" s="78">
        <v>4.88</v>
      </c>
      <c r="W13" s="78">
        <v>4.43</v>
      </c>
      <c r="X13" s="78">
        <v>7.78</v>
      </c>
      <c r="Y13" s="89"/>
      <c r="Z13" s="77"/>
      <c r="AA13" s="77">
        <v>2</v>
      </c>
      <c r="AB13" s="80" t="s">
        <v>54</v>
      </c>
      <c r="AC13" s="70">
        <f>U5</f>
        <v>46179</v>
      </c>
      <c r="AD13" s="56" t="str">
        <f>IF(ISNUMBER(FIND("M",E13)),"m",IF(ISNUMBER(FIND("K",E13)),"k"))</f>
        <v>m</v>
      </c>
      <c r="AE13" s="57">
        <f>IF(OR(G13="",AC13=""),0,(YEAR(AC13)-YEAR(G13)))</f>
        <v>13</v>
      </c>
      <c r="AF13" s="58">
        <f t="shared" si="0"/>
        <v>0</v>
      </c>
      <c r="AG13" s="39" t="b">
        <f>IF(AF13=1,LOOKUP(AE13,'Meltzer-Faber'!A3:A63,'Meltzer-Faber'!B3:B63))</f>
        <v>0</v>
      </c>
      <c r="AH13" s="59" t="b">
        <f>IF(AF13=1,LOOKUP(AE13,'Meltzer-Faber'!A3:A63,'Meltzer-Faber'!C3:C63))</f>
        <v>0</v>
      </c>
      <c r="AI13" s="59" t="b">
        <f t="shared" ref="AI13:AI23" si="1">IF(AD13="m",AG13,IF(AD13="k",AH13,""))</f>
        <v>0</v>
      </c>
      <c r="AJ13" s="60">
        <f>IF(D13="","",IF(D13&gt;193.609,1,IF(D13&lt;32,10^(0.722762521*LOG10(32/193.609)^2),10^(0.722762521*LOG10(D13/193.609)^2))))</f>
        <v>2.7127441797763998</v>
      </c>
    </row>
    <row r="14" spans="1:36" s="39" customFormat="1" ht="20.100000000000001" customHeight="1" x14ac:dyDescent="0.2">
      <c r="B14" s="81"/>
      <c r="C14" s="62"/>
      <c r="D14" s="62"/>
      <c r="E14" s="62"/>
      <c r="F14" s="63"/>
      <c r="G14" s="64"/>
      <c r="H14" s="65"/>
      <c r="I14" s="66"/>
      <c r="J14" s="66"/>
      <c r="K14" s="177"/>
      <c r="L14" s="177"/>
      <c r="M14" s="177"/>
      <c r="N14" s="178"/>
      <c r="O14" s="178"/>
      <c r="P14" s="178"/>
      <c r="Q14" s="68"/>
      <c r="R14" s="62"/>
      <c r="S14" s="177">
        <f>IF(T13="","",T13*1.2)</f>
        <v>133.46701364499887</v>
      </c>
      <c r="T14" s="177"/>
      <c r="U14" s="62"/>
      <c r="V14" s="62">
        <f>IF(V13&gt;0,V13*20,"")</f>
        <v>97.6</v>
      </c>
      <c r="W14" s="62">
        <f>IF(W13="","",(W13*10)*AJ13)</f>
        <v>120.1745671640945</v>
      </c>
      <c r="X14" s="62">
        <f>IF(ROUNDUP(X13,1)&gt;0,IF((80+(8-ROUNDUP(X13,1))*40)&lt;0,0,80+(8-ROUNDUP(X13,1))*40),"")</f>
        <v>88</v>
      </c>
      <c r="Y14" s="67">
        <f>IF(SUM(V14,W14,X14)&gt;0,SUM(V14,W14,X14),"")</f>
        <v>305.77456716409449</v>
      </c>
      <c r="Z14" s="69">
        <f>IF(AE13&gt;34,(IF(OR(S14="",V14="",W14="",X14=""),"",SUM(S14,V14,W14,X14))*AI13),IF(OR(S14="",V14="",W14="",X14=""),"", SUM(S14,V14,W14,X14)))</f>
        <v>439.24158080909336</v>
      </c>
      <c r="AA14" s="69"/>
      <c r="AB14" s="63"/>
      <c r="AC14" s="70"/>
      <c r="AD14" s="2"/>
      <c r="AE14" s="57"/>
      <c r="AF14" s="58"/>
      <c r="AH14" s="59"/>
      <c r="AI14" s="59"/>
      <c r="AJ14" s="60"/>
    </row>
    <row r="15" spans="1:36" s="39" customFormat="1" ht="20.100000000000001" customHeight="1" x14ac:dyDescent="0.2">
      <c r="B15" s="82" t="s">
        <v>120</v>
      </c>
      <c r="C15" s="83" t="s">
        <v>118</v>
      </c>
      <c r="D15" s="84">
        <v>54.61</v>
      </c>
      <c r="E15" s="83" t="s">
        <v>112</v>
      </c>
      <c r="F15" s="83" t="s">
        <v>121</v>
      </c>
      <c r="G15" s="85">
        <v>40698</v>
      </c>
      <c r="H15" s="86">
        <v>2</v>
      </c>
      <c r="I15" s="87" t="s">
        <v>122</v>
      </c>
      <c r="J15" s="88" t="s">
        <v>75</v>
      </c>
      <c r="K15" s="73">
        <v>37</v>
      </c>
      <c r="L15" s="73">
        <v>41</v>
      </c>
      <c r="M15" s="73">
        <v>43</v>
      </c>
      <c r="N15" s="73">
        <v>46</v>
      </c>
      <c r="O15" s="73">
        <v>50</v>
      </c>
      <c r="P15" s="73">
        <v>-52</v>
      </c>
      <c r="Q15" s="74">
        <f>IF(MAX(K15:M15)&gt;0,IF(MAX(K15:M15)&lt;0,0,TRUNC(MAX(K15:M15)/1)*1),"")</f>
        <v>43</v>
      </c>
      <c r="R15" s="75">
        <f>IF(MAX(N15:P15)&gt;0,IF(MAX(N15:P15)&lt;0,0,TRUNC(MAX(N15:P15)/1)*1),"")</f>
        <v>50</v>
      </c>
      <c r="S15" s="75">
        <f>IF(Q15="","",IF(R15="","",IF(SUM(Q15:R15)=0,"",SUM(Q15:R15))))</f>
        <v>93</v>
      </c>
      <c r="T15" s="76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153.75990781762741</v>
      </c>
      <c r="U15" s="77" t="str">
        <f>IF(AF15=1,T15*AI15,"")</f>
        <v/>
      </c>
      <c r="V15" s="78">
        <v>6.45</v>
      </c>
      <c r="W15" s="78">
        <v>6.53</v>
      </c>
      <c r="X15" s="78">
        <v>7.12</v>
      </c>
      <c r="Y15" s="79"/>
      <c r="Z15" s="77"/>
      <c r="AA15" s="77">
        <v>1</v>
      </c>
      <c r="AB15" s="80" t="s">
        <v>54</v>
      </c>
      <c r="AC15" s="70">
        <f>U5</f>
        <v>46179</v>
      </c>
      <c r="AD15" s="56" t="str">
        <f>IF(ISNUMBER(FIND("M",E15)),"m",IF(ISNUMBER(FIND("K",E15)),"k"))</f>
        <v>m</v>
      </c>
      <c r="AE15" s="57">
        <f>IF(OR(G15="",AC15=""),0,(YEAR(AC15)-YEAR(G15)))</f>
        <v>15</v>
      </c>
      <c r="AF15" s="58">
        <f t="shared" si="0"/>
        <v>0</v>
      </c>
      <c r="AG15" s="39" t="b">
        <f>IF(AF15=1,LOOKUP(AE15,'Meltzer-Faber'!A3:A63,'Meltzer-Faber'!B3:B63))</f>
        <v>0</v>
      </c>
      <c r="AH15" s="59" t="b">
        <f>IF(AF15=1,LOOKUP(AE15,'Meltzer-Faber'!A3:A63,'Meltzer-Faber'!C3:C63))</f>
        <v>0</v>
      </c>
      <c r="AI15" s="59" t="b">
        <f t="shared" si="1"/>
        <v>0</v>
      </c>
      <c r="AJ15" s="60">
        <f>IF(D15="","",IF(D15&gt;193.609,1,IF(D15&lt;32,10^(0.722762521*LOG10(32/193.609)^2),10^(0.722762521*LOG10(D15/193.609)^2))))</f>
        <v>1.6533323421250259</v>
      </c>
    </row>
    <row r="16" spans="1:36" s="39" customFormat="1" ht="20.100000000000001" customHeight="1" x14ac:dyDescent="0.2">
      <c r="B16" s="81"/>
      <c r="C16" s="62"/>
      <c r="D16" s="62"/>
      <c r="E16" s="62"/>
      <c r="F16" s="63"/>
      <c r="G16" s="64"/>
      <c r="H16" s="65"/>
      <c r="I16" s="66"/>
      <c r="J16" s="66"/>
      <c r="K16" s="177"/>
      <c r="L16" s="177"/>
      <c r="M16" s="177"/>
      <c r="N16" s="178"/>
      <c r="O16" s="178"/>
      <c r="P16" s="178"/>
      <c r="Q16" s="90"/>
      <c r="R16" s="91"/>
      <c r="S16" s="177">
        <f>IF(T15="","",T15*1.2)</f>
        <v>184.51188938115288</v>
      </c>
      <c r="T16" s="177"/>
      <c r="U16" s="62"/>
      <c r="V16" s="62">
        <f>IF(V15&gt;0,V15*20,"")</f>
        <v>129</v>
      </c>
      <c r="W16" s="62">
        <f>IF(W15="","",(W15*10)*AJ15)</f>
        <v>107.96260194076419</v>
      </c>
      <c r="X16" s="62">
        <f>IF(ROUNDUP(X15,1)&gt;0,IF((80+(8-ROUNDUP(X15,1))*40)&lt;0,0,80+(8-ROUNDUP(X15,1))*40),"")</f>
        <v>112.00000000000003</v>
      </c>
      <c r="Y16" s="67">
        <f>IF(SUM(V16,W16,X16)&gt;0,SUM(V16,W16,X16),"")</f>
        <v>348.96260194076422</v>
      </c>
      <c r="Z16" s="69">
        <f>IF(AE15&gt;34,(IF(OR(S16="",V16="",W16="",X16=""),"",SUM(S16,V16,W16,X16))*AI15),IF(OR(S16="",V16="",W16="",X16=""),"", SUM(S16,V16,W16,X16)))</f>
        <v>533.47449132191707</v>
      </c>
      <c r="AA16" s="69"/>
      <c r="AB16" s="63"/>
      <c r="AC16" s="70"/>
      <c r="AD16" s="2"/>
      <c r="AE16" s="57"/>
      <c r="AF16" s="58"/>
      <c r="AH16" s="59"/>
      <c r="AI16" s="59"/>
      <c r="AJ16" s="60"/>
    </row>
    <row r="17" spans="2:36" s="39" customFormat="1" ht="20.100000000000001" customHeight="1" x14ac:dyDescent="0.25">
      <c r="B17" s="82" t="s">
        <v>123</v>
      </c>
      <c r="C17" s="83" t="s">
        <v>124</v>
      </c>
      <c r="D17" s="84">
        <v>102.85</v>
      </c>
      <c r="E17" s="83" t="s">
        <v>125</v>
      </c>
      <c r="F17" s="83" t="s">
        <v>73</v>
      </c>
      <c r="G17" s="85">
        <v>37993</v>
      </c>
      <c r="H17" s="86">
        <v>8</v>
      </c>
      <c r="I17" s="92" t="s">
        <v>126</v>
      </c>
      <c r="J17" s="88" t="s">
        <v>75</v>
      </c>
      <c r="K17" s="73">
        <v>125</v>
      </c>
      <c r="L17" s="73">
        <v>-129</v>
      </c>
      <c r="M17" s="73">
        <v>129</v>
      </c>
      <c r="N17" s="73">
        <v>145</v>
      </c>
      <c r="O17" s="73">
        <v>-153</v>
      </c>
      <c r="P17" s="73">
        <v>-153</v>
      </c>
      <c r="Q17" s="74">
        <f>IF(MAX(K17:M17)&gt;0,IF(MAX(K17:M17)&lt;0,0,TRUNC(MAX(K17:M17)/1)*1),"")</f>
        <v>129</v>
      </c>
      <c r="R17" s="75">
        <f>IF(MAX(N17:P17)&gt;0,IF(MAX(N17:P17)&lt;0,0,TRUNC(MAX(N17:P17)/1)*1),"")</f>
        <v>145</v>
      </c>
      <c r="S17" s="86">
        <f>IF(Q17="","",IF(R17="","",IF(SUM(Q17:R17)=0,"",SUM(Q17:R17))))</f>
        <v>274</v>
      </c>
      <c r="T17" s="76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310.66957580508029</v>
      </c>
      <c r="U17" s="77" t="str">
        <f>IF(AF17=1,T17*AI17,"")</f>
        <v/>
      </c>
      <c r="V17" s="78">
        <v>9.02</v>
      </c>
      <c r="W17" s="78">
        <v>13.48</v>
      </c>
      <c r="X17" s="78">
        <v>6.31</v>
      </c>
      <c r="Y17" s="79"/>
      <c r="Z17" s="77"/>
      <c r="AA17" s="77">
        <v>1</v>
      </c>
      <c r="AB17" s="80" t="s">
        <v>54</v>
      </c>
      <c r="AC17" s="70">
        <f>U5</f>
        <v>46179</v>
      </c>
      <c r="AD17" s="56" t="str">
        <f>IF(ISNUMBER(FIND("M",E17)),"m",IF(ISNUMBER(FIND("K",E17)),"k"))</f>
        <v>m</v>
      </c>
      <c r="AE17" s="57">
        <f>IF(OR(G17="",AC17=""),0,(YEAR(AC17)-YEAR(G17)))</f>
        <v>22</v>
      </c>
      <c r="AF17" s="58">
        <f t="shared" si="0"/>
        <v>0</v>
      </c>
      <c r="AG17" s="39" t="b">
        <f>IF(AF17=1,LOOKUP(AE17,'Meltzer-Faber'!A3:A63,'Meltzer-Faber'!B3:B63))</f>
        <v>0</v>
      </c>
      <c r="AH17" s="59" t="b">
        <f>IF(AF17=1,LOOKUP(AE17,'Meltzer-Faber'!A3:A63,'Meltzer-Faber'!C3:C63))</f>
        <v>0</v>
      </c>
      <c r="AI17" s="59" t="b">
        <f t="shared" si="1"/>
        <v>0</v>
      </c>
      <c r="AJ17" s="60">
        <f>IF(D17="","",IF(D17&gt;193.609,1,IF(D17&lt;32,10^(0.722762521*LOG10(32/193.609)^2),10^(0.722762521*LOG10(D17/193.609)^2))))</f>
        <v>1.1338305686316799</v>
      </c>
    </row>
    <row r="18" spans="2:36" s="39" customFormat="1" ht="20.100000000000001" customHeight="1" x14ac:dyDescent="0.2">
      <c r="B18" s="81"/>
      <c r="C18" s="62"/>
      <c r="D18" s="62"/>
      <c r="E18" s="62"/>
      <c r="F18" s="63"/>
      <c r="G18" s="64"/>
      <c r="H18" s="65"/>
      <c r="I18" s="66"/>
      <c r="J18" s="66"/>
      <c r="K18" s="177"/>
      <c r="L18" s="177"/>
      <c r="M18" s="177"/>
      <c r="N18" s="178"/>
      <c r="O18" s="178"/>
      <c r="P18" s="178"/>
      <c r="Q18" s="68"/>
      <c r="R18" s="62"/>
      <c r="S18" s="177">
        <f>IF(T17="","",T17*1.2)</f>
        <v>372.80349096609632</v>
      </c>
      <c r="T18" s="177"/>
      <c r="U18" s="62"/>
      <c r="V18" s="62">
        <f>IF(V17&gt;0,V17*20,"")</f>
        <v>180.39999999999998</v>
      </c>
      <c r="W18" s="62">
        <f>IF(W17="","",(W17*10)*AJ17)</f>
        <v>152.84036065155047</v>
      </c>
      <c r="X18" s="62">
        <f>IF(ROUNDUP(X17,1)&gt;0,IF((80+(8-ROUNDUP(X17,1))*40)&lt;0,0,80+(8-ROUNDUP(X17,1))*40),"")</f>
        <v>144.00000000000003</v>
      </c>
      <c r="Y18" s="67">
        <f>IF(SUM(V18,W18,X18)&gt;0,SUM(V18,W18,X18),"")</f>
        <v>477.24036065155042</v>
      </c>
      <c r="Z18" s="69">
        <f>IF(AE17&gt;34,(IF(OR(S18="",V18="",W18="",X18=""),"",SUM(S18,V18,W18,X18))*AI17),IF(OR(S18="",V18="",W18="",X18=""),"", SUM(S18,V18,W18,X18)))</f>
        <v>850.04385161764674</v>
      </c>
      <c r="AA18" s="69"/>
      <c r="AB18" s="63"/>
      <c r="AC18" s="70"/>
      <c r="AD18" s="2"/>
      <c r="AE18" s="57"/>
      <c r="AF18" s="58"/>
      <c r="AH18" s="59"/>
      <c r="AI18" s="59"/>
      <c r="AJ18" s="60"/>
    </row>
    <row r="19" spans="2:36" s="39" customFormat="1" ht="20.100000000000001" customHeight="1" x14ac:dyDescent="0.25">
      <c r="B19" s="82" t="s">
        <v>96</v>
      </c>
      <c r="C19" s="83" t="s">
        <v>111</v>
      </c>
      <c r="D19" s="84">
        <v>80.010000000000005</v>
      </c>
      <c r="E19" s="83" t="s">
        <v>125</v>
      </c>
      <c r="F19" s="83" t="s">
        <v>127</v>
      </c>
      <c r="G19" s="85">
        <v>35506</v>
      </c>
      <c r="H19" s="86">
        <v>3</v>
      </c>
      <c r="I19" s="92" t="s">
        <v>97</v>
      </c>
      <c r="J19" s="88" t="s">
        <v>98</v>
      </c>
      <c r="K19" s="73">
        <v>85</v>
      </c>
      <c r="L19" s="73">
        <v>90</v>
      </c>
      <c r="M19" s="73">
        <v>95</v>
      </c>
      <c r="N19" s="73">
        <v>117</v>
      </c>
      <c r="O19" s="73">
        <v>123</v>
      </c>
      <c r="P19" s="73">
        <v>130</v>
      </c>
      <c r="Q19" s="74">
        <f>IF(MAX(K19:M19)&gt;0,IF(MAX(K19:M19)&lt;0,0,TRUNC(MAX(K19:M19)/1)*1),"")</f>
        <v>95</v>
      </c>
      <c r="R19" s="75">
        <f>IF(MAX(N19:P19)&gt;0,IF(MAX(N19:P19)&lt;0,0,TRUNC(MAX(N19:P19)/1)*1),"")</f>
        <v>130</v>
      </c>
      <c r="S19" s="86">
        <f>IF(Q19="","",IF(R19="","",IF(SUM(Q19:R19)=0,"",SUM(Q19:R19))))</f>
        <v>225</v>
      </c>
      <c r="T19" s="76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287.49931267830004</v>
      </c>
      <c r="U19" s="77" t="str">
        <f>IF(AF19=1,T19*AI19,"")</f>
        <v/>
      </c>
      <c r="V19" s="78">
        <v>8.41</v>
      </c>
      <c r="W19" s="78">
        <v>13.37</v>
      </c>
      <c r="X19" s="78">
        <v>6.5</v>
      </c>
      <c r="Y19" s="79"/>
      <c r="Z19" s="77"/>
      <c r="AA19" s="77">
        <v>1</v>
      </c>
      <c r="AB19" s="80" t="s">
        <v>54</v>
      </c>
      <c r="AC19" s="70">
        <f>U5</f>
        <v>46179</v>
      </c>
      <c r="AD19" s="56" t="str">
        <f>IF(ISNUMBER(FIND("M",E19)),"m",IF(ISNUMBER(FIND("K",E19)),"k"))</f>
        <v>m</v>
      </c>
      <c r="AE19" s="57">
        <f>IF(OR(G19="",AC19=""),0,(YEAR(AC19)-YEAR(G19)))</f>
        <v>29</v>
      </c>
      <c r="AF19" s="58">
        <f t="shared" si="0"/>
        <v>0</v>
      </c>
      <c r="AG19" s="39" t="b">
        <f>IF(AF19=1,LOOKUP(AE19,'Meltzer-Faber'!A3:A63,'Meltzer-Faber'!B3:B63))</f>
        <v>0</v>
      </c>
      <c r="AH19" s="59" t="b">
        <f>IF(AF19=1,LOOKUP(AE19,'Meltzer-Faber'!A3:A63,'Meltzer-Faber'!C3:C63))</f>
        <v>0</v>
      </c>
      <c r="AI19" s="59" t="b">
        <f t="shared" si="1"/>
        <v>0</v>
      </c>
      <c r="AJ19" s="60">
        <f>IF(D19="","",IF(D19&gt;193.609,1,IF(D19&lt;32,10^(0.722762521*LOG10(32/193.609)^2),10^(0.722762521*LOG10(D19/193.609)^2))))</f>
        <v>1.2777747230146668</v>
      </c>
    </row>
    <row r="20" spans="2:36" s="39" customFormat="1" ht="20.100000000000001" customHeight="1" x14ac:dyDescent="0.2">
      <c r="B20" s="81"/>
      <c r="C20" s="62"/>
      <c r="D20" s="62"/>
      <c r="E20" s="62"/>
      <c r="F20" s="63"/>
      <c r="G20" s="64"/>
      <c r="H20" s="65"/>
      <c r="I20" s="66"/>
      <c r="J20" s="66"/>
      <c r="K20" s="177"/>
      <c r="L20" s="177"/>
      <c r="M20" s="177"/>
      <c r="N20" s="178"/>
      <c r="O20" s="178"/>
      <c r="P20" s="178"/>
      <c r="Q20" s="68"/>
      <c r="R20" s="62"/>
      <c r="S20" s="177">
        <f>IF(T19="","",T19*1.2)</f>
        <v>344.99917521396003</v>
      </c>
      <c r="T20" s="177"/>
      <c r="U20" s="62"/>
      <c r="V20" s="62">
        <f>IF(V19&gt;0,V19*20,"")</f>
        <v>168.2</v>
      </c>
      <c r="W20" s="62">
        <f>IF(W19="","",(W19*10)*AJ19)</f>
        <v>170.83848046706092</v>
      </c>
      <c r="X20" s="62">
        <f>IF(ROUNDUP(X19,1)&gt;0,IF((80+(8-ROUNDUP(X19,1))*40)&lt;0,0,80+(8-ROUNDUP(X19,1))*40),"")</f>
        <v>140</v>
      </c>
      <c r="Y20" s="67">
        <f>IF(SUM(V20,W20,X20)&gt;0,SUM(V20,W20,X20),"")</f>
        <v>479.03848046706094</v>
      </c>
      <c r="Z20" s="69">
        <f>IF(AE19&gt;34,(IF(OR(S20="",V20="",W20="",X20=""),"",SUM(S20,V20,W20,X20))*AI19),IF(OR(S20="",V20="",W20="",X20=""),"", SUM(S20,V20,W20,X20)))</f>
        <v>824.03765568102085</v>
      </c>
      <c r="AA20" s="69"/>
      <c r="AB20" s="63"/>
      <c r="AC20" s="70"/>
      <c r="AD20" s="2"/>
      <c r="AE20" s="57"/>
      <c r="AF20" s="58"/>
      <c r="AH20" s="59"/>
      <c r="AI20" s="59"/>
      <c r="AJ20" s="60"/>
    </row>
    <row r="21" spans="2:36" s="39" customFormat="1" ht="20.100000000000001" customHeight="1" x14ac:dyDescent="0.2">
      <c r="B21" s="82" t="s">
        <v>128</v>
      </c>
      <c r="C21" s="83" t="s">
        <v>129</v>
      </c>
      <c r="D21" s="84">
        <v>137.11000000000001</v>
      </c>
      <c r="E21" s="83" t="s">
        <v>125</v>
      </c>
      <c r="F21" s="83" t="s">
        <v>127</v>
      </c>
      <c r="G21" s="85">
        <v>37350</v>
      </c>
      <c r="H21" s="86">
        <v>10</v>
      </c>
      <c r="I21" s="87" t="s">
        <v>130</v>
      </c>
      <c r="J21" s="88" t="s">
        <v>53</v>
      </c>
      <c r="K21" s="73">
        <v>120</v>
      </c>
      <c r="L21" s="73">
        <v>-124</v>
      </c>
      <c r="M21" s="73">
        <v>-124</v>
      </c>
      <c r="N21" s="73">
        <v>154</v>
      </c>
      <c r="O21" s="73">
        <v>-160</v>
      </c>
      <c r="P21" s="73">
        <v>-160</v>
      </c>
      <c r="Q21" s="74">
        <f>IF(MAX(K21:M21)&gt;0,IF(MAX(K21:M21)&lt;0,0,TRUNC(MAX(K21:M21)/1)*1),"")</f>
        <v>120</v>
      </c>
      <c r="R21" s="75">
        <f>IF(MAX(N21:P21)&gt;0,IF(MAX(N21:P21)&lt;0,0,TRUNC(MAX(N21:P21)/1)*1),"")</f>
        <v>154</v>
      </c>
      <c r="S21" s="86">
        <f>IF(Q21="","",IF(R21="","",IF(SUM(Q21:R21)=0,"",SUM(Q21:R21))))</f>
        <v>274</v>
      </c>
      <c r="T21" s="76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>284.43405985133319</v>
      </c>
      <c r="U21" s="77" t="str">
        <f>IF(AF21=1,T21*AI21,"")</f>
        <v/>
      </c>
      <c r="V21" s="78">
        <v>7.14</v>
      </c>
      <c r="W21" s="78">
        <v>11.77</v>
      </c>
      <c r="X21" s="78">
        <v>7.34</v>
      </c>
      <c r="Y21" s="79"/>
      <c r="Z21" s="77"/>
      <c r="AA21" s="77">
        <v>2</v>
      </c>
      <c r="AB21" s="80" t="s">
        <v>54</v>
      </c>
      <c r="AC21" s="70">
        <f>U5</f>
        <v>46179</v>
      </c>
      <c r="AD21" s="56" t="str">
        <f>IF(ISNUMBER(FIND("M",E21)),"m",IF(ISNUMBER(FIND("K",E21)),"k"))</f>
        <v>m</v>
      </c>
      <c r="AE21" s="57">
        <f>IF(OR(G21="",AC21=""),0,(YEAR(AC21)-YEAR(G21)))</f>
        <v>24</v>
      </c>
      <c r="AF21" s="58">
        <f t="shared" si="0"/>
        <v>0</v>
      </c>
      <c r="AG21" s="39" t="b">
        <f>IF(AF21=1,LOOKUP(AE21,'Meltzer-Faber'!A3:A63,'Meltzer-Faber'!B3:B63))</f>
        <v>0</v>
      </c>
      <c r="AH21" s="59" t="b">
        <f>IF(AF21=1,LOOKUP(AE21,'Meltzer-Faber'!A3:A63,'Meltzer-Faber'!C3:C63))</f>
        <v>0</v>
      </c>
      <c r="AI21" s="59" t="b">
        <f t="shared" si="1"/>
        <v>0</v>
      </c>
      <c r="AJ21" s="60">
        <f>IF(D21="","",IF(D21&gt;193.609,1,IF(D21&lt;32,10^(0.722762521*LOG10(32/193.609)^2),10^(0.722762521*LOG10(D21/193.609)^2))))</f>
        <v>1.0380805104063255</v>
      </c>
    </row>
    <row r="22" spans="2:36" s="39" customFormat="1" ht="20.100000000000001" customHeight="1" x14ac:dyDescent="0.2">
      <c r="B22" s="81"/>
      <c r="C22" s="62"/>
      <c r="D22" s="62"/>
      <c r="E22" s="62"/>
      <c r="F22" s="63"/>
      <c r="G22" s="64"/>
      <c r="H22" s="65"/>
      <c r="I22" s="66"/>
      <c r="J22" s="66"/>
      <c r="K22" s="177"/>
      <c r="L22" s="177"/>
      <c r="M22" s="177"/>
      <c r="N22" s="178"/>
      <c r="O22" s="178"/>
      <c r="P22" s="178"/>
      <c r="Q22" s="68"/>
      <c r="R22" s="62"/>
      <c r="S22" s="177">
        <f>IF(T21="","",T21*1.2)</f>
        <v>341.32087182159984</v>
      </c>
      <c r="T22" s="177"/>
      <c r="U22" s="62"/>
      <c r="V22" s="62">
        <f>IF(V21&gt;0,V21*20,"")</f>
        <v>142.79999999999998</v>
      </c>
      <c r="W22" s="62">
        <f>IF(W21="","",(W21*10)*AJ21)</f>
        <v>122.18207607482451</v>
      </c>
      <c r="X22" s="62">
        <f>IF(ROUNDUP(X21,1)&gt;0,IF((80+(8-ROUNDUP(X21,1))*40)&lt;0,0,80+(8-ROUNDUP(X21,1))*40),"")</f>
        <v>104.00000000000003</v>
      </c>
      <c r="Y22" s="67">
        <f>IF(SUM(V22,W22,X22)&gt;0,SUM(V22,W22,X22),"")</f>
        <v>368.98207607482448</v>
      </c>
      <c r="Z22" s="69">
        <f>IF(AE21&gt;34,(IF(OR(S22="",V22="",W22="",X22=""),"",SUM(S22,V22,W22,X22))*AI21),IF(OR(S22="",V22="",W22="",X22=""),"", SUM(S22,V22,W22,X22)))</f>
        <v>710.30294789642437</v>
      </c>
      <c r="AA22" s="69"/>
      <c r="AB22" s="63"/>
      <c r="AC22" s="70"/>
      <c r="AD22" s="2"/>
      <c r="AE22" s="57"/>
      <c r="AF22" s="58"/>
      <c r="AH22" s="59"/>
      <c r="AI22" s="59"/>
      <c r="AJ22" s="60"/>
    </row>
    <row r="23" spans="2:36" s="39" customFormat="1" ht="20.100000000000001" customHeight="1" x14ac:dyDescent="0.2">
      <c r="B23" s="82" t="s">
        <v>131</v>
      </c>
      <c r="C23" s="83" t="s">
        <v>111</v>
      </c>
      <c r="D23" s="84">
        <v>87.29</v>
      </c>
      <c r="E23" s="83" t="s">
        <v>132</v>
      </c>
      <c r="F23" s="83" t="s">
        <v>133</v>
      </c>
      <c r="G23" s="85">
        <v>28941</v>
      </c>
      <c r="H23" s="86">
        <v>4</v>
      </c>
      <c r="I23" s="87" t="s">
        <v>134</v>
      </c>
      <c r="J23" s="88" t="s">
        <v>98</v>
      </c>
      <c r="K23" s="73">
        <v>70</v>
      </c>
      <c r="L23" s="73">
        <v>74</v>
      </c>
      <c r="M23" s="73">
        <v>80</v>
      </c>
      <c r="N23" s="73">
        <v>90</v>
      </c>
      <c r="O23" s="73">
        <v>95</v>
      </c>
      <c r="P23" s="73">
        <v>100</v>
      </c>
      <c r="Q23" s="74">
        <f>IF(MAX(K23:M23)&gt;0,IF(MAX(K23:M23)&lt;0,0,TRUNC(MAX(K23:M23)/1)*1),"")</f>
        <v>80</v>
      </c>
      <c r="R23" s="75">
        <f>IF(MAX(N23:P23)&gt;0,IF(MAX(N23:P23)&lt;0,0,TRUNC(MAX(N23:P23)/1)*1),"")</f>
        <v>100</v>
      </c>
      <c r="S23" s="86">
        <f>IF(Q23="","",IF(R23="","",IF(SUM(Q23:R23)=0,"",SUM(Q23:R23))))</f>
        <v>180</v>
      </c>
      <c r="T23" s="76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219.67430568321535</v>
      </c>
      <c r="U23" s="77">
        <f>IF(AF23=1,T23*AI23,"")</f>
        <v>270.85841890740454</v>
      </c>
      <c r="V23" s="78">
        <v>7.46</v>
      </c>
      <c r="W23" s="78">
        <v>10.88</v>
      </c>
      <c r="X23" s="78">
        <v>6.85</v>
      </c>
      <c r="Y23" s="79"/>
      <c r="Z23" s="77"/>
      <c r="AA23" s="77">
        <v>1</v>
      </c>
      <c r="AB23" s="80" t="s">
        <v>54</v>
      </c>
      <c r="AC23" s="70">
        <f>U5</f>
        <v>46179</v>
      </c>
      <c r="AD23" s="56" t="str">
        <f>IF(ISNUMBER(FIND("M",E23)),"m",IF(ISNUMBER(FIND("K",E23)),"k"))</f>
        <v>m</v>
      </c>
      <c r="AE23" s="93">
        <f>IF(OR(G23="",AC23=""),0,(YEAR(AC23)-YEAR(G23)))</f>
        <v>47</v>
      </c>
      <c r="AF23" s="58">
        <f t="shared" si="0"/>
        <v>1</v>
      </c>
      <c r="AG23" s="39">
        <f>IF(AF23=1,LOOKUP(AE23,'Meltzer-Faber'!A3:A63,'Meltzer-Faber'!B3:B63))</f>
        <v>1.2330000000000001</v>
      </c>
      <c r="AH23" s="59">
        <f>IF(AF23=1,LOOKUP(AE23,'Meltzer-Faber'!A3:A63,'Meltzer-Faber'!C3:C63))</f>
        <v>1.2649999999999999</v>
      </c>
      <c r="AI23" s="59">
        <f t="shared" si="1"/>
        <v>1.2330000000000001</v>
      </c>
      <c r="AJ23" s="60">
        <f>IF(D23="","",IF(D23&gt;193.609,1,IF(D23&lt;32,10^(0.722762521*LOG10(32/193.609)^2),10^(0.722762521*LOG10(D23/193.609)^2))))</f>
        <v>1.2204128093511963</v>
      </c>
    </row>
    <row r="24" spans="2:36" s="39" customFormat="1" ht="20.100000000000001" customHeight="1" x14ac:dyDescent="0.2">
      <c r="B24" s="81"/>
      <c r="C24" s="62"/>
      <c r="D24" s="62"/>
      <c r="E24" s="62"/>
      <c r="F24" s="63"/>
      <c r="G24" s="64"/>
      <c r="H24" s="65"/>
      <c r="I24" s="66"/>
      <c r="J24" s="66"/>
      <c r="K24" s="177"/>
      <c r="L24" s="177"/>
      <c r="M24" s="177"/>
      <c r="N24" s="178"/>
      <c r="O24" s="178"/>
      <c r="P24" s="178"/>
      <c r="Q24" s="68"/>
      <c r="R24" s="62"/>
      <c r="S24" s="177">
        <f>IF(T23="","",T23*1.2)</f>
        <v>263.60916681985839</v>
      </c>
      <c r="T24" s="177"/>
      <c r="U24" s="62"/>
      <c r="V24" s="62">
        <f>IF(V23&gt;0,V23*20,"")</f>
        <v>149.19999999999999</v>
      </c>
      <c r="W24" s="62">
        <f>IF(W23="","",(W23*10)*AJ23)</f>
        <v>132.78091365741017</v>
      </c>
      <c r="X24" s="62">
        <f>IF(ROUNDUP(X23,1)&gt;0,IF((80+(8-ROUNDUP(X23,1))*40)&lt;0,0,80+(8-ROUNDUP(X23,1))*40),"")</f>
        <v>124.00000000000003</v>
      </c>
      <c r="Y24" s="67">
        <f>IF(SUM(V24,W24,X24)&gt;0,SUM(V24,W24,X24),"")</f>
        <v>405.98091365741016</v>
      </c>
      <c r="Z24" s="69">
        <f>IF(AE23&gt;34,(IF(OR(S24="",V24="",W24="",X24=""),"",SUM(S24,V24,W24,X24))*AI23),IF(OR(S24="",V24="",W24="",X24=""),"", SUM(S24,V24,W24,X24)))</f>
        <v>825.6045692284722</v>
      </c>
      <c r="AA24" s="69"/>
      <c r="AB24" s="63"/>
      <c r="AC24" s="70"/>
      <c r="AD24" s="2"/>
      <c r="AE24" s="57"/>
      <c r="AF24" s="58"/>
      <c r="AH24" s="59"/>
      <c r="AI24" s="59"/>
      <c r="AJ24" s="60"/>
    </row>
    <row r="25" spans="2:36" s="39" customFormat="1" ht="20.100000000000001" customHeight="1" x14ac:dyDescent="0.2">
      <c r="B25" s="82" t="s">
        <v>135</v>
      </c>
      <c r="C25" s="83" t="s">
        <v>111</v>
      </c>
      <c r="D25" s="84">
        <v>84.89</v>
      </c>
      <c r="E25" s="83" t="s">
        <v>136</v>
      </c>
      <c r="F25" s="83" t="s">
        <v>133</v>
      </c>
      <c r="G25" s="85">
        <v>26669</v>
      </c>
      <c r="H25" s="86">
        <v>6</v>
      </c>
      <c r="I25" s="87" t="s">
        <v>137</v>
      </c>
      <c r="J25" s="88" t="s">
        <v>75</v>
      </c>
      <c r="K25" s="73">
        <v>50</v>
      </c>
      <c r="L25" s="73">
        <v>55</v>
      </c>
      <c r="M25" s="73">
        <v>-60</v>
      </c>
      <c r="N25" s="73">
        <v>73</v>
      </c>
      <c r="O25" s="73">
        <v>78</v>
      </c>
      <c r="P25" s="73">
        <v>81</v>
      </c>
      <c r="Q25" s="74">
        <f>IF(MAX(K25:M25)&gt;0,IF(MAX(K25:M25)&lt;0,0,TRUNC(MAX(K25:M25)/1)*1),"")</f>
        <v>55</v>
      </c>
      <c r="R25" s="75">
        <f>IF(MAX(N25:P25)&gt;0,IF(MAX(N25:P25)&lt;0,0,TRUNC(MAX(N25:P25)/1)*1),"")</f>
        <v>81</v>
      </c>
      <c r="S25" s="86">
        <f>IF(Q25="","",IF(R25="","",IF(SUM(Q25:R25)=0,"",SUM(Q25:R25))))</f>
        <v>136</v>
      </c>
      <c r="T25" s="76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168.34753402494493</v>
      </c>
      <c r="U25" s="77">
        <f>IF(AF25=1,T25*AI25,"")</f>
        <v>225.24900052537635</v>
      </c>
      <c r="V25" s="78">
        <v>6.26</v>
      </c>
      <c r="W25" s="78">
        <v>8.85</v>
      </c>
      <c r="X25" s="78">
        <v>8.16</v>
      </c>
      <c r="Y25" s="79"/>
      <c r="Z25" s="77"/>
      <c r="AA25" s="77">
        <v>2</v>
      </c>
      <c r="AB25" s="80" t="s">
        <v>54</v>
      </c>
      <c r="AC25" s="70">
        <f>U5</f>
        <v>46179</v>
      </c>
      <c r="AD25" s="56" t="str">
        <f>IF(ISNUMBER(FIND("M",E25)),"m",IF(ISNUMBER(FIND("K",E25)),"k"))</f>
        <v>m</v>
      </c>
      <c r="AE25" s="93">
        <f>IF(OR(G25="",AC25=""),0,(YEAR(AC25)-YEAR(G25)))</f>
        <v>53</v>
      </c>
      <c r="AF25" s="58">
        <f t="shared" ref="AF25" si="2">IF(AE25&gt;34,1,0)</f>
        <v>1</v>
      </c>
      <c r="AG25" s="39">
        <f>IF(AF25=1,LOOKUP(AE25,'Meltzer-Faber'!A3:A63,'Meltzer-Faber'!B3:B63))</f>
        <v>1.3380000000000001</v>
      </c>
      <c r="AH25" s="59">
        <f>IF(AF25=1,LOOKUP(AE25,'Meltzer-Faber'!A3:A63,'Meltzer-Faber'!C3:C63))</f>
        <v>1.4350000000000001</v>
      </c>
      <c r="AI25" s="59">
        <f t="shared" ref="AI25" si="3">IF(AD25="m",AG25,IF(AD25="k",AH25,""))</f>
        <v>1.3380000000000001</v>
      </c>
      <c r="AJ25" s="60">
        <f>IF(D25="","",IF(D25&gt;193.609,1,IF(D25&lt;32,10^(0.722762521*LOG10(32/193.609)^2),10^(0.722762521*LOG10(D25/193.609)^2))))</f>
        <v>1.237849514889301</v>
      </c>
    </row>
    <row r="26" spans="2:36" s="39" customFormat="1" ht="20.100000000000001" customHeight="1" x14ac:dyDescent="0.2">
      <c r="B26" s="81"/>
      <c r="C26" s="62"/>
      <c r="D26" s="62"/>
      <c r="E26" s="62"/>
      <c r="F26" s="63"/>
      <c r="G26" s="64"/>
      <c r="H26" s="65"/>
      <c r="I26" s="66"/>
      <c r="J26" s="66"/>
      <c r="K26" s="177"/>
      <c r="L26" s="177"/>
      <c r="M26" s="177"/>
      <c r="N26" s="178"/>
      <c r="O26" s="178"/>
      <c r="P26" s="178"/>
      <c r="Q26" s="68"/>
      <c r="R26" s="62"/>
      <c r="S26" s="177">
        <f>IF(T25="","",T25*1.2)</f>
        <v>202.0170408299339</v>
      </c>
      <c r="T26" s="177"/>
      <c r="U26" s="62"/>
      <c r="V26" s="62">
        <f>IF(V25&gt;0,V25*20,"")</f>
        <v>125.19999999999999</v>
      </c>
      <c r="W26" s="62">
        <f>IF(W25="","",(W25*10)*AJ25)</f>
        <v>109.54968206770313</v>
      </c>
      <c r="X26" s="62">
        <f>IF(ROUNDUP(X25,1)&gt;0,IF((80+(8-ROUNDUP(X25,1))*40)&lt;0,0,80+(8-ROUNDUP(X25,1))*40),"")</f>
        <v>72.000000000000028</v>
      </c>
      <c r="Y26" s="67">
        <f>IF(SUM(V26,W26,X26)&gt;0,SUM(V26,W26,X26),"")</f>
        <v>306.74968206770313</v>
      </c>
      <c r="Z26" s="69">
        <f>IF(AE25&gt;34,(IF(OR(S26="",V26="",W26="",X26=""),"",SUM(S26,V26,W26,X26))*AI25),IF(OR(S26="",V26="",W26="",X26=""),"", SUM(S26,V26,W26,X26)))</f>
        <v>680.72987523703853</v>
      </c>
      <c r="AA26" s="69"/>
      <c r="AB26" s="63"/>
      <c r="AC26" s="70"/>
      <c r="AD26" s="2"/>
      <c r="AE26" s="57"/>
      <c r="AF26" s="58"/>
      <c r="AH26" s="59"/>
      <c r="AI26" s="59"/>
      <c r="AJ26" s="60"/>
    </row>
    <row r="27" spans="2:36" s="39" customFormat="1" ht="20.100000000000001" customHeight="1" x14ac:dyDescent="0.2">
      <c r="B27" s="82" t="s">
        <v>138</v>
      </c>
      <c r="C27" s="94" t="s">
        <v>129</v>
      </c>
      <c r="D27" s="84">
        <v>110.31</v>
      </c>
      <c r="E27" s="95" t="s">
        <v>139</v>
      </c>
      <c r="F27" s="96" t="s">
        <v>133</v>
      </c>
      <c r="G27" s="85">
        <v>33559</v>
      </c>
      <c r="H27" s="83">
        <v>9</v>
      </c>
      <c r="I27" s="88" t="s">
        <v>140</v>
      </c>
      <c r="J27" s="88" t="s">
        <v>53</v>
      </c>
      <c r="K27" s="97">
        <v>121</v>
      </c>
      <c r="L27" s="98">
        <v>-125</v>
      </c>
      <c r="M27" s="98">
        <v>-125</v>
      </c>
      <c r="N27" s="98">
        <v>145</v>
      </c>
      <c r="O27" s="99">
        <v>150</v>
      </c>
      <c r="P27" s="99">
        <v>-159</v>
      </c>
      <c r="Q27" s="74">
        <f>IF(MAX(K27:M27)&gt;0,IF(MAX(K27:M27)&lt;0,0,TRUNC(MAX(K27:M27)/1)*1),"")</f>
        <v>121</v>
      </c>
      <c r="R27" s="75">
        <f>IF(MAX(N27:P27)&gt;0,IF(MAX(N27:P27)&lt;0,0,TRUNC(MAX(N27:P27)/1)*1),"")</f>
        <v>150</v>
      </c>
      <c r="S27" s="86">
        <f>IF(Q27="","",IF(R27="","",IF(SUM(Q27:R27)=0,"",SUM(Q27:R27))))</f>
        <v>271</v>
      </c>
      <c r="T27" s="76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>299.30179497311769</v>
      </c>
      <c r="U27" s="77">
        <f>IF(AF27=1,T27*AI27,"")</f>
        <v>320.85152421118221</v>
      </c>
      <c r="V27" s="100"/>
      <c r="W27" s="100"/>
      <c r="X27" s="101"/>
      <c r="Y27" s="79"/>
      <c r="Z27" s="77"/>
      <c r="AA27" s="77">
        <v>3</v>
      </c>
      <c r="AB27" s="80" t="s">
        <v>54</v>
      </c>
      <c r="AC27" s="70">
        <f>U5</f>
        <v>46179</v>
      </c>
      <c r="AD27" s="56" t="str">
        <f>IF(ISNUMBER(FIND("M",E27)),"m",IF(ISNUMBER(FIND("K",E27)),"k"))</f>
        <v>m</v>
      </c>
      <c r="AE27" s="93">
        <f>IF(OR(G27="",AC27=""),0,(YEAR(AC27)-YEAR(G27)))</f>
        <v>35</v>
      </c>
      <c r="AF27" s="58">
        <f t="shared" ref="AF27" si="4">IF(AE27&gt;34,1,0)</f>
        <v>1</v>
      </c>
      <c r="AG27" s="39">
        <f>IF(AF27=1,LOOKUP(AE27,'Meltzer-Faber'!A3:A63,'Meltzer-Faber'!B3:B63))</f>
        <v>1.0720000000000001</v>
      </c>
      <c r="AH27" s="59">
        <f>IF(AF27=1,LOOKUP(AE27,'Meltzer-Faber'!A3:A63,'Meltzer-Faber'!C3:C63))</f>
        <v>1.0720000000000001</v>
      </c>
      <c r="AI27" s="59">
        <f t="shared" ref="AI27" si="5">IF(AD27="m",AG27,IF(AD27="k",AH27,""))</f>
        <v>1.0720000000000001</v>
      </c>
      <c r="AJ27" s="60">
        <f>IF(D27="","",IF(D27&gt;193.609,1,IF(D27&lt;32,10^(0.722762521*LOG10(32/193.609)^2),10^(0.722762521*LOG10(D27/193.609)^2))))</f>
        <v>1.1044346677974823</v>
      </c>
    </row>
    <row r="28" spans="2:36" s="39" customFormat="1" ht="20.100000000000001" customHeight="1" x14ac:dyDescent="0.2">
      <c r="B28" s="81"/>
      <c r="C28" s="102"/>
      <c r="D28" s="62"/>
      <c r="E28" s="63"/>
      <c r="F28" s="63"/>
      <c r="G28" s="103"/>
      <c r="H28" s="64"/>
      <c r="I28" s="66"/>
      <c r="J28" s="66"/>
      <c r="K28" s="178"/>
      <c r="L28" s="178"/>
      <c r="M28" s="178"/>
      <c r="N28" s="178"/>
      <c r="O28" s="178"/>
      <c r="P28" s="178"/>
      <c r="Q28" s="68"/>
      <c r="R28" s="62"/>
      <c r="S28" s="177">
        <f>IF(T27="","",T27*1.2)</f>
        <v>359.16215396774123</v>
      </c>
      <c r="T28" s="177"/>
      <c r="U28" s="62"/>
      <c r="V28" s="62" t="str">
        <f>IF(V27&gt;0,V27*20,"")</f>
        <v/>
      </c>
      <c r="W28" s="62" t="str">
        <f>IF(W27="","",(W27*10)*AJ27)</f>
        <v/>
      </c>
      <c r="X28" s="62" t="str">
        <f>IF(ROUNDUP(X27,1)&gt;0,IF((80+(8-ROUNDUP(X27,1))*40)&lt;0,0,80+(8-ROUNDUP(X27,1))*40),"")</f>
        <v/>
      </c>
      <c r="Y28" s="67" t="str">
        <f>IF(SUM(V28,W28,X28)&gt;0,SUM(V28,W28,X28),"")</f>
        <v/>
      </c>
      <c r="Z28" s="69" t="e">
        <f>IF(AE27&gt;34,(IF(OR(S28="",V28="",W28="",X28=""),"",SUM(S28,V28,W28,X28))*AI27),IF(OR(S28="",V28="",W28="",X28=""),"", SUM(S28,V28,W28,X28)))</f>
        <v>#VALUE!</v>
      </c>
      <c r="AA28" s="69"/>
      <c r="AB28" s="63"/>
      <c r="AC28" s="70"/>
      <c r="AD28" s="2"/>
      <c r="AE28" s="57"/>
      <c r="AF28" s="58"/>
      <c r="AH28" s="59"/>
      <c r="AI28" s="59"/>
      <c r="AJ28" s="60"/>
    </row>
    <row r="29" spans="2:36" s="39" customFormat="1" ht="20.100000000000001" customHeight="1" x14ac:dyDescent="0.2">
      <c r="B29" s="82"/>
      <c r="C29" s="94"/>
      <c r="D29" s="84"/>
      <c r="E29" s="95"/>
      <c r="F29" s="96"/>
      <c r="G29" s="85"/>
      <c r="H29" s="83"/>
      <c r="I29" s="88"/>
      <c r="J29" s="88"/>
      <c r="K29" s="97"/>
      <c r="L29" s="98"/>
      <c r="M29" s="98"/>
      <c r="N29" s="98"/>
      <c r="O29" s="99"/>
      <c r="P29" s="99"/>
      <c r="Q29" s="74" t="str">
        <f>IF(MAX(K29:M29)&gt;0,IF(MAX(K29:M29)&lt;0,0,TRUNC(MAX(K29:M29)/1)*1),"")</f>
        <v/>
      </c>
      <c r="R29" s="75" t="str">
        <f>IF(MAX(N29:P29)&gt;0,IF(MAX(N29:P29)&lt;0,0,TRUNC(MAX(N29:P29)/1)*1),"")</f>
        <v/>
      </c>
      <c r="S29" s="86" t="str">
        <f>IF(Q29="","",IF(R29="","",IF(SUM(Q29:R29)=0,"",SUM(Q29:R29))))</f>
        <v/>
      </c>
      <c r="T29" s="76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77" t="str">
        <f>IF(AF29=1,T29*AI29,"")</f>
        <v/>
      </c>
      <c r="V29" s="78"/>
      <c r="W29" s="78"/>
      <c r="X29" s="78"/>
      <c r="Y29" s="79"/>
      <c r="Z29" s="77"/>
      <c r="AA29" s="77"/>
      <c r="AB29" s="80"/>
      <c r="AC29" s="70">
        <f>U5</f>
        <v>46179</v>
      </c>
      <c r="AD29" s="56" t="b">
        <f>IF(ISNUMBER(FIND("M",E29)),"m",IF(ISNUMBER(FIND("K",E29)),"k"))</f>
        <v>0</v>
      </c>
      <c r="AE29" s="93">
        <f>IF(OR(G29="",AC29=""),0,(YEAR(AC29)-YEAR(G29)))</f>
        <v>0</v>
      </c>
      <c r="AF29" s="58">
        <f t="shared" ref="AF29" si="6">IF(AE29&gt;34,1,0)</f>
        <v>0</v>
      </c>
      <c r="AG29" s="39" t="b">
        <f>IF(AF29=1,LOOKUP(AE29,'Meltzer-Faber'!A3:A63,'Meltzer-Faber'!B3:B63))</f>
        <v>0</v>
      </c>
      <c r="AH29" s="59" t="b">
        <f>IF(AF29=1,LOOKUP(AE29,'Meltzer-Faber'!A3:A63,'Meltzer-Faber'!C3:C63))</f>
        <v>0</v>
      </c>
      <c r="AI29" s="59" t="str">
        <f t="shared" ref="AI29" si="7">IF(AD29="m",AG29,IF(AD29="k",AH29,""))</f>
        <v/>
      </c>
      <c r="AJ29" s="60" t="str">
        <f>IF(D29="","",IF(D29&gt;193.609,1,IF(D29&lt;32,10^(0.722762521*LOG10(32/193.609)^2),10^(0.722762521*LOG10(D29/193.609)^2))))</f>
        <v/>
      </c>
    </row>
    <row r="30" spans="2:36" s="39" customFormat="1" ht="20.100000000000001" customHeight="1" x14ac:dyDescent="0.2">
      <c r="B30" s="81"/>
      <c r="C30" s="102"/>
      <c r="D30" s="62"/>
      <c r="E30" s="63"/>
      <c r="F30" s="63"/>
      <c r="G30" s="103"/>
      <c r="H30" s="64"/>
      <c r="I30" s="66"/>
      <c r="J30" s="66"/>
      <c r="K30" s="178"/>
      <c r="L30" s="178"/>
      <c r="M30" s="178"/>
      <c r="N30" s="178"/>
      <c r="O30" s="178"/>
      <c r="P30" s="178"/>
      <c r="Q30" s="68"/>
      <c r="R30" s="62"/>
      <c r="S30" s="177" t="str">
        <f>IF(T29="","",T29*1.2)</f>
        <v/>
      </c>
      <c r="T30" s="177"/>
      <c r="U30" s="62"/>
      <c r="V30" s="62"/>
      <c r="W30" s="62"/>
      <c r="X30" s="62"/>
      <c r="Y30" s="67" t="str">
        <f>IF(SUM(V30,W30,X30)&gt;0,SUM(V30,W30,X30),"")</f>
        <v/>
      </c>
      <c r="Z30" s="69" t="str">
        <f>IF(AE29&gt;34,(IF(OR(S30="",V30="",W30="",X30=""),"",SUM(S30,V30,W30,X30))*AI29),IF(OR(S30="",V30="",W30="",X30=""),"", SUM(S30,V30,W30,X30)))</f>
        <v/>
      </c>
      <c r="AA30" s="69"/>
      <c r="AB30" s="63"/>
      <c r="AC30" s="70"/>
      <c r="AD30" s="2"/>
      <c r="AE30" s="57"/>
      <c r="AF30" s="58"/>
      <c r="AH30" s="59"/>
      <c r="AI30" s="59"/>
      <c r="AJ30" s="60"/>
    </row>
    <row r="31" spans="2:36" s="39" customFormat="1" ht="20.100000000000001" customHeight="1" x14ac:dyDescent="0.2">
      <c r="B31" s="82"/>
      <c r="C31" s="94"/>
      <c r="D31" s="84"/>
      <c r="E31" s="95"/>
      <c r="F31" s="96"/>
      <c r="G31" s="85"/>
      <c r="H31" s="83"/>
      <c r="I31" s="88"/>
      <c r="J31" s="88"/>
      <c r="K31" s="97"/>
      <c r="L31" s="98"/>
      <c r="M31" s="98"/>
      <c r="N31" s="98"/>
      <c r="O31" s="99"/>
      <c r="P31" s="99"/>
      <c r="Q31" s="74" t="str">
        <f>IF(MAX(K31:M31)&gt;0,IF(MAX(K31:M31)&lt;0,0,TRUNC(MAX(K31:M31)/1)*1),"")</f>
        <v/>
      </c>
      <c r="R31" s="75" t="str">
        <f>IF(MAX(N31:P31)&gt;0,IF(MAX(N31:P31)&lt;0,0,TRUNC(MAX(N31:P31)/1)*1),"")</f>
        <v/>
      </c>
      <c r="S31" s="86" t="str">
        <f>IF(Q31="","",IF(R31="","",IF(SUM(Q31:R31)=0,"",SUM(Q31:R31))))</f>
        <v/>
      </c>
      <c r="T31" s="76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77" t="str">
        <f>IF(AF31=1,T31*AI31,"")</f>
        <v/>
      </c>
      <c r="V31" s="100"/>
      <c r="W31" s="100"/>
      <c r="X31" s="101"/>
      <c r="Y31" s="79"/>
      <c r="Z31" s="77"/>
      <c r="AA31" s="77"/>
      <c r="AB31" s="80"/>
      <c r="AC31" s="70">
        <f>U5</f>
        <v>46179</v>
      </c>
      <c r="AD31" s="56" t="b">
        <f>IF(ISNUMBER(FIND("M",E31)),"m",IF(ISNUMBER(FIND("K",E31)),"k"))</f>
        <v>0</v>
      </c>
      <c r="AE31" s="93">
        <f>IF(OR(G31="",AC31=""),0,(YEAR(AC31)-YEAR(G31)))</f>
        <v>0</v>
      </c>
      <c r="AF31" s="58">
        <f t="shared" ref="AF31" si="8">IF(AE31&gt;34,1,0)</f>
        <v>0</v>
      </c>
      <c r="AG31" s="39" t="b">
        <f>IF(AF31=1,LOOKUP(AE31,'Meltzer-Faber'!A3:A63,'Meltzer-Faber'!B3:B63))</f>
        <v>0</v>
      </c>
      <c r="AH31" s="59" t="b">
        <f>IF(AF31=1,LOOKUP(AE31,'Meltzer-Faber'!A3:A63,'Meltzer-Faber'!C3:C63))</f>
        <v>0</v>
      </c>
      <c r="AI31" s="59" t="str">
        <f t="shared" ref="AI31" si="9">IF(AD31="m",AG31,IF(AD31="k",AH31,""))</f>
        <v/>
      </c>
      <c r="AJ31" s="60" t="str">
        <f>IF(D31="","",IF(D31&gt;193.609,1,IF(D31&lt;32,10^(0.722762521*LOG10(32/193.609)^2),10^(0.722762521*LOG10(D31/193.609)^2))))</f>
        <v/>
      </c>
    </row>
    <row r="32" spans="2:36" s="39" customFormat="1" ht="20.100000000000001" customHeight="1" x14ac:dyDescent="0.2">
      <c r="B32" s="81"/>
      <c r="C32" s="102"/>
      <c r="D32" s="62"/>
      <c r="E32" s="63"/>
      <c r="F32" s="63"/>
      <c r="G32" s="103"/>
      <c r="H32" s="64"/>
      <c r="I32" s="66"/>
      <c r="J32" s="66"/>
      <c r="K32" s="178"/>
      <c r="L32" s="178"/>
      <c r="M32" s="178"/>
      <c r="N32" s="178"/>
      <c r="O32" s="178"/>
      <c r="P32" s="178"/>
      <c r="Q32" s="68"/>
      <c r="R32" s="62"/>
      <c r="S32" s="177" t="str">
        <f>IF(T31="","",T31*1.2)</f>
        <v/>
      </c>
      <c r="T32" s="177"/>
      <c r="U32" s="62"/>
      <c r="V32" s="62" t="str">
        <f>IF(V31&gt;0,V31*20,"")</f>
        <v/>
      </c>
      <c r="W32" s="62" t="str">
        <f>IF(W31="","",(W31*10)*AJ31)</f>
        <v/>
      </c>
      <c r="X32" s="62" t="str">
        <f>IF(ROUNDUP(X31,1)&gt;0,IF((80+(8-ROUNDUP(X31,1))*40)&lt;0,0,80+(8-ROUNDUP(X31,1))*40),"")</f>
        <v/>
      </c>
      <c r="Y32" s="67" t="str">
        <f>IF(SUM(V32,W32,X32)&gt;0,SUM(V32,W32,X32),"")</f>
        <v/>
      </c>
      <c r="Z32" s="69" t="str">
        <f>IF(AE31&gt;34,(IF(OR(S32="",V32="",W32="",X32=""),"",SUM(S32,V32,W32,X32))*AI31),IF(OR(S32="",V32="",W32="",X32=""),"", SUM(S32,V32,W32,X32)))</f>
        <v/>
      </c>
      <c r="AA32" s="69"/>
      <c r="AB32" s="63"/>
      <c r="AC32" s="70"/>
      <c r="AD32" s="2"/>
      <c r="AE32" s="57"/>
      <c r="AF32" s="58"/>
      <c r="AH32" s="59"/>
      <c r="AI32" s="59"/>
      <c r="AJ32" s="60"/>
    </row>
    <row r="33" spans="2:35" s="119" customFormat="1" ht="18.95" customHeight="1" x14ac:dyDescent="0.2">
      <c r="D33" s="120"/>
      <c r="E33" s="121"/>
      <c r="F33" s="121"/>
      <c r="G33" s="121"/>
      <c r="H33" s="122"/>
      <c r="K33" s="123"/>
      <c r="L33" s="124"/>
      <c r="M33" s="123"/>
      <c r="N33" s="123" t="s">
        <v>80</v>
      </c>
      <c r="O33" s="123"/>
      <c r="P33" s="123"/>
      <c r="Q33" s="121"/>
      <c r="R33" s="121"/>
      <c r="S33" s="121"/>
      <c r="T33" s="125"/>
      <c r="U33" s="125"/>
      <c r="V33" s="125"/>
      <c r="W33" s="125"/>
      <c r="X33" s="125"/>
      <c r="Y33" s="125"/>
      <c r="Z33" s="125"/>
      <c r="AA33" s="125"/>
      <c r="AB33" s="125"/>
      <c r="AC33" s="2"/>
      <c r="AD33" s="126"/>
      <c r="AE33" s="127">
        <f>(YEAR(AC33)-YEAR(G33))</f>
        <v>0</v>
      </c>
      <c r="AF33" s="58">
        <f t="shared" ref="AF33" si="10">IF(AE35&gt;34,1,0)</f>
        <v>0</v>
      </c>
      <c r="AH33" s="122"/>
      <c r="AI33" s="122"/>
    </row>
    <row r="34" spans="2:35" s="119" customFormat="1" ht="21" customHeight="1" x14ac:dyDescent="0.2">
      <c r="D34" s="120"/>
      <c r="E34" s="121"/>
      <c r="F34" s="121"/>
      <c r="G34" s="121"/>
      <c r="H34" s="122"/>
      <c r="K34" s="123"/>
      <c r="L34" s="124"/>
      <c r="M34" s="123"/>
      <c r="N34" s="123"/>
      <c r="O34" s="123"/>
      <c r="P34" s="123"/>
      <c r="Q34" s="121"/>
      <c r="R34" s="121"/>
      <c r="S34" s="121"/>
      <c r="T34" s="125"/>
      <c r="U34" s="125"/>
      <c r="V34" s="125"/>
      <c r="W34" s="125"/>
      <c r="X34" s="125"/>
      <c r="Y34" s="125"/>
      <c r="Z34" s="125"/>
      <c r="AA34" s="125"/>
      <c r="AB34" s="125"/>
      <c r="AC34" s="2"/>
      <c r="AD34" s="126"/>
      <c r="AE34" s="127"/>
      <c r="AF34" s="58"/>
      <c r="AH34" s="122"/>
      <c r="AI34" s="122"/>
    </row>
    <row r="35" spans="2:35" ht="23.1" customHeight="1" x14ac:dyDescent="0.25">
      <c r="B35" s="179" t="s">
        <v>81</v>
      </c>
      <c r="C35" s="180"/>
      <c r="D35" s="128" t="s">
        <v>14</v>
      </c>
      <c r="E35" s="179" t="s">
        <v>21</v>
      </c>
      <c r="F35" s="181"/>
      <c r="G35" s="181"/>
      <c r="H35" s="180"/>
      <c r="I35" s="129" t="s">
        <v>82</v>
      </c>
      <c r="J35" s="130"/>
      <c r="K35" s="179" t="s">
        <v>81</v>
      </c>
      <c r="L35" s="181"/>
      <c r="M35" s="180"/>
      <c r="N35" s="131" t="s">
        <v>14</v>
      </c>
      <c r="O35" s="182" t="s">
        <v>21</v>
      </c>
      <c r="P35" s="183"/>
      <c r="Q35" s="183"/>
      <c r="R35" s="184"/>
      <c r="S35" s="182" t="s">
        <v>82</v>
      </c>
      <c r="T35" s="184"/>
      <c r="U35" s="8"/>
      <c r="V35" s="8"/>
      <c r="W35" s="8"/>
      <c r="X35" s="8"/>
      <c r="Y35" s="8"/>
      <c r="Z35" s="8"/>
      <c r="AA35" s="8"/>
      <c r="AB35" s="8"/>
      <c r="AF35" s="2"/>
      <c r="AH35" s="132"/>
      <c r="AI35" s="132"/>
    </row>
    <row r="36" spans="2:35" s="12" customFormat="1" ht="20.100000000000001" customHeight="1" x14ac:dyDescent="0.25">
      <c r="B36" s="185" t="s">
        <v>83</v>
      </c>
      <c r="C36" s="186"/>
      <c r="D36" s="133" t="s">
        <v>84</v>
      </c>
      <c r="E36" s="187" t="s">
        <v>85</v>
      </c>
      <c r="F36" s="188"/>
      <c r="G36" s="188"/>
      <c r="H36" s="186"/>
      <c r="I36" s="134" t="s">
        <v>53</v>
      </c>
      <c r="J36" s="4"/>
      <c r="K36" s="185" t="s">
        <v>86</v>
      </c>
      <c r="L36" s="188"/>
      <c r="M36" s="186"/>
      <c r="N36" s="135" t="s">
        <v>87</v>
      </c>
      <c r="O36" s="189" t="s">
        <v>88</v>
      </c>
      <c r="P36" s="190"/>
      <c r="Q36" s="190"/>
      <c r="R36" s="191"/>
      <c r="S36" s="189" t="s">
        <v>89</v>
      </c>
      <c r="T36" s="192"/>
      <c r="AF36" s="2"/>
      <c r="AH36" s="17"/>
      <c r="AI36" s="17"/>
    </row>
    <row r="37" spans="2:35" s="12" customFormat="1" ht="21" customHeight="1" x14ac:dyDescent="0.25">
      <c r="B37" s="193" t="s">
        <v>90</v>
      </c>
      <c r="C37" s="194"/>
      <c r="D37" s="136" t="s">
        <v>91</v>
      </c>
      <c r="E37" s="195" t="s">
        <v>92</v>
      </c>
      <c r="F37" s="196"/>
      <c r="G37" s="196"/>
      <c r="H37" s="194"/>
      <c r="I37" s="137" t="s">
        <v>53</v>
      </c>
      <c r="J37" s="4"/>
      <c r="K37" s="193" t="s">
        <v>93</v>
      </c>
      <c r="L37" s="196"/>
      <c r="M37" s="194"/>
      <c r="N37" s="138" t="s">
        <v>94</v>
      </c>
      <c r="O37" s="197" t="s">
        <v>95</v>
      </c>
      <c r="P37" s="198"/>
      <c r="Q37" s="198"/>
      <c r="R37" s="199"/>
      <c r="S37" s="197" t="s">
        <v>53</v>
      </c>
      <c r="T37" s="200"/>
      <c r="AH37" s="17"/>
      <c r="AI37" s="17"/>
    </row>
    <row r="38" spans="2:35" s="12" customFormat="1" ht="18.95" customHeight="1" x14ac:dyDescent="0.25">
      <c r="B38" s="193" t="s">
        <v>90</v>
      </c>
      <c r="C38" s="194"/>
      <c r="D38" s="136" t="s">
        <v>141</v>
      </c>
      <c r="E38" s="195" t="s">
        <v>142</v>
      </c>
      <c r="F38" s="196"/>
      <c r="G38" s="196"/>
      <c r="H38" s="194"/>
      <c r="I38" s="137" t="s">
        <v>53</v>
      </c>
      <c r="J38" s="4"/>
      <c r="K38" s="193" t="s">
        <v>99</v>
      </c>
      <c r="L38" s="196"/>
      <c r="M38" s="194"/>
      <c r="N38" s="138" t="s">
        <v>54</v>
      </c>
      <c r="O38" s="197" t="s">
        <v>54</v>
      </c>
      <c r="P38" s="198"/>
      <c r="Q38" s="198"/>
      <c r="R38" s="199"/>
      <c r="S38" s="197" t="s">
        <v>54</v>
      </c>
      <c r="T38" s="200"/>
      <c r="V38" s="12" t="s">
        <v>100</v>
      </c>
      <c r="AH38" s="17"/>
      <c r="AI38" s="17"/>
    </row>
    <row r="39" spans="2:35" s="12" customFormat="1" ht="21" customHeight="1" x14ac:dyDescent="0.25">
      <c r="B39" s="193" t="s">
        <v>90</v>
      </c>
      <c r="C39" s="194"/>
      <c r="D39" s="136" t="s">
        <v>70</v>
      </c>
      <c r="E39" s="195" t="s">
        <v>74</v>
      </c>
      <c r="F39" s="196"/>
      <c r="G39" s="196"/>
      <c r="H39" s="194"/>
      <c r="I39" s="137" t="s">
        <v>75</v>
      </c>
      <c r="J39" s="4"/>
      <c r="K39" s="193" t="s">
        <v>103</v>
      </c>
      <c r="L39" s="196"/>
      <c r="M39" s="194"/>
      <c r="N39" s="138" t="s">
        <v>54</v>
      </c>
      <c r="O39" s="197" t="s">
        <v>54</v>
      </c>
      <c r="P39" s="198"/>
      <c r="Q39" s="198"/>
      <c r="R39" s="199"/>
      <c r="S39" s="197" t="s">
        <v>54</v>
      </c>
      <c r="T39" s="200"/>
      <c r="AD39" s="12" t="s">
        <v>80</v>
      </c>
      <c r="AH39" s="17"/>
      <c r="AI39" s="17"/>
    </row>
    <row r="40" spans="2:35" s="12" customFormat="1" ht="20.100000000000001" customHeight="1" x14ac:dyDescent="0.25">
      <c r="B40" s="193" t="s">
        <v>90</v>
      </c>
      <c r="C40" s="194"/>
      <c r="D40" s="136" t="s">
        <v>54</v>
      </c>
      <c r="E40" s="195" t="s">
        <v>54</v>
      </c>
      <c r="F40" s="196"/>
      <c r="G40" s="196"/>
      <c r="H40" s="194"/>
      <c r="I40" s="137" t="s">
        <v>54</v>
      </c>
      <c r="J40" s="4"/>
      <c r="K40" s="193" t="s">
        <v>104</v>
      </c>
      <c r="L40" s="196"/>
      <c r="M40" s="194"/>
      <c r="N40" s="138" t="s">
        <v>54</v>
      </c>
      <c r="O40" s="197" t="s">
        <v>54</v>
      </c>
      <c r="P40" s="198"/>
      <c r="Q40" s="198"/>
      <c r="R40" s="199"/>
      <c r="S40" s="197" t="s">
        <v>54</v>
      </c>
      <c r="T40" s="200"/>
      <c r="AH40" s="17"/>
      <c r="AI40" s="17"/>
    </row>
    <row r="41" spans="2:35" ht="18.95" customHeight="1" x14ac:dyDescent="0.2">
      <c r="B41" s="193" t="s">
        <v>90</v>
      </c>
      <c r="C41" s="194"/>
      <c r="D41" s="136" t="s">
        <v>54</v>
      </c>
      <c r="E41" s="195" t="s">
        <v>54</v>
      </c>
      <c r="F41" s="196"/>
      <c r="G41" s="196"/>
      <c r="H41" s="194"/>
      <c r="I41" s="137" t="s">
        <v>54</v>
      </c>
      <c r="J41" s="1"/>
      <c r="K41" s="193" t="s">
        <v>104</v>
      </c>
      <c r="L41" s="196"/>
      <c r="M41" s="194"/>
      <c r="N41" s="138" t="s">
        <v>54</v>
      </c>
      <c r="O41" s="197" t="s">
        <v>54</v>
      </c>
      <c r="P41" s="198"/>
      <c r="Q41" s="198"/>
      <c r="R41" s="199"/>
      <c r="S41" s="197" t="s">
        <v>54</v>
      </c>
      <c r="T41" s="200"/>
      <c r="U41" s="1"/>
      <c r="V41" s="1"/>
      <c r="W41" s="1"/>
      <c r="X41" s="1"/>
      <c r="Y41" s="1"/>
      <c r="Z41" s="1"/>
      <c r="AA41" s="1"/>
      <c r="AB41" s="1"/>
    </row>
    <row r="42" spans="2:35" ht="20.100000000000001" customHeight="1" x14ac:dyDescent="0.2">
      <c r="B42" s="193" t="s">
        <v>105</v>
      </c>
      <c r="C42" s="194"/>
      <c r="D42" s="136" t="s">
        <v>106</v>
      </c>
      <c r="E42" s="195" t="s">
        <v>107</v>
      </c>
      <c r="F42" s="196"/>
      <c r="G42" s="196"/>
      <c r="H42" s="194"/>
      <c r="I42" s="137" t="s">
        <v>53</v>
      </c>
      <c r="J42" s="1"/>
      <c r="K42" s="193" t="s">
        <v>104</v>
      </c>
      <c r="L42" s="196"/>
      <c r="M42" s="194"/>
      <c r="N42" s="138" t="s">
        <v>54</v>
      </c>
      <c r="O42" s="197" t="s">
        <v>54</v>
      </c>
      <c r="P42" s="198"/>
      <c r="Q42" s="198"/>
      <c r="R42" s="199"/>
      <c r="S42" s="197" t="s">
        <v>54</v>
      </c>
      <c r="T42" s="200"/>
      <c r="U42" s="1"/>
      <c r="V42" s="1"/>
      <c r="W42" s="1"/>
      <c r="X42" s="1"/>
      <c r="Y42" s="1"/>
      <c r="Z42" s="1"/>
      <c r="AA42" s="1"/>
      <c r="AB42" s="1"/>
    </row>
    <row r="43" spans="2:35" ht="20.100000000000001" customHeight="1" x14ac:dyDescent="0.2">
      <c r="B43" s="201" t="s">
        <v>54</v>
      </c>
      <c r="C43" s="202"/>
      <c r="D43" s="139" t="s">
        <v>54</v>
      </c>
      <c r="E43" s="203" t="s">
        <v>54</v>
      </c>
      <c r="F43" s="204"/>
      <c r="G43" s="204"/>
      <c r="H43" s="202"/>
      <c r="I43" s="140" t="s">
        <v>54</v>
      </c>
      <c r="J43" s="1"/>
      <c r="K43" s="201" t="s">
        <v>104</v>
      </c>
      <c r="L43" s="204"/>
      <c r="M43" s="202"/>
      <c r="N43" s="141" t="s">
        <v>54</v>
      </c>
      <c r="O43" s="205" t="s">
        <v>54</v>
      </c>
      <c r="P43" s="206"/>
      <c r="Q43" s="206"/>
      <c r="R43" s="207"/>
      <c r="S43" s="205" t="s">
        <v>54</v>
      </c>
      <c r="T43" s="208"/>
      <c r="U43" s="1"/>
      <c r="V43" s="1"/>
      <c r="W43" s="1"/>
      <c r="X43" s="1"/>
      <c r="Y43" s="1"/>
      <c r="Z43" s="1"/>
      <c r="AA43" s="1"/>
      <c r="AB43" s="1"/>
    </row>
    <row r="44" spans="2:35" ht="18.95" customHeight="1" x14ac:dyDescent="0.2">
      <c r="B44" s="209"/>
      <c r="C44" s="209"/>
      <c r="D44" s="210"/>
      <c r="E44" s="210"/>
      <c r="F44" s="142"/>
      <c r="G44" s="210"/>
      <c r="H44" s="210"/>
      <c r="I44" s="210"/>
      <c r="J44" s="1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1"/>
      <c r="V44" s="1"/>
      <c r="W44" s="1"/>
      <c r="X44" s="1"/>
      <c r="Y44" s="1"/>
      <c r="Z44" s="1"/>
      <c r="AA44" s="1"/>
      <c r="AB44" s="1"/>
    </row>
    <row r="45" spans="2:35" ht="18" customHeight="1" x14ac:dyDescent="0.2">
      <c r="B45" s="211" t="s">
        <v>108</v>
      </c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3"/>
      <c r="U45" s="1"/>
      <c r="V45" s="1"/>
      <c r="W45" s="1"/>
      <c r="X45" s="1"/>
      <c r="Y45" s="1"/>
      <c r="Z45" s="1"/>
      <c r="AA45" s="1"/>
      <c r="AB45" s="1"/>
    </row>
    <row r="46" spans="2:35" ht="18" customHeight="1" x14ac:dyDescent="0.2">
      <c r="B46" s="201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14"/>
      <c r="U46" s="1"/>
      <c r="V46" s="1"/>
      <c r="W46" s="1"/>
      <c r="X46" s="1"/>
      <c r="Y46" s="1"/>
      <c r="Z46" s="1"/>
      <c r="AA46" s="1"/>
      <c r="AB46" s="1"/>
    </row>
    <row r="47" spans="2:35" ht="14.1" customHeight="1" x14ac:dyDescent="0.25">
      <c r="B47" s="2"/>
      <c r="D47" s="143"/>
      <c r="E47" s="144"/>
      <c r="F47" s="144"/>
      <c r="G47" s="143"/>
      <c r="H47" s="144"/>
      <c r="I47" s="130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</row>
    <row r="48" spans="2:35" ht="14.1" customHeight="1" x14ac:dyDescent="0.25">
      <c r="B48" s="145"/>
      <c r="C48" s="145"/>
      <c r="D48" s="146"/>
      <c r="E48" s="147"/>
      <c r="F48" s="147"/>
      <c r="G48" s="148"/>
      <c r="H48" s="149"/>
      <c r="I48" s="1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</row>
    <row r="49" spans="5:7" ht="12.75" x14ac:dyDescent="0.2"/>
    <row r="50" spans="5:7" ht="12.75" x14ac:dyDescent="0.2">
      <c r="E50" s="215"/>
      <c r="F50" s="215"/>
      <c r="G50" s="215"/>
    </row>
    <row r="51" spans="5:7" ht="12.75" x14ac:dyDescent="0.2"/>
    <row r="52" spans="5:7" ht="12.75" x14ac:dyDescent="0.2"/>
    <row r="53" spans="5:7" ht="12.75" x14ac:dyDescent="0.2"/>
    <row r="54" spans="5:7" ht="12.75" x14ac:dyDescent="0.2"/>
    <row r="55" spans="5:7" ht="12.75" x14ac:dyDescent="0.2"/>
    <row r="56" spans="5:7" ht="12.75" x14ac:dyDescent="0.2"/>
    <row r="57" spans="5:7" ht="12.75" x14ac:dyDescent="0.2"/>
    <row r="58" spans="5:7" ht="12.75" x14ac:dyDescent="0.2"/>
    <row r="59" spans="5:7" ht="12.75" x14ac:dyDescent="0.2"/>
    <row r="60" spans="5:7" ht="12.75" x14ac:dyDescent="0.2"/>
    <row r="61" spans="5:7" ht="12.75" x14ac:dyDescent="0.2"/>
    <row r="62" spans="5:7" ht="12.75" x14ac:dyDescent="0.2"/>
    <row r="63" spans="5:7" ht="12.75" x14ac:dyDescent="0.2"/>
    <row r="64" spans="5:7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</sheetData>
  <mergeCells count="102"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  <mergeCell ref="P44:T44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K28:M28"/>
    <mergeCell ref="N28:P28"/>
    <mergeCell ref="S28:T28"/>
    <mergeCell ref="K30:M30"/>
    <mergeCell ref="N30:P30"/>
    <mergeCell ref="S30:T30"/>
    <mergeCell ref="K32:M32"/>
    <mergeCell ref="N32:P32"/>
    <mergeCell ref="S32:T32"/>
    <mergeCell ref="K22:M22"/>
    <mergeCell ref="N22:P22"/>
    <mergeCell ref="S22:T22"/>
    <mergeCell ref="K24:M24"/>
    <mergeCell ref="N24:P24"/>
    <mergeCell ref="S24:T24"/>
    <mergeCell ref="K26:M26"/>
    <mergeCell ref="N26:P26"/>
    <mergeCell ref="S26:T26"/>
    <mergeCell ref="K16:M16"/>
    <mergeCell ref="N16:P16"/>
    <mergeCell ref="S16:T16"/>
    <mergeCell ref="K18:M18"/>
    <mergeCell ref="N18:P18"/>
    <mergeCell ref="S18:T18"/>
    <mergeCell ref="K20:M20"/>
    <mergeCell ref="N20:P20"/>
    <mergeCell ref="S20:T20"/>
    <mergeCell ref="K10:M10"/>
    <mergeCell ref="N10:P10"/>
    <mergeCell ref="S10:T10"/>
    <mergeCell ref="K12:M12"/>
    <mergeCell ref="N12:P12"/>
    <mergeCell ref="S12:T12"/>
    <mergeCell ref="K14:M14"/>
    <mergeCell ref="N14:P14"/>
    <mergeCell ref="S14:T14"/>
    <mergeCell ref="G2:R2"/>
    <mergeCell ref="G3:R3"/>
    <mergeCell ref="D5:I5"/>
    <mergeCell ref="K5:N5"/>
    <mergeCell ref="P5:S5"/>
    <mergeCell ref="U5:V5"/>
    <mergeCell ref="AJ6:AJ7"/>
    <mergeCell ref="B7:B8"/>
    <mergeCell ref="C7:C8"/>
    <mergeCell ref="D7:D8"/>
    <mergeCell ref="E7:E8"/>
    <mergeCell ref="F7:F8"/>
  </mergeCells>
  <conditionalFormatting sqref="K27">
    <cfRule type="cellIs" dxfId="29" priority="23" operator="between">
      <formula>1</formula>
      <formula>300</formula>
    </cfRule>
    <cfRule type="cellIs" dxfId="28" priority="24" operator="lessThanOrEqual">
      <formula>0</formula>
    </cfRule>
  </conditionalFormatting>
  <conditionalFormatting sqref="K29">
    <cfRule type="cellIs" dxfId="27" priority="21" operator="between">
      <formula>1</formula>
      <formula>300</formula>
    </cfRule>
    <cfRule type="cellIs" dxfId="26" priority="22" operator="lessThanOrEqual">
      <formula>0</formula>
    </cfRule>
  </conditionalFormatting>
  <conditionalFormatting sqref="K31">
    <cfRule type="cellIs" dxfId="25" priority="19" operator="between">
      <formula>1</formula>
      <formula>300</formula>
    </cfRule>
    <cfRule type="cellIs" dxfId="24" priority="20" operator="lessThanOrEqual">
      <formula>0</formula>
    </cfRule>
  </conditionalFormatting>
  <conditionalFormatting sqref="K9:P9">
    <cfRule type="cellIs" dxfId="23" priority="13" operator="between">
      <formula>1</formula>
      <formula>300</formula>
    </cfRule>
    <cfRule type="cellIs" dxfId="22" priority="14" operator="lessThanOrEqual">
      <formula>0</formula>
    </cfRule>
  </conditionalFormatting>
  <conditionalFormatting sqref="K11:P11">
    <cfRule type="cellIs" dxfId="21" priority="11" operator="between">
      <formula>1</formula>
      <formula>300</formula>
    </cfRule>
    <cfRule type="cellIs" dxfId="20" priority="12" operator="lessThanOrEqual">
      <formula>0</formula>
    </cfRule>
  </conditionalFormatting>
  <conditionalFormatting sqref="K13:P13">
    <cfRule type="cellIs" dxfId="19" priority="7" operator="between">
      <formula>1</formula>
      <formula>300</formula>
    </cfRule>
    <cfRule type="cellIs" dxfId="18" priority="8" operator="lessThanOrEqual">
      <formula>0</formula>
    </cfRule>
  </conditionalFormatting>
  <conditionalFormatting sqref="K15:P15">
    <cfRule type="cellIs" dxfId="17" priority="9" operator="between">
      <formula>1</formula>
      <formula>300</formula>
    </cfRule>
    <cfRule type="cellIs" dxfId="16" priority="10" operator="lessThanOrEqual">
      <formula>0</formula>
    </cfRule>
  </conditionalFormatting>
  <conditionalFormatting sqref="K17:P17">
    <cfRule type="cellIs" dxfId="15" priority="15" operator="between">
      <formula>1</formula>
      <formula>300</formula>
    </cfRule>
    <cfRule type="cellIs" dxfId="14" priority="16" operator="lessThanOrEqual">
      <formula>0</formula>
    </cfRule>
  </conditionalFormatting>
  <conditionalFormatting sqref="K19:P19">
    <cfRule type="cellIs" dxfId="13" priority="1" operator="between">
      <formula>1</formula>
      <formula>300</formula>
    </cfRule>
    <cfRule type="cellIs" dxfId="12" priority="2" operator="lessThanOrEqual">
      <formula>0</formula>
    </cfRule>
  </conditionalFormatting>
  <conditionalFormatting sqref="K21:P21">
    <cfRule type="cellIs" dxfId="11" priority="3" operator="between">
      <formula>1</formula>
      <formula>300</formula>
    </cfRule>
    <cfRule type="cellIs" dxfId="10" priority="4" operator="lessThanOrEqual">
      <formula>0</formula>
    </cfRule>
  </conditionalFormatting>
  <conditionalFormatting sqref="K23:P23">
    <cfRule type="cellIs" dxfId="9" priority="5" operator="between">
      <formula>1</formula>
      <formula>300</formula>
    </cfRule>
    <cfRule type="cellIs" dxfId="8" priority="6" operator="lessThanOrEqual">
      <formula>0</formula>
    </cfRule>
  </conditionalFormatting>
  <conditionalFormatting sqref="K25:P25">
    <cfRule type="cellIs" dxfId="7" priority="17" operator="between">
      <formula>1</formula>
      <formula>300</formula>
    </cfRule>
    <cfRule type="cellIs" dxfId="6" priority="18" operator="lessThanOrEqual">
      <formula>0</formula>
    </cfRule>
  </conditionalFormatting>
  <conditionalFormatting sqref="L27:N27">
    <cfRule type="cellIs" dxfId="5" priority="29" operator="between">
      <formula>1</formula>
      <formula>300</formula>
    </cfRule>
    <cfRule type="cellIs" dxfId="4" priority="30" operator="lessThanOrEqual">
      <formula>0</formula>
    </cfRule>
  </conditionalFormatting>
  <conditionalFormatting sqref="L29:N29">
    <cfRule type="cellIs" dxfId="3" priority="27" operator="between">
      <formula>1</formula>
      <formula>300</formula>
    </cfRule>
    <cfRule type="cellIs" dxfId="2" priority="28" operator="lessThanOrEqual">
      <formula>0</formula>
    </cfRule>
  </conditionalFormatting>
  <conditionalFormatting sqref="L31:N31">
    <cfRule type="cellIs" dxfId="1" priority="25" operator="between">
      <formula>1</formula>
      <formula>300</formula>
    </cfRule>
    <cfRule type="cellIs" dxfId="0" priority="26" operator="lessThanOrEqual">
      <formula>0</formula>
    </cfRule>
  </conditionalFormatting>
  <dataValidations count="6">
    <dataValidation type="list" allowBlank="1" showInputMessage="1" showErrorMessage="1" sqref="B36:C43 K36:M43" xr:uid="{00000000-0002-0000-0100-000000000000}">
      <formula1>"Dommer,Stevnets leder,Jury,Sekretær,Speaker,Teknisk kontrollør, Chief Marshall,Tidtaker"</formula1>
    </dataValidation>
    <dataValidation type="list" allowBlank="1" showInputMessage="1" showErrorMessage="1" sqref="C11 C9 C31 C29 C27 C25 C23 C21 C19 C17 C15 C13" xr:uid="{00000000-0002-0000-0100-000001000000}">
      <formula1>"44,48,53,56,58,60,63,65,69,71,77,'+77,79,86,'+86,88,94,'+94,110,'+110"</formula1>
    </dataValidation>
    <dataValidation type="list" allowBlank="1" showInputMessage="1" showErrorMessage="1" sqref="D5:I5" xr:uid="{00000000-0002-0000-0100-00000D000000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E11 F12 E9 E31 E29 E27 E25 E23 E21 E19 E17 E15 E13" xr:uid="{00000000-0002-0000-0100-00000E000000}">
      <formula1>"UM,JM,SM,UK,JK,SK,M35,M40,M45,M50,M55,M60,M65,M70,M75,M80,M85,M90,K35,K40,K45,K50,K55,K60,K65,K70,K75,K80,K85,K90"</formula1>
    </dataValidation>
    <dataValidation type="list" allowBlank="1" showInputMessage="1" showErrorMessage="1" sqref="F11 F9 F31 F29 F27 F25 F23 F21 F19 F17 F15 F13" xr:uid="{00000000-0002-0000-0100-00001A000000}">
      <formula1>"11-12,13-14,15-16,17-18,19-23,24-34,+35"</formula1>
    </dataValidation>
    <dataValidation type="list" allowBlank="1" showInputMessage="1" showErrorMessage="1" prompt="Feil_i_kat. 5-kamp - Feil verdi i kategori 5-kamp" sqref="G12" xr:uid="{00000000-0002-0000-0100-000027000000}">
      <formula1>"11-12,13-14,15-16,17-18,19-23,24-34,+35,35+"</formula1>
    </dataValidation>
  </dataValidations>
  <pageMargins left="0.27559055118110198" right="0.35433070866141703" top="0.27559055118110198" bottom="0.27559055118110198" header="0.5" footer="0.5"/>
  <pageSetup paperSize="9" scale="57" orientation="landscape" useFirstPageNumber="1" horizontalDpi="4294967295" verticalDpi="4294967295" copies="2"/>
  <headerFooter>
    <oddFooter>&amp;C_x000D_&amp;1#&amp;"Aptos"&amp;10&amp;KFF0000 Classification: Open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3"/>
  <sheetViews>
    <sheetView zoomScaleNormal="100" workbookViewId="0">
      <selection activeCell="E57" sqref="E57"/>
    </sheetView>
  </sheetViews>
  <sheetFormatPr defaultColWidth="9.140625" defaultRowHeight="12.95" customHeight="1" x14ac:dyDescent="0.25"/>
  <cols>
    <col min="1" max="1" width="11.42578125" customWidth="1"/>
    <col min="2" max="2" width="11.5703125" style="156" customWidth="1"/>
    <col min="3" max="3" width="12.42578125" customWidth="1"/>
  </cols>
  <sheetData>
    <row r="1" spans="1:3" ht="15" x14ac:dyDescent="0.25">
      <c r="A1" s="216" t="s">
        <v>143</v>
      </c>
      <c r="B1" s="216"/>
      <c r="C1" s="216"/>
    </row>
    <row r="2" spans="1:3" ht="15" x14ac:dyDescent="0.25">
      <c r="A2" s="157" t="s">
        <v>44</v>
      </c>
      <c r="B2" s="158" t="s">
        <v>144</v>
      </c>
      <c r="C2" t="s">
        <v>145</v>
      </c>
    </row>
    <row r="3" spans="1:3" ht="15" x14ac:dyDescent="0.25">
      <c r="A3" s="159">
        <v>30</v>
      </c>
      <c r="B3" s="158">
        <v>1</v>
      </c>
      <c r="C3" s="157">
        <v>1</v>
      </c>
    </row>
    <row r="4" spans="1:3" ht="15" x14ac:dyDescent="0.25">
      <c r="A4" s="159">
        <v>31</v>
      </c>
      <c r="B4" s="158">
        <v>1.016</v>
      </c>
      <c r="C4" s="158">
        <v>1.016</v>
      </c>
    </row>
    <row r="5" spans="1:3" ht="15" x14ac:dyDescent="0.25">
      <c r="A5" s="159">
        <v>32</v>
      </c>
      <c r="B5" s="158">
        <v>1.0309999999999999</v>
      </c>
      <c r="C5" s="158">
        <v>1.0169999999999999</v>
      </c>
    </row>
    <row r="6" spans="1:3" ht="15" x14ac:dyDescent="0.25">
      <c r="A6" s="159">
        <v>33</v>
      </c>
      <c r="B6" s="158">
        <v>1.046</v>
      </c>
      <c r="C6" s="158">
        <v>1.046</v>
      </c>
    </row>
    <row r="7" spans="1:3" ht="15" x14ac:dyDescent="0.25">
      <c r="A7" s="159">
        <v>34</v>
      </c>
      <c r="B7" s="158">
        <v>1.0589999999999999</v>
      </c>
      <c r="C7" s="158">
        <v>1.0589999999999999</v>
      </c>
    </row>
    <row r="8" spans="1:3" ht="15" x14ac:dyDescent="0.25">
      <c r="A8" s="159">
        <v>35</v>
      </c>
      <c r="B8" s="158">
        <v>1.0720000000000001</v>
      </c>
      <c r="C8" s="158">
        <v>1.0720000000000001</v>
      </c>
    </row>
    <row r="9" spans="1:3" ht="15" x14ac:dyDescent="0.25">
      <c r="A9" s="159">
        <v>36</v>
      </c>
      <c r="B9" s="158">
        <v>1.083</v>
      </c>
      <c r="C9" s="158">
        <v>1.0840000000000001</v>
      </c>
    </row>
    <row r="10" spans="1:3" ht="15" x14ac:dyDescent="0.25">
      <c r="A10" s="159">
        <v>37</v>
      </c>
      <c r="B10" s="158">
        <v>1.0960000000000001</v>
      </c>
      <c r="C10" s="158">
        <v>1.097</v>
      </c>
    </row>
    <row r="11" spans="1:3" ht="15" x14ac:dyDescent="0.25">
      <c r="A11" s="159">
        <v>38</v>
      </c>
      <c r="B11" s="158">
        <v>1.109</v>
      </c>
      <c r="C11" s="158">
        <v>1.1100000000000001</v>
      </c>
    </row>
    <row r="12" spans="1:3" ht="15" x14ac:dyDescent="0.25">
      <c r="A12" s="159">
        <v>39</v>
      </c>
      <c r="B12" s="158">
        <v>1.1220000000000001</v>
      </c>
      <c r="C12" s="158">
        <v>1.1240000000000001</v>
      </c>
    </row>
    <row r="13" spans="1:3" ht="15" x14ac:dyDescent="0.25">
      <c r="A13" s="159">
        <v>40</v>
      </c>
      <c r="B13" s="158">
        <v>1.135</v>
      </c>
      <c r="C13" s="158">
        <v>1.1379999999999999</v>
      </c>
    </row>
    <row r="14" spans="1:3" ht="15" x14ac:dyDescent="0.25">
      <c r="A14" s="159">
        <v>41</v>
      </c>
      <c r="B14" s="158">
        <v>1.149</v>
      </c>
      <c r="C14" s="158">
        <v>1.153</v>
      </c>
    </row>
    <row r="15" spans="1:3" ht="15" x14ac:dyDescent="0.25">
      <c r="A15" s="159">
        <v>42</v>
      </c>
      <c r="B15" s="158">
        <v>1.1619999999999999</v>
      </c>
      <c r="C15" s="158">
        <v>1.17</v>
      </c>
    </row>
    <row r="16" spans="1:3" ht="15" x14ac:dyDescent="0.25">
      <c r="A16" s="159">
        <v>43</v>
      </c>
      <c r="B16" s="158">
        <v>1.1759999999999999</v>
      </c>
      <c r="C16" s="158">
        <v>1.1870000000000001</v>
      </c>
    </row>
    <row r="17" spans="1:3" ht="15" x14ac:dyDescent="0.25">
      <c r="A17" s="159">
        <v>44</v>
      </c>
      <c r="B17" s="158">
        <v>1.1890000000000001</v>
      </c>
      <c r="C17" s="158">
        <v>1.2050000000000001</v>
      </c>
    </row>
    <row r="18" spans="1:3" ht="15" x14ac:dyDescent="0.25">
      <c r="A18" s="159">
        <v>45</v>
      </c>
      <c r="B18" s="158">
        <v>1.2030000000000001</v>
      </c>
      <c r="C18" s="158">
        <v>1.2230000000000001</v>
      </c>
    </row>
    <row r="19" spans="1:3" ht="15" x14ac:dyDescent="0.25">
      <c r="A19" s="159">
        <v>46</v>
      </c>
      <c r="B19" s="158">
        <v>1.218</v>
      </c>
      <c r="C19" s="158">
        <v>1.244</v>
      </c>
    </row>
    <row r="20" spans="1:3" ht="15" x14ac:dyDescent="0.25">
      <c r="A20" s="159">
        <v>47</v>
      </c>
      <c r="B20" s="158">
        <v>1.2330000000000001</v>
      </c>
      <c r="C20" s="158">
        <v>1.2649999999999999</v>
      </c>
    </row>
    <row r="21" spans="1:3" ht="15" x14ac:dyDescent="0.25">
      <c r="A21" s="159">
        <v>48</v>
      </c>
      <c r="B21" s="158">
        <v>1.248</v>
      </c>
      <c r="C21" s="158">
        <v>1.288</v>
      </c>
    </row>
    <row r="22" spans="1:3" ht="15" x14ac:dyDescent="0.25">
      <c r="A22" s="159">
        <v>49</v>
      </c>
      <c r="B22" s="158">
        <v>1.2629999999999999</v>
      </c>
      <c r="C22" s="158">
        <v>1.3129999999999999</v>
      </c>
    </row>
    <row r="23" spans="1:3" ht="15" x14ac:dyDescent="0.25">
      <c r="A23" s="159">
        <v>50</v>
      </c>
      <c r="B23" s="158">
        <v>1.2789999999999999</v>
      </c>
      <c r="C23" s="158">
        <v>1.34</v>
      </c>
    </row>
    <row r="24" spans="1:3" ht="15" x14ac:dyDescent="0.25">
      <c r="A24" s="159">
        <v>51</v>
      </c>
      <c r="B24" s="158">
        <v>1.2969999999999999</v>
      </c>
      <c r="C24" s="158">
        <v>1.369</v>
      </c>
    </row>
    <row r="25" spans="1:3" ht="15" x14ac:dyDescent="0.25">
      <c r="A25" s="159">
        <v>52</v>
      </c>
      <c r="B25" s="158">
        <v>1.3160000000000001</v>
      </c>
      <c r="C25" s="158">
        <v>1.401</v>
      </c>
    </row>
    <row r="26" spans="1:3" ht="15" x14ac:dyDescent="0.25">
      <c r="A26" s="159">
        <v>53</v>
      </c>
      <c r="B26" s="158">
        <v>1.3380000000000001</v>
      </c>
      <c r="C26" s="158">
        <v>1.4350000000000001</v>
      </c>
    </row>
    <row r="27" spans="1:3" ht="15" x14ac:dyDescent="0.25">
      <c r="A27" s="159">
        <v>54</v>
      </c>
      <c r="B27" s="158">
        <v>1.361</v>
      </c>
      <c r="C27" s="158">
        <v>1.47</v>
      </c>
    </row>
    <row r="28" spans="1:3" ht="15" x14ac:dyDescent="0.25">
      <c r="A28" s="159">
        <v>55</v>
      </c>
      <c r="B28" s="158">
        <v>1.385</v>
      </c>
      <c r="C28" s="158">
        <v>1.5069999999999999</v>
      </c>
    </row>
    <row r="29" spans="1:3" ht="14.1" customHeight="1" x14ac:dyDescent="0.25">
      <c r="A29" s="159">
        <v>56</v>
      </c>
      <c r="B29" s="158">
        <v>1.411</v>
      </c>
      <c r="C29" s="160">
        <v>1.5449999999999999</v>
      </c>
    </row>
    <row r="30" spans="1:3" ht="14.1" customHeight="1" x14ac:dyDescent="0.25">
      <c r="A30" s="159">
        <v>57</v>
      </c>
      <c r="B30" s="158">
        <v>1.4370000000000001</v>
      </c>
      <c r="C30" s="161">
        <v>1.585</v>
      </c>
    </row>
    <row r="31" spans="1:3" ht="14.1" customHeight="1" x14ac:dyDescent="0.25">
      <c r="A31" s="159">
        <v>58</v>
      </c>
      <c r="B31" s="158">
        <v>1.462</v>
      </c>
      <c r="C31" s="160">
        <v>1.625</v>
      </c>
    </row>
    <row r="32" spans="1:3" ht="14.1" customHeight="1" x14ac:dyDescent="0.25">
      <c r="A32" s="159">
        <v>59</v>
      </c>
      <c r="B32" s="158">
        <v>1.488</v>
      </c>
      <c r="C32" s="161">
        <v>1.665</v>
      </c>
    </row>
    <row r="33" spans="1:3" ht="14.1" customHeight="1" x14ac:dyDescent="0.25">
      <c r="A33" s="159">
        <v>60</v>
      </c>
      <c r="B33" s="158">
        <v>1.514</v>
      </c>
      <c r="C33" s="160">
        <v>1.7050000000000001</v>
      </c>
    </row>
    <row r="34" spans="1:3" ht="14.1" customHeight="1" x14ac:dyDescent="0.25">
      <c r="A34" s="159">
        <v>61</v>
      </c>
      <c r="B34" s="158">
        <v>1.5409999999999999</v>
      </c>
      <c r="C34" s="161">
        <v>1.744</v>
      </c>
    </row>
    <row r="35" spans="1:3" ht="14.1" customHeight="1" x14ac:dyDescent="0.25">
      <c r="A35" s="159">
        <v>62</v>
      </c>
      <c r="B35" s="158">
        <v>1.5680000000000001</v>
      </c>
      <c r="C35" s="160">
        <v>1.778</v>
      </c>
    </row>
    <row r="36" spans="1:3" ht="14.1" customHeight="1" x14ac:dyDescent="0.25">
      <c r="A36" s="159">
        <v>63</v>
      </c>
      <c r="B36" s="158">
        <v>1.5980000000000001</v>
      </c>
      <c r="C36" s="161">
        <v>1.8080000000000001</v>
      </c>
    </row>
    <row r="37" spans="1:3" ht="14.1" customHeight="1" x14ac:dyDescent="0.25">
      <c r="A37" s="159">
        <v>64</v>
      </c>
      <c r="B37" s="158">
        <v>1.629</v>
      </c>
      <c r="C37" s="160">
        <v>1.839</v>
      </c>
    </row>
    <row r="38" spans="1:3" ht="14.1" customHeight="1" x14ac:dyDescent="0.25">
      <c r="A38" s="159">
        <v>65</v>
      </c>
      <c r="B38" s="158">
        <v>1.663</v>
      </c>
      <c r="C38" s="161">
        <v>1.873</v>
      </c>
    </row>
    <row r="39" spans="1:3" ht="14.1" customHeight="1" x14ac:dyDescent="0.25">
      <c r="A39" s="159">
        <v>66</v>
      </c>
      <c r="B39" s="158">
        <v>1.6990000000000001</v>
      </c>
      <c r="C39" s="160">
        <v>1.909</v>
      </c>
    </row>
    <row r="40" spans="1:3" ht="14.1" customHeight="1" x14ac:dyDescent="0.25">
      <c r="A40" s="159">
        <v>67</v>
      </c>
      <c r="B40" s="158">
        <v>1.738</v>
      </c>
      <c r="C40" s="161">
        <v>1.948</v>
      </c>
    </row>
    <row r="41" spans="1:3" ht="14.1" customHeight="1" x14ac:dyDescent="0.25">
      <c r="A41" s="159">
        <v>68</v>
      </c>
      <c r="B41" s="158">
        <v>1.7789999999999999</v>
      </c>
      <c r="C41" s="160">
        <v>1.9890000000000001</v>
      </c>
    </row>
    <row r="42" spans="1:3" ht="14.1" customHeight="1" x14ac:dyDescent="0.25">
      <c r="A42" s="159">
        <v>69</v>
      </c>
      <c r="B42" s="158">
        <v>1.823</v>
      </c>
      <c r="C42" s="161">
        <v>2.0329999999999999</v>
      </c>
    </row>
    <row r="43" spans="1:3" ht="14.1" customHeight="1" x14ac:dyDescent="0.25">
      <c r="A43" s="159">
        <v>70</v>
      </c>
      <c r="B43" s="158">
        <v>1.867</v>
      </c>
      <c r="C43" s="160">
        <v>2.077</v>
      </c>
    </row>
    <row r="44" spans="1:3" ht="14.1" customHeight="1" x14ac:dyDescent="0.25">
      <c r="A44" s="159">
        <v>71</v>
      </c>
      <c r="B44" s="158">
        <v>1.91</v>
      </c>
      <c r="C44" s="161">
        <v>2.12</v>
      </c>
    </row>
    <row r="45" spans="1:3" ht="14.1" customHeight="1" x14ac:dyDescent="0.25">
      <c r="A45" s="159">
        <v>72</v>
      </c>
      <c r="B45" s="158">
        <v>1.9530000000000001</v>
      </c>
      <c r="C45" s="160">
        <v>2.1629999999999998</v>
      </c>
    </row>
    <row r="46" spans="1:3" ht="14.1" customHeight="1" x14ac:dyDescent="0.25">
      <c r="A46" s="159">
        <v>73</v>
      </c>
      <c r="B46" s="158">
        <v>2.004</v>
      </c>
      <c r="C46" s="161">
        <v>2.214</v>
      </c>
    </row>
    <row r="47" spans="1:3" ht="14.1" customHeight="1" x14ac:dyDescent="0.25">
      <c r="A47" s="159">
        <v>74</v>
      </c>
      <c r="B47" s="158">
        <v>2.06</v>
      </c>
      <c r="C47" s="160">
        <v>2.27</v>
      </c>
    </row>
    <row r="48" spans="1:3" ht="14.1" customHeight="1" x14ac:dyDescent="0.25">
      <c r="A48" s="159">
        <v>75</v>
      </c>
      <c r="B48" s="158">
        <v>2.117</v>
      </c>
      <c r="C48" s="161">
        <v>2.327</v>
      </c>
    </row>
    <row r="49" spans="1:3" ht="14.1" customHeight="1" x14ac:dyDescent="0.25">
      <c r="A49" s="159">
        <v>76</v>
      </c>
      <c r="B49" s="158">
        <v>2.181</v>
      </c>
      <c r="C49" s="160">
        <v>2.391</v>
      </c>
    </row>
    <row r="50" spans="1:3" ht="14.1" customHeight="1" x14ac:dyDescent="0.25">
      <c r="A50" s="159">
        <v>77</v>
      </c>
      <c r="B50" s="158">
        <v>2.2549999999999999</v>
      </c>
      <c r="C50" s="161">
        <v>2.4649999999999999</v>
      </c>
    </row>
    <row r="51" spans="1:3" ht="14.1" customHeight="1" x14ac:dyDescent="0.25">
      <c r="A51" s="159">
        <v>78</v>
      </c>
      <c r="B51" s="158">
        <v>2.3359999999999999</v>
      </c>
      <c r="C51" s="160">
        <v>2.5459999999999998</v>
      </c>
    </row>
    <row r="52" spans="1:3" ht="14.1" customHeight="1" x14ac:dyDescent="0.25">
      <c r="A52" s="159">
        <v>79</v>
      </c>
      <c r="B52" s="158">
        <v>2.419</v>
      </c>
      <c r="C52" s="161">
        <v>2.629</v>
      </c>
    </row>
    <row r="53" spans="1:3" ht="14.1" customHeight="1" x14ac:dyDescent="0.25">
      <c r="A53" s="159">
        <v>80</v>
      </c>
      <c r="B53" s="158">
        <v>2.504</v>
      </c>
      <c r="C53" s="160">
        <v>2.714</v>
      </c>
    </row>
    <row r="54" spans="1:3" ht="14.1" customHeight="1" x14ac:dyDescent="0.25">
      <c r="A54" s="159">
        <v>81</v>
      </c>
      <c r="B54" s="158">
        <v>2.597</v>
      </c>
      <c r="C54" s="162"/>
    </row>
    <row r="55" spans="1:3" ht="14.1" customHeight="1" x14ac:dyDescent="0.25">
      <c r="A55" s="159">
        <v>82</v>
      </c>
      <c r="B55" s="158">
        <v>2.702</v>
      </c>
      <c r="C55" s="162"/>
    </row>
    <row r="56" spans="1:3" ht="14.1" customHeight="1" x14ac:dyDescent="0.25">
      <c r="A56" s="159">
        <v>83</v>
      </c>
      <c r="B56" s="158">
        <v>2.831</v>
      </c>
      <c r="C56" s="162"/>
    </row>
    <row r="57" spans="1:3" ht="14.1" customHeight="1" x14ac:dyDescent="0.25">
      <c r="A57" s="159">
        <v>84</v>
      </c>
      <c r="B57" s="158">
        <v>2.9809999999999999</v>
      </c>
      <c r="C57" s="162"/>
    </row>
    <row r="58" spans="1:3" ht="14.1" customHeight="1" x14ac:dyDescent="0.25">
      <c r="A58" s="159">
        <v>85</v>
      </c>
      <c r="B58" s="158">
        <v>3.153</v>
      </c>
      <c r="C58" s="162"/>
    </row>
    <row r="59" spans="1:3" ht="14.1" customHeight="1" x14ac:dyDescent="0.25">
      <c r="A59" s="159">
        <v>86</v>
      </c>
      <c r="B59" s="158">
        <v>3.3519999999999999</v>
      </c>
      <c r="C59" s="162"/>
    </row>
    <row r="60" spans="1:3" ht="14.1" customHeight="1" x14ac:dyDescent="0.25">
      <c r="A60" s="159">
        <v>87</v>
      </c>
      <c r="B60" s="158">
        <v>3.58</v>
      </c>
      <c r="C60" s="162"/>
    </row>
    <row r="61" spans="1:3" ht="14.1" customHeight="1" x14ac:dyDescent="0.25">
      <c r="A61" s="159">
        <v>88</v>
      </c>
      <c r="B61" s="158">
        <v>3.8420000000000001</v>
      </c>
      <c r="C61" s="162"/>
    </row>
    <row r="62" spans="1:3" ht="14.1" customHeight="1" x14ac:dyDescent="0.25">
      <c r="A62" s="159">
        <v>89</v>
      </c>
      <c r="B62" s="158">
        <v>4.1449999999999996</v>
      </c>
      <c r="C62" s="162"/>
    </row>
    <row r="63" spans="1:3" ht="14.1" customHeight="1" x14ac:dyDescent="0.25">
      <c r="A63" s="159">
        <v>90</v>
      </c>
      <c r="B63" s="158">
        <v>4.4930000000000003</v>
      </c>
      <c r="C63" s="162"/>
    </row>
  </sheetData>
  <mergeCells count="1">
    <mergeCell ref="A1:C1"/>
  </mergeCells>
  <pageMargins left="0.75" right="0.75" top="1" bottom="1" header="0.5" footer="0.5"/>
  <headerFooter>
    <oddFooter>&amp;C_x000D_&amp;1#&amp;"Aptos"&amp;10&amp;KFF0000 Classification: Open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/>
  </sheetViews>
  <sheetFormatPr defaultRowHeight="12.95" customHeight="1" x14ac:dyDescent="0.25"/>
  <sheetData/>
  <pageMargins left="0.7" right="0.7" top="0.75" bottom="0.75" header="0.3" footer="0.3"/>
  <headerFooter>
    <oddFooter>&amp;C_x000D_&amp;1#&amp;"Aptos"&amp;10&amp;KFF0000 Classification: Open</oddFooter>
  </headerFooter>
</worksheet>
</file>

<file path=docMetadata/LabelInfo.xml><?xml version="1.0" encoding="utf-8"?>
<clbl:labelList xmlns:clbl="http://schemas.microsoft.com/office/2020/mipLabelMetadata">
  <clbl:label id="{7dab719d-4dff-484d-a239-57edb81b7c83}" enabled="1" method="Privileged" siteId="{e0ef37b5-3c94-4d42-8e5d-20992b7ea1c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Pulje 1</vt:lpstr>
      <vt:lpstr>Pulje 2</vt:lpstr>
      <vt:lpstr>Meltzer-Faber</vt:lpstr>
      <vt:lpstr>'Pulje 1'!Print_Area</vt:lpstr>
      <vt:lpstr>'Pulje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2023-05-26T11:37:03Z</cp:lastPrinted>
  <dcterms:created xsi:type="dcterms:W3CDTF">2001-08-31T20:44:44Z</dcterms:created>
  <dcterms:modified xsi:type="dcterms:W3CDTF">2026-06-07T02:05:01Z</dcterms:modified>
</cp:coreProperties>
</file>