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drawings/drawing2.xml" ContentType="application/vnd.openxmlformats-officedocument.drawing+xml"/>
  <Override PartName="/xl/comments2.xml" ContentType="application/vnd.openxmlformats-officedocument.spreadsheetml.comments+xml"/>
  <Override PartName="/xl/drawings/drawing3.xml" ContentType="application/vnd.openxmlformats-officedocument.drawing+xml"/>
  <Override PartName="/xl/comments3.xml" ContentType="application/vnd.openxmlformats-officedocument.spreadsheetml.comments+xml"/>
  <Override PartName="/xl/drawings/drawing4.xml" ContentType="application/vnd.openxmlformats-officedocument.drawing+xml"/>
  <Override PartName="/xl/comments4.xml" ContentType="application/vnd.openxmlformats-officedocument.spreadsheetml.comments+xml"/>
  <Override PartName="/xl/drawings/drawing5.xml" ContentType="application/vnd.openxmlformats-officedocument.drawing+xml"/>
  <Override PartName="/xl/comments5.xml" ContentType="application/vnd.openxmlformats-officedocument.spreadsheetml.comments+xml"/>
  <Override PartName="/xl/drawings/drawing6.xml" ContentType="application/vnd.openxmlformats-officedocument.drawing+xml"/>
  <Override PartName="/xl/comments6.xml" ContentType="application/vnd.openxmlformats-officedocument.spreadsheetml.comments+xml"/>
  <Override PartName="/xl/drawings/drawing7.xml" ContentType="application/vnd.openxmlformats-officedocument.drawing+xml"/>
  <Override PartName="/xl/comments7.xml" ContentType="application/vnd.openxmlformats-officedocument.spreadsheetml.comments+xml"/>
  <Override PartName="/xl/drawings/drawing8.xml" ContentType="application/vnd.openxmlformats-officedocument.drawing+xml"/>
  <Override PartName="/xl/comments8.xml" ContentType="application/vnd.openxmlformats-officedocument.spreadsheetml.comments+xml"/>
  <Override PartName="/xl/drawings/drawing9.xml" ContentType="application/vnd.openxmlformats-officedocument.drawing+xml"/>
  <Override PartName="/xl/comments9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830"/>
  <workbookPr/>
  <mc:AlternateContent xmlns:mc="http://schemas.openxmlformats.org/markup-compatibility/2006">
    <mc:Choice Requires="x15">
      <x15ac:absPath xmlns:x15ac="http://schemas.microsoft.com/office/spreadsheetml/2010/11/ac" url="/Users/emelienilsen/Desktop/"/>
    </mc:Choice>
  </mc:AlternateContent>
  <xr:revisionPtr revIDLastSave="0" documentId="13_ncr:1_{7BF50384-AFED-5C4F-BDD5-555FA8B7E68D}" xr6:coauthVersionLast="47" xr6:coauthVersionMax="47" xr10:uidLastSave="{00000000-0000-0000-0000-000000000000}"/>
  <bookViews>
    <workbookView xWindow="0" yWindow="600" windowWidth="28800" windowHeight="16240" tabRatio="500" activeTab="10" xr2:uid="{00000000-000D-0000-FFFF-FFFF00000000}"/>
  </bookViews>
  <sheets>
    <sheet name="Pulje 1 (1)" sheetId="1" r:id="rId1"/>
    <sheet name="Pulje 1 (2)" sheetId="2" r:id="rId2"/>
    <sheet name="Meltzer-Faber" sheetId="3" state="hidden" r:id="rId3"/>
    <sheet name="Module1" sheetId="4" state="hidden" r:id="rId4"/>
    <sheet name="Pulje 2" sheetId="5" r:id="rId5"/>
    <sheet name="Pulje 3 (1)" sheetId="6" r:id="rId6"/>
    <sheet name="Pulje 3 (2)" sheetId="7" r:id="rId7"/>
    <sheet name="Pulje 4" sheetId="8" r:id="rId8"/>
    <sheet name="Pulje 5" sheetId="9" r:id="rId9"/>
    <sheet name="Pulje 6" sheetId="10" r:id="rId10"/>
    <sheet name="Pulje 7" sheetId="11" r:id="rId11"/>
  </sheets>
  <definedNames>
    <definedName name="_xlnm.Print_Area" localSheetId="2">'Meltzer-Faber'!$A1:$C63</definedName>
    <definedName name="_xlnm.Print_Area" localSheetId="0">'Pulje 1 (1)'!$B1:$AB46</definedName>
    <definedName name="_xlnm.Print_Area" localSheetId="1">'Pulje 1 (2)'!$B1:$AB46</definedName>
    <definedName name="_xlnm.Print_Area" localSheetId="4">'Pulje 2'!$B1:$AB46</definedName>
    <definedName name="_xlnm.Print_Area" localSheetId="5">'Pulje 3 (1)'!$B1:$AB46</definedName>
    <definedName name="_xlnm.Print_Area" localSheetId="6">'Pulje 3 (2)'!$B1:$AB46</definedName>
    <definedName name="_xlnm.Print_Area" localSheetId="7">'Pulje 4'!$B1:$AB46</definedName>
    <definedName name="_xlnm.Print_Area" localSheetId="8">'Pulje 5'!$B1:$AB46</definedName>
    <definedName name="_xlnm.Print_Area" localSheetId="9">'Pulje 6'!$B1:$AB46</definedName>
    <definedName name="_xlnm.Print_Area" localSheetId="10">'Pulje 7'!$B1:$AB46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AF33" i="11" l="1"/>
  <c r="AE33" i="11"/>
  <c r="X32" i="11"/>
  <c r="W32" i="11"/>
  <c r="V32" i="11"/>
  <c r="Y32" i="11" s="1"/>
  <c r="AJ31" i="11"/>
  <c r="AD31" i="11"/>
  <c r="AI31" i="11" s="1"/>
  <c r="AC31" i="11"/>
  <c r="AE31" i="11" s="1"/>
  <c r="R31" i="11"/>
  <c r="Q31" i="11"/>
  <c r="S31" i="11" s="1"/>
  <c r="T31" i="11" s="1"/>
  <c r="S32" i="11" s="1"/>
  <c r="Y30" i="11"/>
  <c r="AJ29" i="11"/>
  <c r="AD29" i="11"/>
  <c r="AI29" i="11" s="1"/>
  <c r="AC29" i="11"/>
  <c r="AE29" i="11" s="1"/>
  <c r="R29" i="11"/>
  <c r="Q29" i="11"/>
  <c r="S29" i="11" s="1"/>
  <c r="T29" i="11" s="1"/>
  <c r="S30" i="11" s="1"/>
  <c r="Y28" i="11"/>
  <c r="AJ27" i="11"/>
  <c r="AD27" i="11"/>
  <c r="AI27" i="11" s="1"/>
  <c r="AC27" i="11"/>
  <c r="AE27" i="11" s="1"/>
  <c r="R27" i="11"/>
  <c r="Q27" i="11"/>
  <c r="S27" i="11" s="1"/>
  <c r="T27" i="11" s="1"/>
  <c r="S28" i="11" s="1"/>
  <c r="Y26" i="11"/>
  <c r="AJ25" i="11"/>
  <c r="AD25" i="11"/>
  <c r="AI25" i="11" s="1"/>
  <c r="AC25" i="11"/>
  <c r="AE25" i="11" s="1"/>
  <c r="R25" i="11"/>
  <c r="Q25" i="11"/>
  <c r="S25" i="11" s="1"/>
  <c r="T25" i="11" s="1"/>
  <c r="S26" i="11" s="1"/>
  <c r="Y24" i="11"/>
  <c r="AJ23" i="11"/>
  <c r="AD23" i="11"/>
  <c r="AI23" i="11" s="1"/>
  <c r="AC23" i="11"/>
  <c r="AE23" i="11" s="1"/>
  <c r="R23" i="11"/>
  <c r="Q23" i="11"/>
  <c r="S23" i="11" s="1"/>
  <c r="T23" i="11" s="1"/>
  <c r="S24" i="11" s="1"/>
  <c r="X22" i="11"/>
  <c r="V22" i="11"/>
  <c r="AJ21" i="11"/>
  <c r="W22" i="11" s="1"/>
  <c r="AD21" i="11"/>
  <c r="AC21" i="11"/>
  <c r="AE21" i="11" s="1"/>
  <c r="R21" i="11"/>
  <c r="Q21" i="11"/>
  <c r="S21" i="11" s="1"/>
  <c r="T21" i="11" s="1"/>
  <c r="S22" i="11" s="1"/>
  <c r="X20" i="11"/>
  <c r="V20" i="11"/>
  <c r="AJ19" i="11"/>
  <c r="W20" i="11" s="1"/>
  <c r="AD19" i="11"/>
  <c r="AC19" i="11"/>
  <c r="AE19" i="11" s="1"/>
  <c r="R19" i="11"/>
  <c r="Q19" i="11"/>
  <c r="S19" i="11" s="1"/>
  <c r="T19" i="11" s="1"/>
  <c r="S20" i="11" s="1"/>
  <c r="X18" i="11"/>
  <c r="V18" i="11"/>
  <c r="Y18" i="11" s="1"/>
  <c r="AJ17" i="11"/>
  <c r="W18" i="11" s="1"/>
  <c r="AD17" i="11"/>
  <c r="AC17" i="11"/>
  <c r="AE17" i="11" s="1"/>
  <c r="R17" i="11"/>
  <c r="Q17" i="11"/>
  <c r="S17" i="11" s="1"/>
  <c r="T17" i="11" s="1"/>
  <c r="S18" i="11" s="1"/>
  <c r="X16" i="11"/>
  <c r="V16" i="11"/>
  <c r="AJ15" i="11"/>
  <c r="W16" i="11" s="1"/>
  <c r="AD15" i="11"/>
  <c r="AC15" i="11"/>
  <c r="AE15" i="11" s="1"/>
  <c r="R15" i="11"/>
  <c r="Q15" i="11"/>
  <c r="S15" i="11" s="1"/>
  <c r="T15" i="11" s="1"/>
  <c r="S16" i="11" s="1"/>
  <c r="X14" i="11"/>
  <c r="V14" i="11"/>
  <c r="AJ13" i="11"/>
  <c r="W14" i="11" s="1"/>
  <c r="AD13" i="11"/>
  <c r="AC13" i="11"/>
  <c r="AE13" i="11" s="1"/>
  <c r="R13" i="11"/>
  <c r="Q13" i="11"/>
  <c r="S13" i="11" s="1"/>
  <c r="T13" i="11" s="1"/>
  <c r="S14" i="11" s="1"/>
  <c r="X12" i="11"/>
  <c r="V12" i="11"/>
  <c r="AJ11" i="11"/>
  <c r="W12" i="11" s="1"/>
  <c r="AD11" i="11"/>
  <c r="AC11" i="11"/>
  <c r="AE11" i="11" s="1"/>
  <c r="R11" i="11"/>
  <c r="Q11" i="11"/>
  <c r="S11" i="11" s="1"/>
  <c r="T11" i="11" s="1"/>
  <c r="S12" i="11" s="1"/>
  <c r="X10" i="11"/>
  <c r="V10" i="11"/>
  <c r="Y10" i="11" s="1"/>
  <c r="AJ9" i="11"/>
  <c r="W10" i="11" s="1"/>
  <c r="AD9" i="11"/>
  <c r="AC9" i="11"/>
  <c r="AE9" i="11" s="1"/>
  <c r="R9" i="11"/>
  <c r="Q9" i="11"/>
  <c r="S9" i="11" s="1"/>
  <c r="T9" i="11" s="1"/>
  <c r="S10" i="11" s="1"/>
  <c r="AF33" i="9"/>
  <c r="AE33" i="9"/>
  <c r="X32" i="9"/>
  <c r="W32" i="9"/>
  <c r="V32" i="9"/>
  <c r="Y32" i="9" s="1"/>
  <c r="AJ31" i="9"/>
  <c r="AD31" i="9"/>
  <c r="AI31" i="9" s="1"/>
  <c r="AC31" i="9"/>
  <c r="AE31" i="9" s="1"/>
  <c r="R31" i="9"/>
  <c r="Q31" i="9"/>
  <c r="S31" i="9" s="1"/>
  <c r="T31" i="9" s="1"/>
  <c r="S32" i="9" s="1"/>
  <c r="Y30" i="9"/>
  <c r="AJ29" i="9"/>
  <c r="AD29" i="9"/>
  <c r="AI29" i="9" s="1"/>
  <c r="AC29" i="9"/>
  <c r="AE29" i="9" s="1"/>
  <c r="R29" i="9"/>
  <c r="Q29" i="9"/>
  <c r="S29" i="9" s="1"/>
  <c r="T29" i="9" s="1"/>
  <c r="S30" i="9" s="1"/>
  <c r="Y28" i="9"/>
  <c r="AJ27" i="9"/>
  <c r="AD27" i="9"/>
  <c r="AI27" i="9" s="1"/>
  <c r="AC27" i="9"/>
  <c r="AE27" i="9" s="1"/>
  <c r="R27" i="9"/>
  <c r="Q27" i="9"/>
  <c r="S27" i="9" s="1"/>
  <c r="T27" i="9" s="1"/>
  <c r="S28" i="9" s="1"/>
  <c r="X26" i="9"/>
  <c r="V26" i="9"/>
  <c r="Y26" i="9" s="1"/>
  <c r="AJ25" i="9"/>
  <c r="W26" i="9" s="1"/>
  <c r="AD25" i="9"/>
  <c r="AC25" i="9"/>
  <c r="AE25" i="9" s="1"/>
  <c r="R25" i="9"/>
  <c r="Q25" i="9"/>
  <c r="S25" i="9" s="1"/>
  <c r="T25" i="9" s="1"/>
  <c r="S26" i="9" s="1"/>
  <c r="X24" i="9"/>
  <c r="V24" i="9"/>
  <c r="AJ23" i="9"/>
  <c r="W24" i="9" s="1"/>
  <c r="AD23" i="9"/>
  <c r="AC23" i="9"/>
  <c r="AE23" i="9" s="1"/>
  <c r="R23" i="9"/>
  <c r="Q23" i="9"/>
  <c r="S23" i="9" s="1"/>
  <c r="T23" i="9" s="1"/>
  <c r="S24" i="9" s="1"/>
  <c r="X22" i="9"/>
  <c r="V22" i="9"/>
  <c r="AJ21" i="9"/>
  <c r="W22" i="9" s="1"/>
  <c r="AD21" i="9"/>
  <c r="AC21" i="9"/>
  <c r="AE21" i="9" s="1"/>
  <c r="R21" i="9"/>
  <c r="Q21" i="9"/>
  <c r="S21" i="9" s="1"/>
  <c r="T21" i="9" s="1"/>
  <c r="S22" i="9" s="1"/>
  <c r="X20" i="9"/>
  <c r="V20" i="9"/>
  <c r="Y20" i="9" s="1"/>
  <c r="AJ19" i="9"/>
  <c r="W20" i="9" s="1"/>
  <c r="AD19" i="9"/>
  <c r="AC19" i="9"/>
  <c r="AE19" i="9" s="1"/>
  <c r="R19" i="9"/>
  <c r="Q19" i="9"/>
  <c r="S19" i="9" s="1"/>
  <c r="T19" i="9" s="1"/>
  <c r="S20" i="9" s="1"/>
  <c r="X18" i="9"/>
  <c r="V18" i="9"/>
  <c r="Y18" i="9" s="1"/>
  <c r="AJ17" i="9"/>
  <c r="W18" i="9" s="1"/>
  <c r="AD17" i="9"/>
  <c r="AC17" i="9"/>
  <c r="AE17" i="9" s="1"/>
  <c r="R17" i="9"/>
  <c r="Q17" i="9"/>
  <c r="S17" i="9" s="1"/>
  <c r="T17" i="9" s="1"/>
  <c r="S18" i="9" s="1"/>
  <c r="X16" i="9"/>
  <c r="V16" i="9"/>
  <c r="Y16" i="9" s="1"/>
  <c r="AJ15" i="9"/>
  <c r="W16" i="9" s="1"/>
  <c r="AD15" i="9"/>
  <c r="AC15" i="9"/>
  <c r="AE15" i="9" s="1"/>
  <c r="R15" i="9"/>
  <c r="Q15" i="9"/>
  <c r="S15" i="9" s="1"/>
  <c r="T15" i="9" s="1"/>
  <c r="S16" i="9" s="1"/>
  <c r="X14" i="9"/>
  <c r="V14" i="9"/>
  <c r="AJ13" i="9"/>
  <c r="W14" i="9" s="1"/>
  <c r="AD13" i="9"/>
  <c r="AC13" i="9"/>
  <c r="AE13" i="9" s="1"/>
  <c r="R13" i="9"/>
  <c r="Q13" i="9"/>
  <c r="S13" i="9" s="1"/>
  <c r="T13" i="9" s="1"/>
  <c r="S14" i="9" s="1"/>
  <c r="X12" i="9"/>
  <c r="V12" i="9"/>
  <c r="AJ11" i="9"/>
  <c r="W12" i="9" s="1"/>
  <c r="AD11" i="9"/>
  <c r="AC11" i="9"/>
  <c r="AE11" i="9" s="1"/>
  <c r="R11" i="9"/>
  <c r="Q11" i="9"/>
  <c r="S11" i="9" s="1"/>
  <c r="T11" i="9" s="1"/>
  <c r="S12" i="9" s="1"/>
  <c r="X10" i="9"/>
  <c r="V10" i="9"/>
  <c r="AJ9" i="9"/>
  <c r="W10" i="9" s="1"/>
  <c r="AD9" i="9"/>
  <c r="AC9" i="9"/>
  <c r="AE9" i="9" s="1"/>
  <c r="R9" i="9"/>
  <c r="Q9" i="9"/>
  <c r="S9" i="9" s="1"/>
  <c r="T9" i="9" s="1"/>
  <c r="S10" i="9" s="1"/>
  <c r="AF33" i="8"/>
  <c r="AE33" i="8"/>
  <c r="X32" i="8"/>
  <c r="W32" i="8"/>
  <c r="V32" i="8"/>
  <c r="Y32" i="8" s="1"/>
  <c r="AJ31" i="8"/>
  <c r="AD31" i="8"/>
  <c r="AI31" i="8" s="1"/>
  <c r="AC31" i="8"/>
  <c r="AE31" i="8" s="1"/>
  <c r="R31" i="8"/>
  <c r="Q31" i="8"/>
  <c r="S31" i="8" s="1"/>
  <c r="T31" i="8" s="1"/>
  <c r="S32" i="8" s="1"/>
  <c r="X30" i="8"/>
  <c r="V30" i="8"/>
  <c r="AJ29" i="8"/>
  <c r="W30" i="8" s="1"/>
  <c r="AD29" i="8"/>
  <c r="AC29" i="8"/>
  <c r="AE29" i="8" s="1"/>
  <c r="R29" i="8"/>
  <c r="Q29" i="8"/>
  <c r="S29" i="8" s="1"/>
  <c r="T29" i="8" s="1"/>
  <c r="S30" i="8" s="1"/>
  <c r="X28" i="8"/>
  <c r="V28" i="8"/>
  <c r="AJ27" i="8"/>
  <c r="W28" i="8" s="1"/>
  <c r="AD27" i="8"/>
  <c r="AC27" i="8"/>
  <c r="AE27" i="8" s="1"/>
  <c r="R27" i="8"/>
  <c r="Q27" i="8"/>
  <c r="S27" i="8" s="1"/>
  <c r="T27" i="8" s="1"/>
  <c r="S28" i="8" s="1"/>
  <c r="X26" i="8"/>
  <c r="V26" i="8"/>
  <c r="AJ25" i="8"/>
  <c r="W26" i="8" s="1"/>
  <c r="AD25" i="8"/>
  <c r="AC25" i="8"/>
  <c r="AE25" i="8" s="1"/>
  <c r="R25" i="8"/>
  <c r="Q25" i="8"/>
  <c r="S25" i="8" s="1"/>
  <c r="T25" i="8" s="1"/>
  <c r="S26" i="8" s="1"/>
  <c r="X24" i="8"/>
  <c r="V24" i="8"/>
  <c r="AJ23" i="8"/>
  <c r="W24" i="8" s="1"/>
  <c r="AD23" i="8"/>
  <c r="AC23" i="8"/>
  <c r="AE23" i="8" s="1"/>
  <c r="R23" i="8"/>
  <c r="Q23" i="8"/>
  <c r="S23" i="8" s="1"/>
  <c r="T23" i="8" s="1"/>
  <c r="S24" i="8" s="1"/>
  <c r="X22" i="8"/>
  <c r="V22" i="8"/>
  <c r="Y22" i="8" s="1"/>
  <c r="AJ21" i="8"/>
  <c r="W22" i="8" s="1"/>
  <c r="AD21" i="8"/>
  <c r="AC21" i="8"/>
  <c r="AE21" i="8" s="1"/>
  <c r="R21" i="8"/>
  <c r="Q21" i="8"/>
  <c r="S21" i="8" s="1"/>
  <c r="T21" i="8" s="1"/>
  <c r="S22" i="8" s="1"/>
  <c r="X20" i="8"/>
  <c r="V20" i="8"/>
  <c r="AJ19" i="8"/>
  <c r="W20" i="8" s="1"/>
  <c r="AD19" i="8"/>
  <c r="AC19" i="8"/>
  <c r="AE19" i="8" s="1"/>
  <c r="R19" i="8"/>
  <c r="Q19" i="8"/>
  <c r="S19" i="8" s="1"/>
  <c r="T19" i="8" s="1"/>
  <c r="S20" i="8" s="1"/>
  <c r="X18" i="8"/>
  <c r="V18" i="8"/>
  <c r="AJ17" i="8"/>
  <c r="W18" i="8" s="1"/>
  <c r="AD17" i="8"/>
  <c r="AC17" i="8"/>
  <c r="AE17" i="8" s="1"/>
  <c r="R17" i="8"/>
  <c r="Q17" i="8"/>
  <c r="S17" i="8" s="1"/>
  <c r="T17" i="8" s="1"/>
  <c r="S18" i="8" s="1"/>
  <c r="X16" i="8"/>
  <c r="V16" i="8"/>
  <c r="AJ15" i="8"/>
  <c r="W16" i="8" s="1"/>
  <c r="AD15" i="8"/>
  <c r="AC15" i="8"/>
  <c r="AE15" i="8" s="1"/>
  <c r="R15" i="8"/>
  <c r="Q15" i="8"/>
  <c r="S15" i="8" s="1"/>
  <c r="T15" i="8" s="1"/>
  <c r="S16" i="8" s="1"/>
  <c r="X14" i="8"/>
  <c r="V14" i="8"/>
  <c r="AJ13" i="8"/>
  <c r="W14" i="8" s="1"/>
  <c r="AD13" i="8"/>
  <c r="AC13" i="8"/>
  <c r="AE13" i="8" s="1"/>
  <c r="R13" i="8"/>
  <c r="Q13" i="8"/>
  <c r="S13" i="8" s="1"/>
  <c r="T13" i="8" s="1"/>
  <c r="S14" i="8" s="1"/>
  <c r="X12" i="8"/>
  <c r="V12" i="8"/>
  <c r="AJ11" i="8"/>
  <c r="W12" i="8" s="1"/>
  <c r="AD11" i="8"/>
  <c r="AC11" i="8"/>
  <c r="AE11" i="8" s="1"/>
  <c r="R11" i="8"/>
  <c r="Q11" i="8"/>
  <c r="S11" i="8" s="1"/>
  <c r="T11" i="8" s="1"/>
  <c r="S12" i="8" s="1"/>
  <c r="X10" i="8"/>
  <c r="V10" i="8"/>
  <c r="AJ9" i="8"/>
  <c r="W10" i="8" s="1"/>
  <c r="AD9" i="8"/>
  <c r="AC9" i="8"/>
  <c r="AE9" i="8" s="1"/>
  <c r="R9" i="8"/>
  <c r="Q9" i="8"/>
  <c r="S9" i="8" s="1"/>
  <c r="T9" i="8" s="1"/>
  <c r="S10" i="8" s="1"/>
  <c r="AF33" i="7"/>
  <c r="AE33" i="7"/>
  <c r="X32" i="7"/>
  <c r="W32" i="7"/>
  <c r="V32" i="7"/>
  <c r="Y32" i="7" s="1"/>
  <c r="AJ31" i="7"/>
  <c r="AD31" i="7"/>
  <c r="AI31" i="7" s="1"/>
  <c r="AC31" i="7"/>
  <c r="AE31" i="7" s="1"/>
  <c r="R31" i="7"/>
  <c r="Q31" i="7"/>
  <c r="S31" i="7" s="1"/>
  <c r="T31" i="7" s="1"/>
  <c r="S32" i="7" s="1"/>
  <c r="Y30" i="7"/>
  <c r="AJ29" i="7"/>
  <c r="AD29" i="7"/>
  <c r="AI29" i="7" s="1"/>
  <c r="AC29" i="7"/>
  <c r="AE29" i="7" s="1"/>
  <c r="R29" i="7"/>
  <c r="Q29" i="7"/>
  <c r="S29" i="7" s="1"/>
  <c r="T29" i="7" s="1"/>
  <c r="S30" i="7" s="1"/>
  <c r="Y28" i="7"/>
  <c r="AJ27" i="7"/>
  <c r="AD27" i="7"/>
  <c r="AI27" i="7" s="1"/>
  <c r="AC27" i="7"/>
  <c r="AE27" i="7" s="1"/>
  <c r="R27" i="7"/>
  <c r="Q27" i="7"/>
  <c r="S27" i="7" s="1"/>
  <c r="T27" i="7" s="1"/>
  <c r="S28" i="7" s="1"/>
  <c r="Y26" i="7"/>
  <c r="AJ25" i="7"/>
  <c r="AD25" i="7"/>
  <c r="AI25" i="7" s="1"/>
  <c r="AC25" i="7"/>
  <c r="AE25" i="7" s="1"/>
  <c r="R25" i="7"/>
  <c r="Q25" i="7"/>
  <c r="S25" i="7" s="1"/>
  <c r="T25" i="7" s="1"/>
  <c r="S26" i="7" s="1"/>
  <c r="Y24" i="7"/>
  <c r="AJ23" i="7"/>
  <c r="AD23" i="7"/>
  <c r="AI23" i="7" s="1"/>
  <c r="AC23" i="7"/>
  <c r="AE23" i="7" s="1"/>
  <c r="R23" i="7"/>
  <c r="Q23" i="7"/>
  <c r="S23" i="7" s="1"/>
  <c r="T23" i="7" s="1"/>
  <c r="S24" i="7" s="1"/>
  <c r="Y22" i="7"/>
  <c r="AJ21" i="7"/>
  <c r="AD21" i="7"/>
  <c r="AI21" i="7" s="1"/>
  <c r="AC21" i="7"/>
  <c r="AE21" i="7" s="1"/>
  <c r="R21" i="7"/>
  <c r="Q21" i="7"/>
  <c r="S21" i="7" s="1"/>
  <c r="T21" i="7" s="1"/>
  <c r="S22" i="7" s="1"/>
  <c r="Y20" i="7"/>
  <c r="AJ19" i="7"/>
  <c r="AD19" i="7"/>
  <c r="AI19" i="7" s="1"/>
  <c r="AC19" i="7"/>
  <c r="AE19" i="7" s="1"/>
  <c r="R19" i="7"/>
  <c r="Q19" i="7"/>
  <c r="S19" i="7" s="1"/>
  <c r="T19" i="7" s="1"/>
  <c r="S20" i="7" s="1"/>
  <c r="Y18" i="7"/>
  <c r="AJ17" i="7"/>
  <c r="AD17" i="7"/>
  <c r="AI17" i="7" s="1"/>
  <c r="AC17" i="7"/>
  <c r="AE17" i="7" s="1"/>
  <c r="R17" i="7"/>
  <c r="Q17" i="7"/>
  <c r="S17" i="7" s="1"/>
  <c r="T17" i="7" s="1"/>
  <c r="S18" i="7" s="1"/>
  <c r="Y16" i="7"/>
  <c r="AJ15" i="7"/>
  <c r="AD15" i="7"/>
  <c r="AI15" i="7" s="1"/>
  <c r="AC15" i="7"/>
  <c r="AE15" i="7" s="1"/>
  <c r="R15" i="7"/>
  <c r="Q15" i="7"/>
  <c r="S15" i="7" s="1"/>
  <c r="T15" i="7" s="1"/>
  <c r="S16" i="7" s="1"/>
  <c r="Y14" i="7"/>
  <c r="AJ13" i="7"/>
  <c r="AD13" i="7"/>
  <c r="AI13" i="7" s="1"/>
  <c r="AC13" i="7"/>
  <c r="AE13" i="7" s="1"/>
  <c r="R13" i="7"/>
  <c r="Q13" i="7"/>
  <c r="S13" i="7" s="1"/>
  <c r="T13" i="7" s="1"/>
  <c r="S14" i="7" s="1"/>
  <c r="X12" i="7"/>
  <c r="V12" i="7"/>
  <c r="AJ11" i="7"/>
  <c r="W12" i="7" s="1"/>
  <c r="AD11" i="7"/>
  <c r="AC11" i="7"/>
  <c r="AE11" i="7" s="1"/>
  <c r="R11" i="7"/>
  <c r="Q11" i="7"/>
  <c r="S11" i="7" s="1"/>
  <c r="T11" i="7" s="1"/>
  <c r="S12" i="7" s="1"/>
  <c r="X10" i="7"/>
  <c r="V10" i="7"/>
  <c r="AJ9" i="7"/>
  <c r="W10" i="7" s="1"/>
  <c r="AD9" i="7"/>
  <c r="AC9" i="7"/>
  <c r="AE9" i="7" s="1"/>
  <c r="R9" i="7"/>
  <c r="Q9" i="7"/>
  <c r="S9" i="7" s="1"/>
  <c r="T9" i="7" s="1"/>
  <c r="S10" i="7" s="1"/>
  <c r="AF33" i="6"/>
  <c r="AE33" i="6"/>
  <c r="X32" i="6"/>
  <c r="V32" i="6"/>
  <c r="AJ31" i="6"/>
  <c r="W32" i="6" s="1"/>
  <c r="AD31" i="6"/>
  <c r="AC31" i="6"/>
  <c r="AE31" i="6" s="1"/>
  <c r="R31" i="6"/>
  <c r="Q31" i="6"/>
  <c r="S31" i="6" s="1"/>
  <c r="T31" i="6" s="1"/>
  <c r="S32" i="6" s="1"/>
  <c r="X30" i="6"/>
  <c r="V30" i="6"/>
  <c r="AJ29" i="6"/>
  <c r="W30" i="6" s="1"/>
  <c r="AD29" i="6"/>
  <c r="AC29" i="6"/>
  <c r="AE29" i="6" s="1"/>
  <c r="R29" i="6"/>
  <c r="Q29" i="6"/>
  <c r="S29" i="6" s="1"/>
  <c r="T29" i="6" s="1"/>
  <c r="S30" i="6" s="1"/>
  <c r="X28" i="6"/>
  <c r="V28" i="6"/>
  <c r="AJ27" i="6"/>
  <c r="W28" i="6" s="1"/>
  <c r="AD27" i="6"/>
  <c r="AC27" i="6"/>
  <c r="AE27" i="6" s="1"/>
  <c r="R27" i="6"/>
  <c r="Q27" i="6"/>
  <c r="S27" i="6" s="1"/>
  <c r="T27" i="6" s="1"/>
  <c r="S28" i="6" s="1"/>
  <c r="X26" i="6"/>
  <c r="V26" i="6"/>
  <c r="AJ25" i="6"/>
  <c r="W26" i="6" s="1"/>
  <c r="AD25" i="6"/>
  <c r="AC25" i="6"/>
  <c r="AE25" i="6" s="1"/>
  <c r="R25" i="6"/>
  <c r="Q25" i="6"/>
  <c r="S25" i="6" s="1"/>
  <c r="T25" i="6" s="1"/>
  <c r="S26" i="6" s="1"/>
  <c r="X24" i="6"/>
  <c r="V24" i="6"/>
  <c r="AJ23" i="6"/>
  <c r="W24" i="6" s="1"/>
  <c r="AD23" i="6"/>
  <c r="AC23" i="6"/>
  <c r="AE23" i="6" s="1"/>
  <c r="R23" i="6"/>
  <c r="Q23" i="6"/>
  <c r="S23" i="6" s="1"/>
  <c r="T23" i="6" s="1"/>
  <c r="S24" i="6" s="1"/>
  <c r="X22" i="6"/>
  <c r="V22" i="6"/>
  <c r="AJ21" i="6"/>
  <c r="W22" i="6" s="1"/>
  <c r="AD21" i="6"/>
  <c r="AC21" i="6"/>
  <c r="AE21" i="6" s="1"/>
  <c r="R21" i="6"/>
  <c r="Q21" i="6"/>
  <c r="S21" i="6" s="1"/>
  <c r="T21" i="6" s="1"/>
  <c r="S22" i="6" s="1"/>
  <c r="X20" i="6"/>
  <c r="V20" i="6"/>
  <c r="AJ19" i="6"/>
  <c r="W20" i="6" s="1"/>
  <c r="AD19" i="6"/>
  <c r="AC19" i="6"/>
  <c r="AE19" i="6" s="1"/>
  <c r="R19" i="6"/>
  <c r="Q19" i="6"/>
  <c r="S19" i="6" s="1"/>
  <c r="T19" i="6" s="1"/>
  <c r="S20" i="6" s="1"/>
  <c r="X18" i="6"/>
  <c r="V18" i="6"/>
  <c r="AJ17" i="6"/>
  <c r="W18" i="6" s="1"/>
  <c r="AD17" i="6"/>
  <c r="AC17" i="6"/>
  <c r="AE17" i="6" s="1"/>
  <c r="R17" i="6"/>
  <c r="Q17" i="6"/>
  <c r="S17" i="6" s="1"/>
  <c r="T17" i="6" s="1"/>
  <c r="S18" i="6" s="1"/>
  <c r="X16" i="6"/>
  <c r="V16" i="6"/>
  <c r="AJ15" i="6"/>
  <c r="W16" i="6" s="1"/>
  <c r="AD15" i="6"/>
  <c r="AC15" i="6"/>
  <c r="AE15" i="6" s="1"/>
  <c r="R15" i="6"/>
  <c r="Q15" i="6"/>
  <c r="S15" i="6" s="1"/>
  <c r="T15" i="6" s="1"/>
  <c r="S16" i="6" s="1"/>
  <c r="X14" i="6"/>
  <c r="V14" i="6"/>
  <c r="AJ13" i="6"/>
  <c r="W14" i="6" s="1"/>
  <c r="AD13" i="6"/>
  <c r="AC13" i="6"/>
  <c r="AE13" i="6" s="1"/>
  <c r="R13" i="6"/>
  <c r="Q13" i="6"/>
  <c r="S13" i="6" s="1"/>
  <c r="T13" i="6" s="1"/>
  <c r="S14" i="6" s="1"/>
  <c r="X12" i="6"/>
  <c r="V12" i="6"/>
  <c r="AJ11" i="6"/>
  <c r="W12" i="6" s="1"/>
  <c r="AD11" i="6"/>
  <c r="AC11" i="6"/>
  <c r="AE11" i="6" s="1"/>
  <c r="R11" i="6"/>
  <c r="Q11" i="6"/>
  <c r="S11" i="6" s="1"/>
  <c r="T11" i="6" s="1"/>
  <c r="S12" i="6" s="1"/>
  <c r="X10" i="6"/>
  <c r="V10" i="6"/>
  <c r="AJ9" i="6"/>
  <c r="W10" i="6" s="1"/>
  <c r="AD9" i="6"/>
  <c r="AC9" i="6"/>
  <c r="AE9" i="6" s="1"/>
  <c r="R9" i="6"/>
  <c r="Q9" i="6"/>
  <c r="S9" i="6" s="1"/>
  <c r="T9" i="6" s="1"/>
  <c r="S10" i="6" s="1"/>
  <c r="AF33" i="5"/>
  <c r="AE33" i="5"/>
  <c r="X32" i="5"/>
  <c r="V32" i="5"/>
  <c r="AJ31" i="5"/>
  <c r="W32" i="5" s="1"/>
  <c r="AD31" i="5"/>
  <c r="AC31" i="5"/>
  <c r="AE31" i="5" s="1"/>
  <c r="R31" i="5"/>
  <c r="Q31" i="5"/>
  <c r="S31" i="5" s="1"/>
  <c r="T31" i="5" s="1"/>
  <c r="S32" i="5" s="1"/>
  <c r="X30" i="5"/>
  <c r="V30" i="5"/>
  <c r="AJ29" i="5"/>
  <c r="W30" i="5" s="1"/>
  <c r="AD29" i="5"/>
  <c r="AC29" i="5"/>
  <c r="AE29" i="5" s="1"/>
  <c r="R29" i="5"/>
  <c r="Q29" i="5"/>
  <c r="S29" i="5" s="1"/>
  <c r="T29" i="5" s="1"/>
  <c r="S30" i="5" s="1"/>
  <c r="X28" i="5"/>
  <c r="V28" i="5"/>
  <c r="AJ27" i="5"/>
  <c r="W28" i="5" s="1"/>
  <c r="AD27" i="5"/>
  <c r="AC27" i="5"/>
  <c r="AE27" i="5" s="1"/>
  <c r="R27" i="5"/>
  <c r="Q27" i="5"/>
  <c r="S27" i="5" s="1"/>
  <c r="T27" i="5" s="1"/>
  <c r="S28" i="5" s="1"/>
  <c r="X26" i="5"/>
  <c r="V26" i="5"/>
  <c r="AJ25" i="5"/>
  <c r="W26" i="5" s="1"/>
  <c r="AD25" i="5"/>
  <c r="AC25" i="5"/>
  <c r="AE25" i="5" s="1"/>
  <c r="R25" i="5"/>
  <c r="Q25" i="5"/>
  <c r="S25" i="5" s="1"/>
  <c r="T25" i="5" s="1"/>
  <c r="S26" i="5" s="1"/>
  <c r="X24" i="5"/>
  <c r="V24" i="5"/>
  <c r="AJ23" i="5"/>
  <c r="W24" i="5" s="1"/>
  <c r="AD23" i="5"/>
  <c r="AC23" i="5"/>
  <c r="AE23" i="5" s="1"/>
  <c r="R23" i="5"/>
  <c r="Q23" i="5"/>
  <c r="S23" i="5" s="1"/>
  <c r="T23" i="5" s="1"/>
  <c r="S24" i="5" s="1"/>
  <c r="X22" i="5"/>
  <c r="V22" i="5"/>
  <c r="AJ21" i="5"/>
  <c r="W22" i="5" s="1"/>
  <c r="AD21" i="5"/>
  <c r="AC21" i="5"/>
  <c r="AE21" i="5" s="1"/>
  <c r="R21" i="5"/>
  <c r="Q21" i="5"/>
  <c r="S21" i="5" s="1"/>
  <c r="T21" i="5" s="1"/>
  <c r="S22" i="5" s="1"/>
  <c r="X20" i="5"/>
  <c r="V20" i="5"/>
  <c r="AJ19" i="5"/>
  <c r="W20" i="5" s="1"/>
  <c r="AD19" i="5"/>
  <c r="AC19" i="5"/>
  <c r="AE19" i="5" s="1"/>
  <c r="R19" i="5"/>
  <c r="Q19" i="5"/>
  <c r="S19" i="5" s="1"/>
  <c r="T19" i="5" s="1"/>
  <c r="S20" i="5" s="1"/>
  <c r="X18" i="5"/>
  <c r="V18" i="5"/>
  <c r="AJ17" i="5"/>
  <c r="W18" i="5" s="1"/>
  <c r="AD17" i="5"/>
  <c r="AC17" i="5"/>
  <c r="AE17" i="5" s="1"/>
  <c r="R17" i="5"/>
  <c r="Q17" i="5"/>
  <c r="S17" i="5" s="1"/>
  <c r="T17" i="5" s="1"/>
  <c r="S18" i="5" s="1"/>
  <c r="X16" i="5"/>
  <c r="V16" i="5"/>
  <c r="AJ15" i="5"/>
  <c r="W16" i="5" s="1"/>
  <c r="AD15" i="5"/>
  <c r="AC15" i="5"/>
  <c r="AE15" i="5" s="1"/>
  <c r="R15" i="5"/>
  <c r="Q15" i="5"/>
  <c r="S15" i="5" s="1"/>
  <c r="T15" i="5" s="1"/>
  <c r="S16" i="5" s="1"/>
  <c r="X14" i="5"/>
  <c r="V14" i="5"/>
  <c r="AJ13" i="5"/>
  <c r="W14" i="5" s="1"/>
  <c r="AD13" i="5"/>
  <c r="AC13" i="5"/>
  <c r="AE13" i="5" s="1"/>
  <c r="R13" i="5"/>
  <c r="Q13" i="5"/>
  <c r="S13" i="5" s="1"/>
  <c r="T13" i="5" s="1"/>
  <c r="S14" i="5" s="1"/>
  <c r="X12" i="5"/>
  <c r="V12" i="5"/>
  <c r="AJ11" i="5"/>
  <c r="W12" i="5" s="1"/>
  <c r="AD11" i="5"/>
  <c r="AC11" i="5"/>
  <c r="AE11" i="5" s="1"/>
  <c r="R11" i="5"/>
  <c r="Q11" i="5"/>
  <c r="S11" i="5" s="1"/>
  <c r="T11" i="5" s="1"/>
  <c r="S12" i="5" s="1"/>
  <c r="X10" i="5"/>
  <c r="V10" i="5"/>
  <c r="AJ9" i="5"/>
  <c r="W10" i="5" s="1"/>
  <c r="AD9" i="5"/>
  <c r="AC9" i="5"/>
  <c r="AE9" i="5" s="1"/>
  <c r="R9" i="5"/>
  <c r="Q9" i="5"/>
  <c r="S9" i="5" s="1"/>
  <c r="T9" i="5" s="1"/>
  <c r="S10" i="5" s="1"/>
  <c r="AF33" i="2"/>
  <c r="AE33" i="2"/>
  <c r="X32" i="2"/>
  <c r="W32" i="2"/>
  <c r="V32" i="2"/>
  <c r="Y32" i="2" s="1"/>
  <c r="AJ31" i="2"/>
  <c r="AD31" i="2"/>
  <c r="AI31" i="2" s="1"/>
  <c r="AC31" i="2"/>
  <c r="AE31" i="2" s="1"/>
  <c r="R31" i="2"/>
  <c r="Q31" i="2"/>
  <c r="S31" i="2" s="1"/>
  <c r="T31" i="2" s="1"/>
  <c r="S32" i="2" s="1"/>
  <c r="Y30" i="2"/>
  <c r="AJ29" i="2"/>
  <c r="AD29" i="2"/>
  <c r="AI29" i="2" s="1"/>
  <c r="AC29" i="2"/>
  <c r="AE29" i="2" s="1"/>
  <c r="R29" i="2"/>
  <c r="Q29" i="2"/>
  <c r="S29" i="2" s="1"/>
  <c r="T29" i="2" s="1"/>
  <c r="S30" i="2" s="1"/>
  <c r="Y28" i="2"/>
  <c r="AJ27" i="2"/>
  <c r="AD27" i="2"/>
  <c r="AI27" i="2" s="1"/>
  <c r="AC27" i="2"/>
  <c r="AE27" i="2" s="1"/>
  <c r="R27" i="2"/>
  <c r="Q27" i="2"/>
  <c r="S27" i="2" s="1"/>
  <c r="T27" i="2" s="1"/>
  <c r="S28" i="2" s="1"/>
  <c r="Y26" i="2"/>
  <c r="AJ25" i="2"/>
  <c r="AD25" i="2"/>
  <c r="AI25" i="2" s="1"/>
  <c r="AC25" i="2"/>
  <c r="AE25" i="2" s="1"/>
  <c r="R25" i="2"/>
  <c r="Q25" i="2"/>
  <c r="S25" i="2" s="1"/>
  <c r="T25" i="2" s="1"/>
  <c r="S26" i="2" s="1"/>
  <c r="Y24" i="2"/>
  <c r="AJ23" i="2"/>
  <c r="AD23" i="2"/>
  <c r="AI23" i="2" s="1"/>
  <c r="AC23" i="2"/>
  <c r="AE23" i="2" s="1"/>
  <c r="R23" i="2"/>
  <c r="Q23" i="2"/>
  <c r="S23" i="2" s="1"/>
  <c r="T23" i="2" s="1"/>
  <c r="S24" i="2" s="1"/>
  <c r="Y22" i="2"/>
  <c r="AJ21" i="2"/>
  <c r="AD21" i="2"/>
  <c r="AI21" i="2" s="1"/>
  <c r="AC21" i="2"/>
  <c r="AE21" i="2" s="1"/>
  <c r="R21" i="2"/>
  <c r="Q21" i="2"/>
  <c r="S21" i="2" s="1"/>
  <c r="T21" i="2" s="1"/>
  <c r="S22" i="2" s="1"/>
  <c r="Y20" i="2"/>
  <c r="AJ19" i="2"/>
  <c r="AD19" i="2"/>
  <c r="AI19" i="2" s="1"/>
  <c r="AC19" i="2"/>
  <c r="AE19" i="2" s="1"/>
  <c r="R19" i="2"/>
  <c r="Q19" i="2"/>
  <c r="S19" i="2" s="1"/>
  <c r="T19" i="2" s="1"/>
  <c r="S20" i="2" s="1"/>
  <c r="Y18" i="2"/>
  <c r="AJ17" i="2"/>
  <c r="AD17" i="2"/>
  <c r="AI17" i="2" s="1"/>
  <c r="AC17" i="2"/>
  <c r="AE17" i="2" s="1"/>
  <c r="R17" i="2"/>
  <c r="Q17" i="2"/>
  <c r="S17" i="2" s="1"/>
  <c r="T17" i="2" s="1"/>
  <c r="S18" i="2" s="1"/>
  <c r="Y16" i="2"/>
  <c r="AJ15" i="2"/>
  <c r="AD15" i="2"/>
  <c r="AI15" i="2" s="1"/>
  <c r="AC15" i="2"/>
  <c r="AE15" i="2" s="1"/>
  <c r="R15" i="2"/>
  <c r="Q15" i="2"/>
  <c r="S15" i="2" s="1"/>
  <c r="T15" i="2" s="1"/>
  <c r="S16" i="2" s="1"/>
  <c r="Y14" i="2"/>
  <c r="AJ13" i="2"/>
  <c r="AD13" i="2"/>
  <c r="AI13" i="2" s="1"/>
  <c r="AC13" i="2"/>
  <c r="AE13" i="2" s="1"/>
  <c r="R13" i="2"/>
  <c r="Q13" i="2"/>
  <c r="S13" i="2" s="1"/>
  <c r="T13" i="2" s="1"/>
  <c r="S14" i="2" s="1"/>
  <c r="Y12" i="2"/>
  <c r="AJ11" i="2"/>
  <c r="AD11" i="2"/>
  <c r="AI11" i="2" s="1"/>
  <c r="AC11" i="2"/>
  <c r="AE11" i="2" s="1"/>
  <c r="R11" i="2"/>
  <c r="Q11" i="2"/>
  <c r="S11" i="2" s="1"/>
  <c r="T11" i="2" s="1"/>
  <c r="S12" i="2" s="1"/>
  <c r="X10" i="2"/>
  <c r="W10" i="2"/>
  <c r="V10" i="2"/>
  <c r="Y10" i="2" s="1"/>
  <c r="AJ9" i="2"/>
  <c r="AD9" i="2"/>
  <c r="AC9" i="2"/>
  <c r="AE9" i="2" s="1"/>
  <c r="R9" i="2"/>
  <c r="Q9" i="2"/>
  <c r="S9" i="2" s="1"/>
  <c r="T9" i="2" s="1"/>
  <c r="S10" i="2" s="1"/>
  <c r="AF33" i="1"/>
  <c r="AE33" i="1"/>
  <c r="X32" i="1"/>
  <c r="V32" i="1"/>
  <c r="AJ31" i="1"/>
  <c r="W32" i="1" s="1"/>
  <c r="AD31" i="1"/>
  <c r="AC31" i="1"/>
  <c r="AE31" i="1" s="1"/>
  <c r="R31" i="1"/>
  <c r="Q31" i="1"/>
  <c r="S31" i="1" s="1"/>
  <c r="T31" i="1" s="1"/>
  <c r="S32" i="1" s="1"/>
  <c r="X30" i="1"/>
  <c r="V30" i="1"/>
  <c r="AJ29" i="1"/>
  <c r="W30" i="1" s="1"/>
  <c r="AD29" i="1"/>
  <c r="AC29" i="1"/>
  <c r="AE29" i="1" s="1"/>
  <c r="R29" i="1"/>
  <c r="Q29" i="1"/>
  <c r="S29" i="1" s="1"/>
  <c r="T29" i="1" s="1"/>
  <c r="S30" i="1" s="1"/>
  <c r="X28" i="1"/>
  <c r="V28" i="1"/>
  <c r="AJ27" i="1"/>
  <c r="W28" i="1" s="1"/>
  <c r="AD27" i="1"/>
  <c r="AC27" i="1"/>
  <c r="AE27" i="1" s="1"/>
  <c r="R27" i="1"/>
  <c r="Q27" i="1"/>
  <c r="S27" i="1" s="1"/>
  <c r="T27" i="1" s="1"/>
  <c r="S28" i="1" s="1"/>
  <c r="X26" i="1"/>
  <c r="V26" i="1"/>
  <c r="AJ25" i="1"/>
  <c r="W26" i="1" s="1"/>
  <c r="AD25" i="1"/>
  <c r="AC25" i="1"/>
  <c r="AE25" i="1" s="1"/>
  <c r="R25" i="1"/>
  <c r="Q25" i="1"/>
  <c r="S25" i="1" s="1"/>
  <c r="T25" i="1" s="1"/>
  <c r="S26" i="1" s="1"/>
  <c r="X24" i="1"/>
  <c r="V24" i="1"/>
  <c r="AJ23" i="1"/>
  <c r="W24" i="1" s="1"/>
  <c r="AD23" i="1"/>
  <c r="AC23" i="1"/>
  <c r="AE23" i="1" s="1"/>
  <c r="R23" i="1"/>
  <c r="Q23" i="1"/>
  <c r="S23" i="1" s="1"/>
  <c r="T23" i="1" s="1"/>
  <c r="S24" i="1" s="1"/>
  <c r="X22" i="1"/>
  <c r="V22" i="1"/>
  <c r="AJ21" i="1"/>
  <c r="W22" i="1" s="1"/>
  <c r="AD21" i="1"/>
  <c r="AC21" i="1"/>
  <c r="AE21" i="1" s="1"/>
  <c r="R21" i="1"/>
  <c r="Q21" i="1"/>
  <c r="S21" i="1" s="1"/>
  <c r="T21" i="1" s="1"/>
  <c r="S22" i="1" s="1"/>
  <c r="X20" i="1"/>
  <c r="V20" i="1"/>
  <c r="AJ19" i="1"/>
  <c r="W20" i="1" s="1"/>
  <c r="AD19" i="1"/>
  <c r="AC19" i="1"/>
  <c r="AE19" i="1" s="1"/>
  <c r="R19" i="1"/>
  <c r="Q19" i="1"/>
  <c r="S19" i="1" s="1"/>
  <c r="T19" i="1" s="1"/>
  <c r="S20" i="1" s="1"/>
  <c r="X18" i="1"/>
  <c r="V18" i="1"/>
  <c r="AJ17" i="1"/>
  <c r="W18" i="1" s="1"/>
  <c r="AD17" i="1"/>
  <c r="AC17" i="1"/>
  <c r="AE17" i="1" s="1"/>
  <c r="R17" i="1"/>
  <c r="Q17" i="1"/>
  <c r="S17" i="1" s="1"/>
  <c r="T17" i="1" s="1"/>
  <c r="S18" i="1" s="1"/>
  <c r="X16" i="1"/>
  <c r="V16" i="1"/>
  <c r="AJ15" i="1"/>
  <c r="W16" i="1" s="1"/>
  <c r="AD15" i="1"/>
  <c r="AC15" i="1"/>
  <c r="AE15" i="1" s="1"/>
  <c r="R15" i="1"/>
  <c r="Q15" i="1"/>
  <c r="S15" i="1" s="1"/>
  <c r="T15" i="1" s="1"/>
  <c r="S16" i="1" s="1"/>
  <c r="X14" i="1"/>
  <c r="V14" i="1"/>
  <c r="AJ13" i="1"/>
  <c r="W14" i="1" s="1"/>
  <c r="AD13" i="1"/>
  <c r="AC13" i="1"/>
  <c r="AE13" i="1" s="1"/>
  <c r="R13" i="1"/>
  <c r="Q13" i="1"/>
  <c r="S13" i="1" s="1"/>
  <c r="T13" i="1" s="1"/>
  <c r="S14" i="1" s="1"/>
  <c r="X12" i="1"/>
  <c r="V12" i="1"/>
  <c r="AJ11" i="1"/>
  <c r="W12" i="1" s="1"/>
  <c r="AD11" i="1"/>
  <c r="AC11" i="1"/>
  <c r="AE11" i="1" s="1"/>
  <c r="R11" i="1"/>
  <c r="Q11" i="1"/>
  <c r="S11" i="1" s="1"/>
  <c r="T11" i="1" s="1"/>
  <c r="S12" i="1" s="1"/>
  <c r="X10" i="1"/>
  <c r="V10" i="1"/>
  <c r="AJ9" i="1"/>
  <c r="W10" i="1" s="1"/>
  <c r="AD9" i="1"/>
  <c r="AC9" i="1"/>
  <c r="AE9" i="1" s="1"/>
  <c r="R9" i="1"/>
  <c r="Q9" i="1"/>
  <c r="S9" i="1" s="1"/>
  <c r="T9" i="1" s="1"/>
  <c r="S10" i="1" s="1"/>
  <c r="AF33" i="10"/>
  <c r="AE33" i="10"/>
  <c r="X32" i="10"/>
  <c r="W32" i="10"/>
  <c r="V32" i="10"/>
  <c r="Y32" i="10" s="1"/>
  <c r="AJ31" i="10"/>
  <c r="AD31" i="10"/>
  <c r="AI31" i="10" s="1"/>
  <c r="AC31" i="10"/>
  <c r="AE31" i="10" s="1"/>
  <c r="R31" i="10"/>
  <c r="Q31" i="10"/>
  <c r="S31" i="10" s="1"/>
  <c r="T31" i="10" s="1"/>
  <c r="S32" i="10" s="1"/>
  <c r="Y30" i="10"/>
  <c r="AJ29" i="10"/>
  <c r="AD29" i="10"/>
  <c r="AI29" i="10" s="1"/>
  <c r="AC29" i="10"/>
  <c r="AE29" i="10" s="1"/>
  <c r="R29" i="10"/>
  <c r="Q29" i="10"/>
  <c r="S29" i="10" s="1"/>
  <c r="T29" i="10" s="1"/>
  <c r="S30" i="10" s="1"/>
  <c r="X28" i="10"/>
  <c r="W28" i="10"/>
  <c r="V28" i="10"/>
  <c r="Y28" i="10" s="1"/>
  <c r="AJ27" i="10"/>
  <c r="AD27" i="10"/>
  <c r="AC27" i="10"/>
  <c r="AE27" i="10" s="1"/>
  <c r="R27" i="10"/>
  <c r="Q27" i="10"/>
  <c r="S27" i="10" s="1"/>
  <c r="T27" i="10" s="1"/>
  <c r="S28" i="10" s="1"/>
  <c r="X26" i="10"/>
  <c r="W26" i="10"/>
  <c r="V26" i="10"/>
  <c r="Y26" i="10" s="1"/>
  <c r="AJ25" i="10"/>
  <c r="AD25" i="10"/>
  <c r="AC25" i="10"/>
  <c r="AE25" i="10" s="1"/>
  <c r="R25" i="10"/>
  <c r="Q25" i="10"/>
  <c r="S25" i="10" s="1"/>
  <c r="T25" i="10" s="1"/>
  <c r="S26" i="10" s="1"/>
  <c r="X24" i="10"/>
  <c r="W24" i="10"/>
  <c r="V24" i="10"/>
  <c r="Y24" i="10" s="1"/>
  <c r="AJ23" i="10"/>
  <c r="AD23" i="10"/>
  <c r="AC23" i="10"/>
  <c r="AE23" i="10" s="1"/>
  <c r="R23" i="10"/>
  <c r="Q23" i="10"/>
  <c r="S23" i="10" s="1"/>
  <c r="T23" i="10" s="1"/>
  <c r="S24" i="10" s="1"/>
  <c r="X22" i="10"/>
  <c r="V22" i="10"/>
  <c r="AJ21" i="10"/>
  <c r="W22" i="10" s="1"/>
  <c r="AD21" i="10"/>
  <c r="AC21" i="10"/>
  <c r="AE21" i="10" s="1"/>
  <c r="R21" i="10"/>
  <c r="Q21" i="10"/>
  <c r="S21" i="10" s="1"/>
  <c r="T21" i="10" s="1"/>
  <c r="S22" i="10" s="1"/>
  <c r="X20" i="10"/>
  <c r="V20" i="10"/>
  <c r="AJ19" i="10"/>
  <c r="W20" i="10" s="1"/>
  <c r="AD19" i="10"/>
  <c r="AC19" i="10"/>
  <c r="AE19" i="10" s="1"/>
  <c r="R19" i="10"/>
  <c r="Q19" i="10"/>
  <c r="S19" i="10" s="1"/>
  <c r="T19" i="10" s="1"/>
  <c r="S20" i="10" s="1"/>
  <c r="X18" i="10"/>
  <c r="V18" i="10"/>
  <c r="AJ17" i="10"/>
  <c r="W18" i="10" s="1"/>
  <c r="AD17" i="10"/>
  <c r="AC17" i="10"/>
  <c r="AE17" i="10" s="1"/>
  <c r="R17" i="10"/>
  <c r="Q17" i="10"/>
  <c r="S17" i="10" s="1"/>
  <c r="T17" i="10" s="1"/>
  <c r="S18" i="10" s="1"/>
  <c r="X16" i="10"/>
  <c r="V16" i="10"/>
  <c r="AJ15" i="10"/>
  <c r="W16" i="10" s="1"/>
  <c r="AD15" i="10"/>
  <c r="AC15" i="10"/>
  <c r="AE15" i="10" s="1"/>
  <c r="R15" i="10"/>
  <c r="Q15" i="10"/>
  <c r="S15" i="10" s="1"/>
  <c r="T15" i="10" s="1"/>
  <c r="S16" i="10" s="1"/>
  <c r="X14" i="10"/>
  <c r="V14" i="10"/>
  <c r="AJ13" i="10"/>
  <c r="W14" i="10" s="1"/>
  <c r="AD13" i="10"/>
  <c r="AC13" i="10"/>
  <c r="AE13" i="10" s="1"/>
  <c r="R13" i="10"/>
  <c r="Q13" i="10"/>
  <c r="S13" i="10" s="1"/>
  <c r="T13" i="10" s="1"/>
  <c r="S14" i="10" s="1"/>
  <c r="X12" i="10"/>
  <c r="V12" i="10"/>
  <c r="AJ11" i="10"/>
  <c r="W12" i="10" s="1"/>
  <c r="AD11" i="10"/>
  <c r="AC11" i="10"/>
  <c r="AE11" i="10" s="1"/>
  <c r="R11" i="10"/>
  <c r="Q11" i="10"/>
  <c r="S11" i="10" s="1"/>
  <c r="T11" i="10" s="1"/>
  <c r="S12" i="10" s="1"/>
  <c r="X10" i="10"/>
  <c r="V10" i="10"/>
  <c r="AJ9" i="10"/>
  <c r="W10" i="10" s="1"/>
  <c r="AD9" i="10"/>
  <c r="AC9" i="10"/>
  <c r="AE9" i="10" s="1"/>
  <c r="R9" i="10"/>
  <c r="Q9" i="10"/>
  <c r="S9" i="10" s="1"/>
  <c r="T9" i="10" s="1"/>
  <c r="S10" i="10" s="1"/>
  <c r="Z32" i="11" l="1"/>
  <c r="AF31" i="11"/>
  <c r="AF29" i="11"/>
  <c r="Z30" i="11"/>
  <c r="AF27" i="11"/>
  <c r="Z28" i="11"/>
  <c r="AF25" i="11"/>
  <c r="Z26" i="11"/>
  <c r="Z24" i="11"/>
  <c r="AF23" i="11"/>
  <c r="AF21" i="11"/>
  <c r="AF19" i="11"/>
  <c r="AF17" i="11"/>
  <c r="AF15" i="11"/>
  <c r="AF13" i="11"/>
  <c r="AF11" i="11"/>
  <c r="AF9" i="11"/>
  <c r="AF31" i="9"/>
  <c r="Z32" i="9"/>
  <c r="Z30" i="9"/>
  <c r="AF29" i="9"/>
  <c r="AF27" i="9"/>
  <c r="Z28" i="9"/>
  <c r="AF25" i="9"/>
  <c r="AF23" i="9"/>
  <c r="AF21" i="9"/>
  <c r="AF19" i="9"/>
  <c r="AF17" i="9"/>
  <c r="AF15" i="9"/>
  <c r="AF13" i="9"/>
  <c r="AF11" i="9"/>
  <c r="AF9" i="9"/>
  <c r="AF31" i="8"/>
  <c r="Z32" i="8"/>
  <c r="Z30" i="8"/>
  <c r="AF29" i="8"/>
  <c r="AF27" i="8"/>
  <c r="Z28" i="8"/>
  <c r="Z26" i="8"/>
  <c r="AF25" i="8"/>
  <c r="Z24" i="8"/>
  <c r="AF23" i="8"/>
  <c r="AF21" i="8"/>
  <c r="Z22" i="8"/>
  <c r="AF19" i="8"/>
  <c r="Z20" i="8"/>
  <c r="Z18" i="8"/>
  <c r="AF17" i="8"/>
  <c r="AF15" i="8"/>
  <c r="Z16" i="8"/>
  <c r="Z14" i="8"/>
  <c r="AF13" i="8"/>
  <c r="AF11" i="8"/>
  <c r="Z12" i="8"/>
  <c r="AF9" i="8"/>
  <c r="Z10" i="8"/>
  <c r="Z32" i="7"/>
  <c r="AF31" i="7"/>
  <c r="AF29" i="7"/>
  <c r="Z30" i="7"/>
  <c r="AF27" i="7"/>
  <c r="Z28" i="7"/>
  <c r="AF25" i="7"/>
  <c r="Z26" i="7"/>
  <c r="AF23" i="7"/>
  <c r="Z24" i="7"/>
  <c r="AF21" i="7"/>
  <c r="Z22" i="7"/>
  <c r="AF19" i="7"/>
  <c r="Z20" i="7"/>
  <c r="AF17" i="7"/>
  <c r="Z18" i="7"/>
  <c r="AF15" i="7"/>
  <c r="Z16" i="7"/>
  <c r="AF13" i="7"/>
  <c r="Z14" i="7"/>
  <c r="AF11" i="7"/>
  <c r="Z12" i="7"/>
  <c r="AF9" i="7"/>
  <c r="Z10" i="7"/>
  <c r="AF31" i="6"/>
  <c r="Z32" i="6"/>
  <c r="Z30" i="6"/>
  <c r="AF29" i="6"/>
  <c r="Z28" i="6"/>
  <c r="AF27" i="6"/>
  <c r="Z26" i="6"/>
  <c r="AF25" i="6"/>
  <c r="Z24" i="6"/>
  <c r="AF23" i="6"/>
  <c r="AF21" i="6"/>
  <c r="Z22" i="6"/>
  <c r="Z20" i="6"/>
  <c r="AF19" i="6"/>
  <c r="AF17" i="6"/>
  <c r="Z18" i="6"/>
  <c r="AF15" i="6"/>
  <c r="Z16" i="6"/>
  <c r="AF13" i="6"/>
  <c r="Z14" i="6"/>
  <c r="AF11" i="6"/>
  <c r="Z12" i="6"/>
  <c r="Z10" i="6"/>
  <c r="AF9" i="6"/>
  <c r="Z32" i="5"/>
  <c r="AF31" i="5"/>
  <c r="AF29" i="5"/>
  <c r="Z30" i="5"/>
  <c r="AF27" i="5"/>
  <c r="Z28" i="5"/>
  <c r="AF25" i="5"/>
  <c r="Z26" i="5"/>
  <c r="AF23" i="5"/>
  <c r="Z24" i="5"/>
  <c r="AF21" i="5"/>
  <c r="Z22" i="5"/>
  <c r="AF19" i="5"/>
  <c r="Z20" i="5"/>
  <c r="AF17" i="5"/>
  <c r="Z18" i="5"/>
  <c r="AF15" i="5"/>
  <c r="Z16" i="5"/>
  <c r="AF13" i="5"/>
  <c r="Z14" i="5"/>
  <c r="Z12" i="5"/>
  <c r="AF11" i="5"/>
  <c r="AF9" i="5"/>
  <c r="Z10" i="5"/>
  <c r="AF31" i="2"/>
  <c r="Z32" i="2"/>
  <c r="AF29" i="2"/>
  <c r="Z30" i="2"/>
  <c r="AF27" i="2"/>
  <c r="Z28" i="2"/>
  <c r="AF25" i="2"/>
  <c r="Z26" i="2"/>
  <c r="AF23" i="2"/>
  <c r="Z24" i="2"/>
  <c r="AF21" i="2"/>
  <c r="Z22" i="2"/>
  <c r="Z20" i="2"/>
  <c r="AF19" i="2"/>
  <c r="Z18" i="2"/>
  <c r="AF17" i="2"/>
  <c r="AF15" i="2"/>
  <c r="Z16" i="2"/>
  <c r="AF13" i="2"/>
  <c r="Z14" i="2"/>
  <c r="AF11" i="2"/>
  <c r="Z12" i="2"/>
  <c r="AF9" i="2"/>
  <c r="Z10" i="2"/>
  <c r="AF31" i="1"/>
  <c r="Z32" i="1"/>
  <c r="Z30" i="1"/>
  <c r="AF29" i="1"/>
  <c r="AF27" i="1"/>
  <c r="Z28" i="1"/>
  <c r="AF25" i="1"/>
  <c r="Z26" i="1"/>
  <c r="Z24" i="1"/>
  <c r="AF23" i="1"/>
  <c r="AF21" i="1"/>
  <c r="Z22" i="1"/>
  <c r="AF19" i="1"/>
  <c r="Z20" i="1"/>
  <c r="AF17" i="1"/>
  <c r="Z18" i="1"/>
  <c r="AF15" i="1"/>
  <c r="Z16" i="1"/>
  <c r="AF13" i="1"/>
  <c r="Z14" i="1"/>
  <c r="AF11" i="1"/>
  <c r="Z12" i="1"/>
  <c r="Z10" i="1"/>
  <c r="AF9" i="1"/>
  <c r="Z32" i="10"/>
  <c r="AF31" i="10"/>
  <c r="Z30" i="10"/>
  <c r="AF29" i="10"/>
  <c r="Z28" i="10"/>
  <c r="AF27" i="10"/>
  <c r="AF25" i="10"/>
  <c r="Z26" i="10"/>
  <c r="AF23" i="10"/>
  <c r="Z24" i="10"/>
  <c r="AF21" i="10"/>
  <c r="Z22" i="10"/>
  <c r="Z20" i="10"/>
  <c r="AF19" i="10"/>
  <c r="AF17" i="10"/>
  <c r="Z18" i="10"/>
  <c r="AF15" i="10"/>
  <c r="Z16" i="10"/>
  <c r="AF13" i="10"/>
  <c r="Z14" i="10"/>
  <c r="AF11" i="10"/>
  <c r="Z12" i="10"/>
  <c r="AF9" i="10"/>
  <c r="Z10" i="10"/>
  <c r="Y22" i="11"/>
  <c r="Y24" i="9"/>
  <c r="Y10" i="8"/>
  <c r="Y32" i="6"/>
  <c r="Y28" i="6"/>
  <c r="Y20" i="11"/>
  <c r="Y12" i="11"/>
  <c r="Y22" i="9"/>
  <c r="Y10" i="9"/>
  <c r="Y30" i="8"/>
  <c r="Y28" i="8"/>
  <c r="Y26" i="8"/>
  <c r="Y24" i="8"/>
  <c r="Y20" i="8"/>
  <c r="Y12" i="8"/>
  <c r="Y30" i="6"/>
  <c r="Y26" i="6"/>
  <c r="Y22" i="6"/>
  <c r="Y18" i="6"/>
  <c r="Y14" i="6"/>
  <c r="Y24" i="5"/>
  <c r="Y16" i="5"/>
  <c r="Y12" i="5"/>
  <c r="Y24" i="1"/>
  <c r="Y20" i="1"/>
  <c r="Y18" i="1"/>
  <c r="Y14" i="1"/>
  <c r="Y12" i="1"/>
  <c r="Y22" i="10"/>
  <c r="Y20" i="10"/>
  <c r="Y18" i="10"/>
  <c r="Y16" i="10"/>
  <c r="Y14" i="10"/>
  <c r="Y12" i="10"/>
  <c r="Y16" i="11"/>
  <c r="Y14" i="11"/>
  <c r="Y14" i="9"/>
  <c r="Y12" i="9"/>
  <c r="Y18" i="8"/>
  <c r="Y16" i="8"/>
  <c r="Y14" i="8"/>
  <c r="Y12" i="7"/>
  <c r="Y10" i="7"/>
  <c r="Y24" i="6"/>
  <c r="Y20" i="6"/>
  <c r="Y16" i="6"/>
  <c r="Y12" i="6"/>
  <c r="Y10" i="6"/>
  <c r="Y32" i="5"/>
  <c r="Y30" i="5"/>
  <c r="Y28" i="5"/>
  <c r="Y26" i="5"/>
  <c r="Y22" i="5"/>
  <c r="Y20" i="5"/>
  <c r="Y18" i="5"/>
  <c r="Y14" i="5"/>
  <c r="Y10" i="5"/>
  <c r="Y32" i="1"/>
  <c r="Y30" i="1"/>
  <c r="Y28" i="1"/>
  <c r="Y26" i="1"/>
  <c r="Y22" i="1"/>
  <c r="Y16" i="1"/>
  <c r="Y10" i="1"/>
  <c r="Y10" i="10"/>
  <c r="U31" i="11" l="1"/>
  <c r="AG31" i="11"/>
  <c r="AH31" i="11"/>
  <c r="AG29" i="11"/>
  <c r="AH29" i="11"/>
  <c r="U29" i="11"/>
  <c r="AG27" i="11"/>
  <c r="AH27" i="11"/>
  <c r="U27" i="11"/>
  <c r="AH25" i="11"/>
  <c r="AG25" i="11"/>
  <c r="U25" i="11"/>
  <c r="U23" i="11"/>
  <c r="AG23" i="11"/>
  <c r="AH23" i="11"/>
  <c r="AG21" i="11"/>
  <c r="AI21" i="11" s="1"/>
  <c r="AH21" i="11"/>
  <c r="AG19" i="11"/>
  <c r="AI19" i="11" s="1"/>
  <c r="Z20" i="11" s="1"/>
  <c r="AH19" i="11"/>
  <c r="U19" i="11"/>
  <c r="AG17" i="11"/>
  <c r="AI17" i="11" s="1"/>
  <c r="AH17" i="11"/>
  <c r="AG15" i="11"/>
  <c r="AI15" i="11" s="1"/>
  <c r="AH15" i="11"/>
  <c r="AG13" i="11"/>
  <c r="AI13" i="11" s="1"/>
  <c r="Z14" i="11" s="1"/>
  <c r="AH13" i="11"/>
  <c r="U13" i="11"/>
  <c r="AG11" i="11"/>
  <c r="AI11" i="11" s="1"/>
  <c r="Z12" i="11" s="1"/>
  <c r="AH11" i="11"/>
  <c r="U11" i="11"/>
  <c r="AG9" i="11"/>
  <c r="AI9" i="11" s="1"/>
  <c r="AH9" i="11"/>
  <c r="U31" i="9"/>
  <c r="AG31" i="9"/>
  <c r="AH31" i="9"/>
  <c r="AH29" i="9"/>
  <c r="U29" i="9"/>
  <c r="AG29" i="9"/>
  <c r="AG27" i="9"/>
  <c r="U27" i="9"/>
  <c r="AH27" i="9"/>
  <c r="AG25" i="9"/>
  <c r="AH25" i="9"/>
  <c r="AI25" i="9" s="1"/>
  <c r="AG23" i="9"/>
  <c r="AH23" i="9"/>
  <c r="AI23" i="9" s="1"/>
  <c r="AH21" i="9"/>
  <c r="AI21" i="9" s="1"/>
  <c r="AG21" i="9"/>
  <c r="AG19" i="9"/>
  <c r="AH19" i="9"/>
  <c r="AI19" i="9" s="1"/>
  <c r="AG17" i="9"/>
  <c r="AH17" i="9"/>
  <c r="AI17" i="9" s="1"/>
  <c r="AG15" i="9"/>
  <c r="AH15" i="9"/>
  <c r="AI15" i="9" s="1"/>
  <c r="Z16" i="9" s="1"/>
  <c r="U15" i="9"/>
  <c r="AG13" i="9"/>
  <c r="AH13" i="9"/>
  <c r="AI13" i="9" s="1"/>
  <c r="AG11" i="9"/>
  <c r="AH11" i="9"/>
  <c r="AI11" i="9" s="1"/>
  <c r="AG9" i="9"/>
  <c r="AH9" i="9"/>
  <c r="AI9" i="9" s="1"/>
  <c r="AH31" i="8"/>
  <c r="AG31" i="8"/>
  <c r="U31" i="8"/>
  <c r="AG29" i="8"/>
  <c r="AH29" i="8"/>
  <c r="AI29" i="8" s="1"/>
  <c r="U29" i="8"/>
  <c r="AG27" i="8"/>
  <c r="AH27" i="8"/>
  <c r="AI27" i="8" s="1"/>
  <c r="U27" i="8"/>
  <c r="AG25" i="8"/>
  <c r="AH25" i="8"/>
  <c r="AI25" i="8" s="1"/>
  <c r="U25" i="8"/>
  <c r="AG23" i="8"/>
  <c r="AH23" i="8"/>
  <c r="AI23" i="8" s="1"/>
  <c r="U23" i="8"/>
  <c r="AG21" i="8"/>
  <c r="AH21" i="8"/>
  <c r="AI21" i="8" s="1"/>
  <c r="U21" i="8"/>
  <c r="AG19" i="8"/>
  <c r="U19" i="8"/>
  <c r="AH19" i="8"/>
  <c r="AI19" i="8" s="1"/>
  <c r="AH17" i="8"/>
  <c r="AI17" i="8" s="1"/>
  <c r="U17" i="8"/>
  <c r="AG17" i="8"/>
  <c r="AG15" i="8"/>
  <c r="AH15" i="8"/>
  <c r="AI15" i="8" s="1"/>
  <c r="U15" i="8"/>
  <c r="AH13" i="8"/>
  <c r="AI13" i="8" s="1"/>
  <c r="U13" i="8"/>
  <c r="AG13" i="8"/>
  <c r="AG11" i="8"/>
  <c r="AH11" i="8"/>
  <c r="AI11" i="8" s="1"/>
  <c r="U11" i="8"/>
  <c r="AG9" i="8"/>
  <c r="AH9" i="8"/>
  <c r="AI9" i="8" s="1"/>
  <c r="U9" i="8"/>
  <c r="AG31" i="7"/>
  <c r="AH31" i="7"/>
  <c r="U31" i="7"/>
  <c r="AH29" i="7"/>
  <c r="U29" i="7"/>
  <c r="AG29" i="7"/>
  <c r="AG27" i="7"/>
  <c r="U27" i="7"/>
  <c r="AH27" i="7"/>
  <c r="AG25" i="7"/>
  <c r="U25" i="7"/>
  <c r="AH25" i="7"/>
  <c r="AG23" i="7"/>
  <c r="AH23" i="7"/>
  <c r="U23" i="7"/>
  <c r="AH21" i="7"/>
  <c r="U21" i="7"/>
  <c r="AG21" i="7"/>
  <c r="AG19" i="7"/>
  <c r="U19" i="7"/>
  <c r="AH19" i="7"/>
  <c r="AH17" i="7"/>
  <c r="U17" i="7"/>
  <c r="AG17" i="7"/>
  <c r="AH15" i="7"/>
  <c r="U15" i="7"/>
  <c r="AG15" i="7"/>
  <c r="AG13" i="7"/>
  <c r="AH13" i="7"/>
  <c r="U13" i="7"/>
  <c r="AG11" i="7"/>
  <c r="AI11" i="7" s="1"/>
  <c r="AH11" i="7"/>
  <c r="U11" i="7"/>
  <c r="AG9" i="7"/>
  <c r="AI9" i="7" s="1"/>
  <c r="AH9" i="7"/>
  <c r="U9" i="7"/>
  <c r="AG31" i="6"/>
  <c r="AI31" i="6" s="1"/>
  <c r="AH31" i="6"/>
  <c r="U31" i="6"/>
  <c r="AH29" i="6"/>
  <c r="AG29" i="6"/>
  <c r="AI29" i="6" s="1"/>
  <c r="U29" i="6"/>
  <c r="AH27" i="6"/>
  <c r="U27" i="6"/>
  <c r="AG27" i="6"/>
  <c r="AI27" i="6" s="1"/>
  <c r="AH25" i="6"/>
  <c r="U25" i="6"/>
  <c r="AG25" i="6"/>
  <c r="AI25" i="6" s="1"/>
  <c r="AG23" i="6"/>
  <c r="AI23" i="6" s="1"/>
  <c r="U23" i="6"/>
  <c r="AH23" i="6"/>
  <c r="AH21" i="6"/>
  <c r="U21" i="6"/>
  <c r="AG21" i="6"/>
  <c r="AI21" i="6" s="1"/>
  <c r="AG19" i="6"/>
  <c r="AI19" i="6" s="1"/>
  <c r="U19" i="6"/>
  <c r="AH19" i="6"/>
  <c r="U17" i="6"/>
  <c r="AG17" i="6"/>
  <c r="AI17" i="6" s="1"/>
  <c r="AH17" i="6"/>
  <c r="AG15" i="6"/>
  <c r="AI15" i="6" s="1"/>
  <c r="AH15" i="6"/>
  <c r="U15" i="6"/>
  <c r="U13" i="6"/>
  <c r="AG13" i="6"/>
  <c r="AI13" i="6" s="1"/>
  <c r="AH13" i="6"/>
  <c r="AG11" i="6"/>
  <c r="AI11" i="6" s="1"/>
  <c r="AH11" i="6"/>
  <c r="U11" i="6"/>
  <c r="AG9" i="6"/>
  <c r="AI9" i="6" s="1"/>
  <c r="AH9" i="6"/>
  <c r="U9" i="6"/>
  <c r="AG31" i="5"/>
  <c r="AI31" i="5" s="1"/>
  <c r="AH31" i="5"/>
  <c r="U31" i="5"/>
  <c r="AG29" i="5"/>
  <c r="AI29" i="5" s="1"/>
  <c r="AH29" i="5"/>
  <c r="U29" i="5"/>
  <c r="AG27" i="5"/>
  <c r="AI27" i="5" s="1"/>
  <c r="AH27" i="5"/>
  <c r="U27" i="5"/>
  <c r="AH25" i="5"/>
  <c r="U25" i="5"/>
  <c r="AG25" i="5"/>
  <c r="AI25" i="5" s="1"/>
  <c r="AG23" i="5"/>
  <c r="AI23" i="5" s="1"/>
  <c r="AH23" i="5"/>
  <c r="U23" i="5"/>
  <c r="AG21" i="5"/>
  <c r="AI21" i="5" s="1"/>
  <c r="AH21" i="5"/>
  <c r="U21" i="5"/>
  <c r="AG19" i="5"/>
  <c r="AI19" i="5" s="1"/>
  <c r="AH19" i="5"/>
  <c r="U19" i="5"/>
  <c r="AG17" i="5"/>
  <c r="AI17" i="5" s="1"/>
  <c r="AH17" i="5"/>
  <c r="U17" i="5"/>
  <c r="AG15" i="5"/>
  <c r="AI15" i="5" s="1"/>
  <c r="AH15" i="5"/>
  <c r="U15" i="5"/>
  <c r="AG13" i="5"/>
  <c r="AI13" i="5" s="1"/>
  <c r="AH13" i="5"/>
  <c r="U13" i="5"/>
  <c r="AH11" i="5"/>
  <c r="U11" i="5"/>
  <c r="AG11" i="5"/>
  <c r="AI11" i="5" s="1"/>
  <c r="AG9" i="5"/>
  <c r="AI9" i="5" s="1"/>
  <c r="AH9" i="5"/>
  <c r="U9" i="5"/>
  <c r="AG31" i="2"/>
  <c r="AH31" i="2"/>
  <c r="U31" i="2"/>
  <c r="AG29" i="2"/>
  <c r="AH29" i="2"/>
  <c r="U29" i="2"/>
  <c r="AG27" i="2"/>
  <c r="AH27" i="2"/>
  <c r="U27" i="2"/>
  <c r="AG25" i="2"/>
  <c r="AH25" i="2"/>
  <c r="U25" i="2"/>
  <c r="AG23" i="2"/>
  <c r="AH23" i="2"/>
  <c r="U23" i="2"/>
  <c r="AG21" i="2"/>
  <c r="AH21" i="2"/>
  <c r="U21" i="2"/>
  <c r="AH19" i="2"/>
  <c r="U19" i="2"/>
  <c r="AG19" i="2"/>
  <c r="AG17" i="2"/>
  <c r="U17" i="2"/>
  <c r="AH17" i="2"/>
  <c r="AH15" i="2"/>
  <c r="AG15" i="2"/>
  <c r="U15" i="2"/>
  <c r="AG13" i="2"/>
  <c r="U13" i="2"/>
  <c r="AH13" i="2"/>
  <c r="U11" i="2"/>
  <c r="AG11" i="2"/>
  <c r="AH11" i="2"/>
  <c r="AG9" i="2"/>
  <c r="AH9" i="2"/>
  <c r="AI9" i="2" s="1"/>
  <c r="U9" i="2"/>
  <c r="AG31" i="1"/>
  <c r="AH31" i="1"/>
  <c r="AI31" i="1" s="1"/>
  <c r="U31" i="1"/>
  <c r="AG29" i="1"/>
  <c r="AH29" i="1"/>
  <c r="AI29" i="1" s="1"/>
  <c r="U29" i="1"/>
  <c r="AG27" i="1"/>
  <c r="AH27" i="1"/>
  <c r="AI27" i="1" s="1"/>
  <c r="U27" i="1"/>
  <c r="AG25" i="1"/>
  <c r="AH25" i="1"/>
  <c r="AI25" i="1" s="1"/>
  <c r="U25" i="1"/>
  <c r="AH23" i="1"/>
  <c r="AI23" i="1" s="1"/>
  <c r="AG23" i="1"/>
  <c r="U23" i="1"/>
  <c r="AG21" i="1"/>
  <c r="AH21" i="1"/>
  <c r="AI21" i="1" s="1"/>
  <c r="U21" i="1"/>
  <c r="AG19" i="1"/>
  <c r="AH19" i="1"/>
  <c r="AI19" i="1" s="1"/>
  <c r="U19" i="1"/>
  <c r="AG17" i="1"/>
  <c r="AH17" i="1"/>
  <c r="AI17" i="1" s="1"/>
  <c r="U17" i="1"/>
  <c r="AG15" i="1"/>
  <c r="AH15" i="1"/>
  <c r="AI15" i="1" s="1"/>
  <c r="U15" i="1"/>
  <c r="AG13" i="1"/>
  <c r="AH13" i="1"/>
  <c r="AI13" i="1" s="1"/>
  <c r="U13" i="1"/>
  <c r="AH11" i="1"/>
  <c r="AI11" i="1" s="1"/>
  <c r="U11" i="1"/>
  <c r="AG11" i="1"/>
  <c r="AG9" i="1"/>
  <c r="AH9" i="1"/>
  <c r="AI9" i="1" s="1"/>
  <c r="U9" i="1"/>
  <c r="AH31" i="10"/>
  <c r="AG31" i="10"/>
  <c r="U31" i="10"/>
  <c r="AG29" i="10"/>
  <c r="AH29" i="10"/>
  <c r="U29" i="10"/>
  <c r="AG27" i="10"/>
  <c r="AI27" i="10" s="1"/>
  <c r="AH27" i="10"/>
  <c r="U27" i="10"/>
  <c r="AG25" i="10"/>
  <c r="AI25" i="10" s="1"/>
  <c r="AH25" i="10"/>
  <c r="U25" i="10"/>
  <c r="AG23" i="10"/>
  <c r="AI23" i="10" s="1"/>
  <c r="AH23" i="10"/>
  <c r="U23" i="10"/>
  <c r="AG21" i="10"/>
  <c r="AI21" i="10" s="1"/>
  <c r="AH21" i="10"/>
  <c r="U21" i="10"/>
  <c r="AG19" i="10"/>
  <c r="AI19" i="10" s="1"/>
  <c r="AH19" i="10"/>
  <c r="U19" i="10"/>
  <c r="AG17" i="10"/>
  <c r="AI17" i="10" s="1"/>
  <c r="AH17" i="10"/>
  <c r="U17" i="10"/>
  <c r="AG15" i="10"/>
  <c r="AI15" i="10" s="1"/>
  <c r="AH15" i="10"/>
  <c r="U15" i="10"/>
  <c r="AG13" i="10"/>
  <c r="AI13" i="10" s="1"/>
  <c r="AH13" i="10"/>
  <c r="U13" i="10"/>
  <c r="AG11" i="10"/>
  <c r="AI11" i="10" s="1"/>
  <c r="AH11" i="10"/>
  <c r="U11" i="10"/>
  <c r="AG9" i="10"/>
  <c r="AI9" i="10" s="1"/>
  <c r="AH9" i="10"/>
  <c r="U9" i="10"/>
  <c r="Z22" i="11" l="1"/>
  <c r="U21" i="11"/>
  <c r="Z18" i="11"/>
  <c r="U17" i="11"/>
  <c r="Z16" i="11"/>
  <c r="U15" i="11"/>
  <c r="Z10" i="11"/>
  <c r="U9" i="11"/>
  <c r="Z26" i="9"/>
  <c r="U25" i="9"/>
  <c r="Z24" i="9"/>
  <c r="U23" i="9"/>
  <c r="Z22" i="9"/>
  <c r="U21" i="9"/>
  <c r="Z20" i="9"/>
  <c r="U19" i="9"/>
  <c r="Z18" i="9"/>
  <c r="U17" i="9"/>
  <c r="Z14" i="9"/>
  <c r="U13" i="9"/>
  <c r="Z12" i="9"/>
  <c r="U11" i="9"/>
  <c r="Z10" i="9"/>
  <c r="U9" i="9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Author</author>
  </authors>
  <commentList>
    <comment ref="D7" authorId="0" shapeId="0" xr:uid="{00000000-0006-0000-0000-000001000000}">
      <text>
        <r>
          <rPr>
            <sz val="10"/>
            <rFont val="Arial"/>
            <family val="2"/>
          </rPr>
          <t>I Norge bruke vi kun en desimal, internasjonalt 2, vi bør bruke 2 dersom innveiings vekta tillater det.</t>
        </r>
      </text>
    </comment>
    <comment ref="E7" authorId="0" shapeId="0" xr:uid="{00000000-0006-0000-0000-000002000000}">
      <text>
        <r>
          <rPr>
            <sz val="10"/>
            <rFont val="Arial"/>
            <family val="2"/>
          </rPr>
          <t xml:space="preserve">UK,JK,SK og VK blir SinclairTabell for Kvinner brukt.
</t>
        </r>
        <r>
          <rPr>
            <b/>
            <sz val="8"/>
            <color rgb="FF000000"/>
            <rFont val="Tahoma"/>
            <family val="2"/>
            <charset val="1"/>
          </rPr>
          <t>M0,M1..Kvinner virker ikke.
For ALLE andre kategorier blir tabell for men brukt.</t>
        </r>
      </text>
    </comment>
    <comment ref="L7" authorId="0" shapeId="0" xr:uid="{00000000-0006-0000-0000-000003000000}">
      <text>
        <r>
          <rPr>
            <sz val="10"/>
            <rFont val="Arial"/>
            <family val="2"/>
          </rPr>
          <t xml:space="preserve">NVF:
</t>
        </r>
        <r>
          <rPr>
            <b/>
            <sz val="8"/>
            <color rgb="FF000000"/>
            <rFont val="Tahoma"/>
            <family val="2"/>
            <charset val="1"/>
          </rPr>
          <t>Bruk minus (-) for underkjent. Feks -140
Bruk N og F for neste og første, feks 170F og 175N</t>
        </r>
      </text>
    </comment>
    <comment ref="O7" authorId="0" shapeId="0" xr:uid="{00000000-0006-0000-0000-000004000000}">
      <text>
        <r>
          <rPr>
            <sz val="10"/>
            <rFont val="Arial"/>
            <family val="2"/>
          </rPr>
          <t xml:space="preserve">NVF:
</t>
        </r>
        <r>
          <rPr>
            <b/>
            <sz val="8"/>
            <color rgb="FF000000"/>
            <rFont val="Tahoma"/>
            <family val="2"/>
            <charset val="1"/>
          </rPr>
          <t>Bruk minus (-) for underkjent. Feks -140
Bruk N og F for neste og første, feks 170F og 175N</t>
        </r>
      </text>
    </comment>
    <comment ref="R7" authorId="0" shapeId="0" xr:uid="{00000000-0006-0000-0000-000005000000}">
      <text>
        <r>
          <rPr>
            <sz val="10"/>
            <rFont val="Arial"/>
            <family val="2"/>
          </rPr>
          <t>Automatisk, ikke skriv I dette feltet</t>
        </r>
      </text>
    </comment>
    <comment ref="S7" authorId="0" shapeId="0" xr:uid="{00000000-0006-0000-0000-000006000000}">
      <text>
        <r>
          <rPr>
            <sz val="10"/>
            <rFont val="Arial"/>
            <family val="2"/>
          </rPr>
          <t>Automatisk, ikke skriv I dette feltet</t>
        </r>
      </text>
    </comment>
    <comment ref="T7" authorId="0" shapeId="0" xr:uid="{00000000-0006-0000-0000-000007000000}">
      <text>
        <r>
          <rPr>
            <sz val="10"/>
            <rFont val="Arial"/>
            <family val="2"/>
          </rPr>
          <t xml:space="preserve">Automatisk, ikke skriv I dette feltet
</t>
        </r>
        <r>
          <rPr>
            <b/>
            <sz val="8"/>
            <color rgb="FF000000"/>
            <rFont val="Tahoma"/>
            <family val="2"/>
            <charset val="1"/>
          </rPr>
          <t xml:space="preserve">Svar ja/yes til Macro
under opstart </t>
        </r>
      </text>
    </comment>
    <comment ref="V7" authorId="0" shapeId="0" xr:uid="{00000000-0006-0000-0000-000008000000}">
      <text>
        <r>
          <rPr>
            <sz val="10"/>
            <rFont val="Arial"/>
            <family val="2"/>
          </rPr>
          <t xml:space="preserve">Angis i meter med to desimaler, f.eks. 7,65
</t>
        </r>
      </text>
    </comment>
    <comment ref="W7" authorId="0" shapeId="0" xr:uid="{00000000-0006-0000-0000-00000A000000}">
      <text>
        <r>
          <rPr>
            <sz val="10"/>
            <rFont val="Arial"/>
            <family val="2"/>
          </rPr>
          <t>Angis i meter med to desimaler, f.eks.9,75.</t>
        </r>
      </text>
    </comment>
    <comment ref="X7" authorId="0" shapeId="0" xr:uid="{00000000-0006-0000-0000-00000C000000}">
      <text>
        <r>
          <rPr>
            <sz val="10"/>
            <rFont val="Arial"/>
            <family val="2"/>
          </rPr>
          <t xml:space="preserve">Angis i sekund med en eller to desimaler, f.eks. 7,3 eller 7,21. Forhøyes automaisk oppover til nærmeste tidel ved poengberegning, dvs. 7,21 blir 7.3 som tellende.
</t>
        </r>
      </text>
    </comment>
    <comment ref="V8" authorId="0" shapeId="0" xr:uid="{00000000-0006-0000-0000-000009000000}">
      <text>
        <r>
          <rPr>
            <sz val="10"/>
            <rFont val="Arial"/>
            <family val="2"/>
          </rPr>
          <t xml:space="preserve">Automatisk, ikke skriv i dette feltet.
</t>
        </r>
      </text>
    </comment>
    <comment ref="W8" authorId="0" shapeId="0" xr:uid="{00000000-0006-0000-0000-00000B000000}">
      <text>
        <r>
          <rPr>
            <sz val="10"/>
            <rFont val="Arial"/>
            <family val="2"/>
          </rPr>
          <t xml:space="preserve">Automatisk, ikke skriv i dette feltet.
</t>
        </r>
      </text>
    </comment>
    <comment ref="X8" authorId="0" shapeId="0" xr:uid="{00000000-0006-0000-0000-00000D000000}">
      <text>
        <r>
          <rPr>
            <sz val="10"/>
            <rFont val="Arial"/>
            <family val="2"/>
          </rPr>
          <t xml:space="preserve">Automatisk, ikke skriv i dette feltet.
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Author</author>
  </authors>
  <commentList>
    <comment ref="D7" authorId="0" shapeId="0" xr:uid="{00000000-0006-0000-0100-000001000000}">
      <text>
        <r>
          <rPr>
            <sz val="10"/>
            <rFont val="Arial"/>
            <family val="2"/>
          </rPr>
          <t>I Norge bruke vi kun en desimal, internasjonalt 2, vi bør bruke 2 dersom innveiings vekta tillater det.</t>
        </r>
      </text>
    </comment>
    <comment ref="E7" authorId="0" shapeId="0" xr:uid="{00000000-0006-0000-0100-000002000000}">
      <text>
        <r>
          <rPr>
            <sz val="10"/>
            <rFont val="Arial"/>
            <family val="2"/>
          </rPr>
          <t xml:space="preserve">UK,JK,SK og VK blir SinclairTabell for Kvinner brukt.
</t>
        </r>
        <r>
          <rPr>
            <b/>
            <sz val="8"/>
            <color rgb="FF000000"/>
            <rFont val="Tahoma"/>
            <family val="2"/>
            <charset val="1"/>
          </rPr>
          <t>M0,M1..Kvinner virker ikke.
For ALLE andre kategorier blir tabell for men brukt.</t>
        </r>
      </text>
    </comment>
    <comment ref="L7" authorId="0" shapeId="0" xr:uid="{00000000-0006-0000-0100-000003000000}">
      <text>
        <r>
          <rPr>
            <sz val="10"/>
            <rFont val="Arial"/>
            <family val="2"/>
          </rPr>
          <t xml:space="preserve">NVF:
</t>
        </r>
        <r>
          <rPr>
            <b/>
            <sz val="8"/>
            <color rgb="FF000000"/>
            <rFont val="Tahoma"/>
            <family val="2"/>
            <charset val="1"/>
          </rPr>
          <t>Bruk minus (-) for underkjent. Feks -140
Bruk N og F for neste og første, feks 170F og 175N</t>
        </r>
      </text>
    </comment>
    <comment ref="O7" authorId="0" shapeId="0" xr:uid="{00000000-0006-0000-0100-000004000000}">
      <text>
        <r>
          <rPr>
            <sz val="10"/>
            <rFont val="Arial"/>
            <family val="2"/>
          </rPr>
          <t xml:space="preserve">NVF:
</t>
        </r>
        <r>
          <rPr>
            <b/>
            <sz val="8"/>
            <color rgb="FF000000"/>
            <rFont val="Tahoma"/>
            <family val="2"/>
            <charset val="1"/>
          </rPr>
          <t>Bruk minus (-) for underkjent. Feks -140
Bruk N og F for neste og første, feks 170F og 175N</t>
        </r>
      </text>
    </comment>
    <comment ref="R7" authorId="0" shapeId="0" xr:uid="{00000000-0006-0000-0100-000005000000}">
      <text>
        <r>
          <rPr>
            <sz val="10"/>
            <rFont val="Arial"/>
            <family val="2"/>
          </rPr>
          <t>Automatisk, ikke skriv I dette feltet</t>
        </r>
      </text>
    </comment>
    <comment ref="S7" authorId="0" shapeId="0" xr:uid="{00000000-0006-0000-0100-000006000000}">
      <text>
        <r>
          <rPr>
            <sz val="10"/>
            <rFont val="Arial"/>
            <family val="2"/>
          </rPr>
          <t>Automatisk, ikke skriv I dette feltet</t>
        </r>
      </text>
    </comment>
    <comment ref="T7" authorId="0" shapeId="0" xr:uid="{00000000-0006-0000-0100-000007000000}">
      <text>
        <r>
          <rPr>
            <sz val="10"/>
            <rFont val="Arial"/>
            <family val="2"/>
          </rPr>
          <t xml:space="preserve">Automatisk, ikke skriv I dette feltet
</t>
        </r>
        <r>
          <rPr>
            <b/>
            <sz val="8"/>
            <color rgb="FF000000"/>
            <rFont val="Tahoma"/>
            <family val="2"/>
            <charset val="1"/>
          </rPr>
          <t xml:space="preserve">Svar ja/yes til Macro
under opstart </t>
        </r>
      </text>
    </comment>
    <comment ref="V7" authorId="0" shapeId="0" xr:uid="{00000000-0006-0000-0100-000008000000}">
      <text>
        <r>
          <rPr>
            <sz val="10"/>
            <rFont val="Arial"/>
            <family val="2"/>
          </rPr>
          <t xml:space="preserve">Angis i meter med to desimaler, f.eks. 7,65
</t>
        </r>
      </text>
    </comment>
    <comment ref="W7" authorId="0" shapeId="0" xr:uid="{00000000-0006-0000-0100-00000A000000}">
      <text>
        <r>
          <rPr>
            <sz val="10"/>
            <rFont val="Arial"/>
            <family val="2"/>
          </rPr>
          <t>Angis i meter med to desimaler, f.eks.9,75.</t>
        </r>
      </text>
    </comment>
    <comment ref="X7" authorId="0" shapeId="0" xr:uid="{00000000-0006-0000-0100-00000C000000}">
      <text>
        <r>
          <rPr>
            <sz val="10"/>
            <rFont val="Arial"/>
            <family val="2"/>
          </rPr>
          <t xml:space="preserve">Angis i sekund med en eller to desimaler, f.eks. 7,3 eller 7,21. Forhøyes automaisk oppover til nærmeste tidel ved poengberegning, dvs. 7,21 blir 7.3 som tellende.
</t>
        </r>
      </text>
    </comment>
    <comment ref="V8" authorId="0" shapeId="0" xr:uid="{00000000-0006-0000-0100-000009000000}">
      <text>
        <r>
          <rPr>
            <sz val="10"/>
            <rFont val="Arial"/>
            <family val="2"/>
          </rPr>
          <t xml:space="preserve">Automatisk, ikke skriv i dette feltet.
</t>
        </r>
      </text>
    </comment>
    <comment ref="W8" authorId="0" shapeId="0" xr:uid="{00000000-0006-0000-0100-00000B000000}">
      <text>
        <r>
          <rPr>
            <sz val="10"/>
            <rFont val="Arial"/>
            <family val="2"/>
          </rPr>
          <t xml:space="preserve">Automatisk, ikke skriv i dette feltet.
</t>
        </r>
      </text>
    </comment>
    <comment ref="X8" authorId="0" shapeId="0" xr:uid="{00000000-0006-0000-0100-00000D000000}">
      <text>
        <r>
          <rPr>
            <sz val="10"/>
            <rFont val="Arial"/>
            <family val="2"/>
          </rPr>
          <t xml:space="preserve">Automatisk, ikke skriv i dette feltet.
</t>
        </r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Author</author>
  </authors>
  <commentList>
    <comment ref="D7" authorId="0" shapeId="0" xr:uid="{00000000-0006-0000-0400-000001000000}">
      <text>
        <r>
          <rPr>
            <sz val="10"/>
            <rFont val="Arial"/>
            <family val="2"/>
          </rPr>
          <t>I Norge bruke vi kun en desimal, internasjonalt 2, vi bør bruke 2 dersom innveiings vekta tillater det.</t>
        </r>
      </text>
    </comment>
    <comment ref="E7" authorId="0" shapeId="0" xr:uid="{00000000-0006-0000-0400-000002000000}">
      <text>
        <r>
          <rPr>
            <sz val="10"/>
            <rFont val="Arial"/>
            <family val="2"/>
          </rPr>
          <t>UK,JK,SK og VK blir SinclairTabell for Kvinner brukt.
M0,M1..Kvinner virker ikke.
For ALLE andre kategorier blir tabell for men brukt.</t>
        </r>
      </text>
    </comment>
    <comment ref="L7" authorId="0" shapeId="0" xr:uid="{00000000-0006-0000-0400-000003000000}">
      <text>
        <r>
          <rPr>
            <sz val="10"/>
            <rFont val="Arial"/>
            <family val="2"/>
          </rPr>
          <t>NVF:
Bruk minus (-) for underkjent. Feks -140
Bruk N og F for neste og første, feks 170F og 175N</t>
        </r>
      </text>
    </comment>
    <comment ref="O7" authorId="0" shapeId="0" xr:uid="{00000000-0006-0000-0400-000004000000}">
      <text>
        <r>
          <rPr>
            <sz val="10"/>
            <rFont val="Arial"/>
            <family val="2"/>
          </rPr>
          <t>NVF:
Bruk minus (-) for underkjent. Feks -140
Bruk N og F for neste og første, feks 170F og 175N</t>
        </r>
      </text>
    </comment>
    <comment ref="R7" authorId="0" shapeId="0" xr:uid="{00000000-0006-0000-0400-000005000000}">
      <text>
        <r>
          <rPr>
            <sz val="10"/>
            <rFont val="Arial"/>
            <family val="2"/>
          </rPr>
          <t>Automatisk, ikke skriv I dette feltet</t>
        </r>
      </text>
    </comment>
    <comment ref="S7" authorId="0" shapeId="0" xr:uid="{00000000-0006-0000-0400-000006000000}">
      <text>
        <r>
          <rPr>
            <sz val="10"/>
            <rFont val="Arial"/>
            <family val="2"/>
          </rPr>
          <t>Automatisk, ikke skriv I dette feltet</t>
        </r>
      </text>
    </comment>
    <comment ref="T7" authorId="0" shapeId="0" xr:uid="{00000000-0006-0000-0400-000007000000}">
      <text>
        <r>
          <rPr>
            <sz val="10"/>
            <rFont val="Arial"/>
            <family val="2"/>
          </rPr>
          <t xml:space="preserve">Automatisk, ikke skriv I dette feltet
Svar ja/yes til Macro
under opstart </t>
        </r>
      </text>
    </comment>
    <comment ref="V7" authorId="0" shapeId="0" xr:uid="{00000000-0006-0000-0400-000008000000}">
      <text>
        <r>
          <rPr>
            <sz val="10"/>
            <rFont val="Arial"/>
            <family val="2"/>
          </rPr>
          <t xml:space="preserve">Angis i meter med to desimaler, f.eks. 7,65
</t>
        </r>
      </text>
    </comment>
    <comment ref="W7" authorId="0" shapeId="0" xr:uid="{00000000-0006-0000-0400-00000A000000}">
      <text>
        <r>
          <rPr>
            <sz val="10"/>
            <rFont val="Arial"/>
            <family val="2"/>
          </rPr>
          <t>Angis i meter med to desimaler, f.eks.9,75.</t>
        </r>
      </text>
    </comment>
    <comment ref="X7" authorId="0" shapeId="0" xr:uid="{00000000-0006-0000-0400-00000C000000}">
      <text>
        <r>
          <rPr>
            <sz val="10"/>
            <rFont val="Arial"/>
            <family val="2"/>
          </rPr>
          <t xml:space="preserve">Angis i sekund med en eller to desimaler, f.eks. 7,3 eller 7,21. Forhøyes automaisk oppover til nærmeste tidel ved poengberegning, dvs. 7,21 blir 7.3 som tellende.
</t>
        </r>
      </text>
    </comment>
    <comment ref="V8" authorId="0" shapeId="0" xr:uid="{00000000-0006-0000-0400-000009000000}">
      <text>
        <r>
          <rPr>
            <sz val="10"/>
            <rFont val="Arial"/>
            <family val="2"/>
          </rPr>
          <t xml:space="preserve">Automatisk, ikke skriv i dette feltet.
</t>
        </r>
      </text>
    </comment>
    <comment ref="W8" authorId="0" shapeId="0" xr:uid="{00000000-0006-0000-0400-00000B000000}">
      <text>
        <r>
          <rPr>
            <sz val="10"/>
            <rFont val="Arial"/>
            <family val="2"/>
          </rPr>
          <t xml:space="preserve">Automatisk, ikke skriv i dette feltet.
</t>
        </r>
      </text>
    </comment>
    <comment ref="X8" authorId="0" shapeId="0" xr:uid="{00000000-0006-0000-0400-00000D000000}">
      <text>
        <r>
          <rPr>
            <sz val="10"/>
            <rFont val="Arial"/>
            <family val="2"/>
          </rPr>
          <t xml:space="preserve">Automatisk, ikke skriv i dette feltet.
</t>
        </r>
      </text>
    </comment>
  </commentList>
</comments>
</file>

<file path=xl/comments4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Author</author>
  </authors>
  <commentList>
    <comment ref="D7" authorId="0" shapeId="0" xr:uid="{00000000-0006-0000-0500-000001000000}">
      <text>
        <r>
          <rPr>
            <sz val="10"/>
            <rFont val="Arial"/>
            <family val="2"/>
          </rPr>
          <t>I Norge bruke vi kun en desimal, internasjonalt 2, vi bør bruke 2 dersom innveiings vekta tillater det.</t>
        </r>
      </text>
    </comment>
    <comment ref="E7" authorId="0" shapeId="0" xr:uid="{00000000-0006-0000-0500-000002000000}">
      <text>
        <r>
          <rPr>
            <sz val="10"/>
            <rFont val="Arial"/>
            <family val="2"/>
          </rPr>
          <t>UK,JK,SK og VK blir SinclairTabell for Kvinner brukt.
M0,M1..Kvinner virker ikke.
For ALLE andre kategorier blir tabell for men brukt.</t>
        </r>
      </text>
    </comment>
    <comment ref="L7" authorId="0" shapeId="0" xr:uid="{00000000-0006-0000-0500-000003000000}">
      <text>
        <r>
          <rPr>
            <sz val="10"/>
            <rFont val="Arial"/>
            <family val="2"/>
          </rPr>
          <t>NVF:
Bruk minus (-) for underkjent. Feks -140
Bruk N og F for neste og første, feks 170F og 175N</t>
        </r>
      </text>
    </comment>
    <comment ref="O7" authorId="0" shapeId="0" xr:uid="{00000000-0006-0000-0500-000004000000}">
      <text>
        <r>
          <rPr>
            <sz val="10"/>
            <rFont val="Arial"/>
            <family val="2"/>
          </rPr>
          <t>NVF:
Bruk minus (-) for underkjent. Feks -140
Bruk N og F for neste og første, feks 170F og 175N</t>
        </r>
      </text>
    </comment>
    <comment ref="R7" authorId="0" shapeId="0" xr:uid="{00000000-0006-0000-0500-000005000000}">
      <text>
        <r>
          <rPr>
            <sz val="10"/>
            <rFont val="Arial"/>
            <family val="2"/>
          </rPr>
          <t>Automatisk, ikke skriv I dette feltet</t>
        </r>
      </text>
    </comment>
    <comment ref="S7" authorId="0" shapeId="0" xr:uid="{00000000-0006-0000-0500-000006000000}">
      <text>
        <r>
          <rPr>
            <sz val="10"/>
            <rFont val="Arial"/>
            <family val="2"/>
          </rPr>
          <t>Automatisk, ikke skriv I dette feltet</t>
        </r>
      </text>
    </comment>
    <comment ref="T7" authorId="0" shapeId="0" xr:uid="{00000000-0006-0000-0500-000007000000}">
      <text>
        <r>
          <rPr>
            <sz val="10"/>
            <rFont val="Arial"/>
            <family val="2"/>
          </rPr>
          <t xml:space="preserve">Automatisk, ikke skriv I dette feltet
Svar ja/yes til Macro
under opstart </t>
        </r>
      </text>
    </comment>
    <comment ref="V7" authorId="0" shapeId="0" xr:uid="{00000000-0006-0000-0500-000008000000}">
      <text>
        <r>
          <rPr>
            <sz val="10"/>
            <rFont val="Arial"/>
            <family val="2"/>
          </rPr>
          <t xml:space="preserve">Angis i meter med to desimaler, f.eks. 7,65
</t>
        </r>
      </text>
    </comment>
    <comment ref="W7" authorId="0" shapeId="0" xr:uid="{00000000-0006-0000-0500-00000A000000}">
      <text>
        <r>
          <rPr>
            <sz val="10"/>
            <rFont val="Arial"/>
            <family val="2"/>
          </rPr>
          <t>Angis i meter med to desimaler, f.eks.9,75.</t>
        </r>
      </text>
    </comment>
    <comment ref="X7" authorId="0" shapeId="0" xr:uid="{00000000-0006-0000-0500-00000C000000}">
      <text>
        <r>
          <rPr>
            <sz val="10"/>
            <rFont val="Arial"/>
            <family val="2"/>
          </rPr>
          <t xml:space="preserve">Angis i sekund med en eller to desimaler, f.eks. 7,3 eller 7,21. Forhøyes automaisk oppover til nærmeste tidel ved poengberegning, dvs. 7,21 blir 7.3 som tellende.
</t>
        </r>
      </text>
    </comment>
    <comment ref="V8" authorId="0" shapeId="0" xr:uid="{00000000-0006-0000-0500-000009000000}">
      <text>
        <r>
          <rPr>
            <sz val="10"/>
            <rFont val="Arial"/>
            <family val="2"/>
          </rPr>
          <t xml:space="preserve">Automatisk, ikke skriv i dette feltet.
</t>
        </r>
      </text>
    </comment>
    <comment ref="W8" authorId="0" shapeId="0" xr:uid="{00000000-0006-0000-0500-00000B000000}">
      <text>
        <r>
          <rPr>
            <sz val="10"/>
            <rFont val="Arial"/>
            <family val="2"/>
          </rPr>
          <t xml:space="preserve">Automatisk, ikke skriv i dette feltet.
</t>
        </r>
      </text>
    </comment>
    <comment ref="X8" authorId="0" shapeId="0" xr:uid="{00000000-0006-0000-0500-00000D000000}">
      <text>
        <r>
          <rPr>
            <sz val="10"/>
            <rFont val="Arial"/>
            <family val="2"/>
          </rPr>
          <t xml:space="preserve">Automatisk, ikke skriv i dette feltet.
</t>
        </r>
      </text>
    </comment>
  </commentList>
</comments>
</file>

<file path=xl/comments5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Author</author>
  </authors>
  <commentList>
    <comment ref="D7" authorId="0" shapeId="0" xr:uid="{00000000-0006-0000-0600-000001000000}">
      <text>
        <r>
          <rPr>
            <sz val="10"/>
            <rFont val="Arial"/>
            <family val="2"/>
          </rPr>
          <t>I Norge bruke vi kun en desimal, internasjonalt 2, vi bør bruke 2 dersom innveiings vekta tillater det.</t>
        </r>
      </text>
    </comment>
    <comment ref="E7" authorId="0" shapeId="0" xr:uid="{00000000-0006-0000-0600-000002000000}">
      <text>
        <r>
          <rPr>
            <sz val="10"/>
            <rFont val="Arial"/>
            <family val="2"/>
          </rPr>
          <t>UK,JK,SK og VK blir SinclairTabell for Kvinner brukt.
M0,M1..Kvinner virker ikke.
For ALLE andre kategorier blir tabell for men brukt.</t>
        </r>
      </text>
    </comment>
    <comment ref="L7" authorId="0" shapeId="0" xr:uid="{00000000-0006-0000-0600-000003000000}">
      <text>
        <r>
          <rPr>
            <sz val="10"/>
            <rFont val="Arial"/>
            <family val="2"/>
          </rPr>
          <t>NVF:
Bruk minus (-) for underkjent. Feks -140
Bruk N og F for neste og første, feks 170F og 175N</t>
        </r>
      </text>
    </comment>
    <comment ref="O7" authorId="0" shapeId="0" xr:uid="{00000000-0006-0000-0600-000004000000}">
      <text>
        <r>
          <rPr>
            <sz val="10"/>
            <rFont val="Arial"/>
            <family val="2"/>
          </rPr>
          <t>NVF:
Bruk minus (-) for underkjent. Feks -140
Bruk N og F for neste og første, feks 170F og 175N</t>
        </r>
      </text>
    </comment>
    <comment ref="R7" authorId="0" shapeId="0" xr:uid="{00000000-0006-0000-0600-000005000000}">
      <text>
        <r>
          <rPr>
            <sz val="10"/>
            <rFont val="Arial"/>
            <family val="2"/>
          </rPr>
          <t>Automatisk, ikke skriv I dette feltet</t>
        </r>
      </text>
    </comment>
    <comment ref="S7" authorId="0" shapeId="0" xr:uid="{00000000-0006-0000-0600-000006000000}">
      <text>
        <r>
          <rPr>
            <sz val="10"/>
            <rFont val="Arial"/>
            <family val="2"/>
          </rPr>
          <t>Automatisk, ikke skriv I dette feltet</t>
        </r>
      </text>
    </comment>
    <comment ref="T7" authorId="0" shapeId="0" xr:uid="{00000000-0006-0000-0600-000007000000}">
      <text>
        <r>
          <rPr>
            <sz val="10"/>
            <rFont val="Arial"/>
            <family val="2"/>
          </rPr>
          <t xml:space="preserve">Automatisk, ikke skriv I dette feltet
Svar ja/yes til Macro
under opstart </t>
        </r>
      </text>
    </comment>
    <comment ref="V7" authorId="0" shapeId="0" xr:uid="{00000000-0006-0000-0600-000008000000}">
      <text>
        <r>
          <rPr>
            <sz val="10"/>
            <rFont val="Arial"/>
            <family val="2"/>
          </rPr>
          <t xml:space="preserve">Angis i meter med to desimaler, f.eks. 7,65
</t>
        </r>
      </text>
    </comment>
    <comment ref="W7" authorId="0" shapeId="0" xr:uid="{00000000-0006-0000-0600-00000A000000}">
      <text>
        <r>
          <rPr>
            <sz val="10"/>
            <rFont val="Arial"/>
            <family val="2"/>
          </rPr>
          <t>Angis i meter med to desimaler, f.eks.9,75.</t>
        </r>
      </text>
    </comment>
    <comment ref="X7" authorId="0" shapeId="0" xr:uid="{00000000-0006-0000-0600-00000C000000}">
      <text>
        <r>
          <rPr>
            <sz val="10"/>
            <rFont val="Arial"/>
            <family val="2"/>
          </rPr>
          <t xml:space="preserve">Angis i sekund med en eller to desimaler, f.eks. 7,3 eller 7,21. Forhøyes automaisk oppover til nærmeste tidel ved poengberegning, dvs. 7,21 blir 7.3 som tellende.
</t>
        </r>
      </text>
    </comment>
    <comment ref="V8" authorId="0" shapeId="0" xr:uid="{00000000-0006-0000-0600-000009000000}">
      <text>
        <r>
          <rPr>
            <sz val="10"/>
            <rFont val="Arial"/>
            <family val="2"/>
          </rPr>
          <t xml:space="preserve">Automatisk, ikke skriv i dette feltet.
</t>
        </r>
      </text>
    </comment>
    <comment ref="W8" authorId="0" shapeId="0" xr:uid="{00000000-0006-0000-0600-00000B000000}">
      <text>
        <r>
          <rPr>
            <sz val="10"/>
            <rFont val="Arial"/>
            <family val="2"/>
          </rPr>
          <t xml:space="preserve">Automatisk, ikke skriv i dette feltet.
</t>
        </r>
      </text>
    </comment>
    <comment ref="X8" authorId="0" shapeId="0" xr:uid="{00000000-0006-0000-0600-00000D000000}">
      <text>
        <r>
          <rPr>
            <sz val="10"/>
            <rFont val="Arial"/>
            <family val="2"/>
          </rPr>
          <t xml:space="preserve">Automatisk, ikke skriv i dette feltet.
</t>
        </r>
      </text>
    </comment>
  </commentList>
</comments>
</file>

<file path=xl/comments6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Author</author>
  </authors>
  <commentList>
    <comment ref="D7" authorId="0" shapeId="0" xr:uid="{00000000-0006-0000-0700-000001000000}">
      <text>
        <r>
          <rPr>
            <sz val="10"/>
            <rFont val="Arial"/>
            <family val="2"/>
          </rPr>
          <t>I Norge bruke vi kun en desimal, internasjonalt 2, vi bør bruke 2 dersom innveiings vekta tillater det.</t>
        </r>
      </text>
    </comment>
    <comment ref="E7" authorId="0" shapeId="0" xr:uid="{00000000-0006-0000-0700-000002000000}">
      <text>
        <r>
          <rPr>
            <sz val="10"/>
            <rFont val="Arial"/>
            <family val="2"/>
          </rPr>
          <t>UK,JK,SK og VK blir SinclairTabell for Kvinner brukt.
M0,M1..Kvinner virker ikke.
For ALLE andre kategorier blir tabell for men brukt.</t>
        </r>
      </text>
    </comment>
    <comment ref="L7" authorId="0" shapeId="0" xr:uid="{00000000-0006-0000-0700-000003000000}">
      <text>
        <r>
          <rPr>
            <sz val="10"/>
            <rFont val="Arial"/>
            <family val="2"/>
          </rPr>
          <t>NVF:
Bruk minus (-) for underkjent. Feks -140
Bruk N og F for neste og første, feks 170F og 175N</t>
        </r>
      </text>
    </comment>
    <comment ref="O7" authorId="0" shapeId="0" xr:uid="{00000000-0006-0000-0700-000004000000}">
      <text>
        <r>
          <rPr>
            <sz val="10"/>
            <rFont val="Arial"/>
            <family val="2"/>
          </rPr>
          <t>NVF:
Bruk minus (-) for underkjent. Feks -140
Bruk N og F for neste og første, feks 170F og 175N</t>
        </r>
      </text>
    </comment>
    <comment ref="R7" authorId="0" shapeId="0" xr:uid="{00000000-0006-0000-0700-000005000000}">
      <text>
        <r>
          <rPr>
            <sz val="10"/>
            <rFont val="Arial"/>
            <family val="2"/>
          </rPr>
          <t>Automatisk, ikke skriv I dette feltet</t>
        </r>
      </text>
    </comment>
    <comment ref="S7" authorId="0" shapeId="0" xr:uid="{00000000-0006-0000-0700-000006000000}">
      <text>
        <r>
          <rPr>
            <sz val="10"/>
            <rFont val="Arial"/>
            <family val="2"/>
          </rPr>
          <t>Automatisk, ikke skriv I dette feltet</t>
        </r>
      </text>
    </comment>
    <comment ref="T7" authorId="0" shapeId="0" xr:uid="{00000000-0006-0000-0700-000007000000}">
      <text>
        <r>
          <rPr>
            <sz val="10"/>
            <rFont val="Arial"/>
            <family val="2"/>
          </rPr>
          <t xml:space="preserve">Automatisk, ikke skriv I dette feltet
Svar ja/yes til Macro
under opstart </t>
        </r>
      </text>
    </comment>
    <comment ref="V7" authorId="0" shapeId="0" xr:uid="{00000000-0006-0000-0700-000008000000}">
      <text>
        <r>
          <rPr>
            <sz val="10"/>
            <rFont val="Arial"/>
            <family val="2"/>
          </rPr>
          <t xml:space="preserve">Angis i meter med to desimaler, f.eks. 7,65
</t>
        </r>
      </text>
    </comment>
    <comment ref="W7" authorId="0" shapeId="0" xr:uid="{00000000-0006-0000-0700-00000A000000}">
      <text>
        <r>
          <rPr>
            <sz val="10"/>
            <rFont val="Arial"/>
            <family val="2"/>
          </rPr>
          <t>Angis i meter med to desimaler, f.eks.9,75.</t>
        </r>
      </text>
    </comment>
    <comment ref="X7" authorId="0" shapeId="0" xr:uid="{00000000-0006-0000-0700-00000C000000}">
      <text>
        <r>
          <rPr>
            <sz val="10"/>
            <rFont val="Arial"/>
            <family val="2"/>
          </rPr>
          <t xml:space="preserve">Angis i sekund med en eller to desimaler, f.eks. 7,3 eller 7,21. Forhøyes automaisk oppover til nærmeste tidel ved poengberegning, dvs. 7,21 blir 7.3 som tellende.
</t>
        </r>
      </text>
    </comment>
    <comment ref="V8" authorId="0" shapeId="0" xr:uid="{00000000-0006-0000-0700-000009000000}">
      <text>
        <r>
          <rPr>
            <sz val="10"/>
            <rFont val="Arial"/>
            <family val="2"/>
          </rPr>
          <t xml:space="preserve">Automatisk, ikke skriv i dette feltet.
</t>
        </r>
      </text>
    </comment>
    <comment ref="W8" authorId="0" shapeId="0" xr:uid="{00000000-0006-0000-0700-00000B000000}">
      <text>
        <r>
          <rPr>
            <sz val="10"/>
            <rFont val="Arial"/>
            <family val="2"/>
          </rPr>
          <t xml:space="preserve">Automatisk, ikke skriv i dette feltet.
</t>
        </r>
      </text>
    </comment>
    <comment ref="X8" authorId="0" shapeId="0" xr:uid="{00000000-0006-0000-0700-00000D000000}">
      <text>
        <r>
          <rPr>
            <sz val="10"/>
            <rFont val="Arial"/>
            <family val="2"/>
          </rPr>
          <t xml:space="preserve">Automatisk, ikke skriv i dette feltet.
</t>
        </r>
      </text>
    </comment>
  </commentList>
</comments>
</file>

<file path=xl/comments7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Author</author>
  </authors>
  <commentList>
    <comment ref="D7" authorId="0" shapeId="0" xr:uid="{00000000-0006-0000-0800-000001000000}">
      <text>
        <r>
          <rPr>
            <sz val="10"/>
            <rFont val="Arial"/>
            <family val="2"/>
          </rPr>
          <t>I Norge bruke vi kun en desimal, internasjonalt 2, vi bør bruke 2 dersom innveiings vekta tillater det.</t>
        </r>
      </text>
    </comment>
    <comment ref="E7" authorId="0" shapeId="0" xr:uid="{00000000-0006-0000-0800-000002000000}">
      <text>
        <r>
          <rPr>
            <sz val="10"/>
            <rFont val="Arial"/>
            <family val="2"/>
          </rPr>
          <t>UK,JK,SK og VK blir SinclairTabell for Kvinner brukt.
M0,M1..Kvinner virker ikke.
For ALLE andre kategorier blir tabell for men brukt.</t>
        </r>
      </text>
    </comment>
    <comment ref="L7" authorId="0" shapeId="0" xr:uid="{00000000-0006-0000-0800-000003000000}">
      <text>
        <r>
          <rPr>
            <sz val="10"/>
            <rFont val="Arial"/>
            <family val="2"/>
          </rPr>
          <t>NVF:
Bruk minus (-) for underkjent. Feks -140
Bruk N og F for neste og første, feks 170F og 175N</t>
        </r>
      </text>
    </comment>
    <comment ref="O7" authorId="0" shapeId="0" xr:uid="{00000000-0006-0000-0800-000004000000}">
      <text>
        <r>
          <rPr>
            <sz val="10"/>
            <rFont val="Arial"/>
            <family val="2"/>
          </rPr>
          <t>NVF:
Bruk minus (-) for underkjent. Feks -140
Bruk N og F for neste og første, feks 170F og 175N</t>
        </r>
      </text>
    </comment>
    <comment ref="R7" authorId="0" shapeId="0" xr:uid="{00000000-0006-0000-0800-000005000000}">
      <text>
        <r>
          <rPr>
            <sz val="10"/>
            <rFont val="Arial"/>
            <family val="2"/>
          </rPr>
          <t>Automatisk, ikke skriv I dette feltet</t>
        </r>
      </text>
    </comment>
    <comment ref="S7" authorId="0" shapeId="0" xr:uid="{00000000-0006-0000-0800-000006000000}">
      <text>
        <r>
          <rPr>
            <sz val="10"/>
            <rFont val="Arial"/>
            <family val="2"/>
          </rPr>
          <t>Automatisk, ikke skriv I dette feltet</t>
        </r>
      </text>
    </comment>
    <comment ref="T7" authorId="0" shapeId="0" xr:uid="{00000000-0006-0000-0800-000007000000}">
      <text>
        <r>
          <rPr>
            <sz val="10"/>
            <rFont val="Arial"/>
            <family val="2"/>
          </rPr>
          <t xml:space="preserve">Automatisk, ikke skriv I dette feltet
Svar ja/yes til Macro
under opstart </t>
        </r>
      </text>
    </comment>
    <comment ref="V7" authorId="0" shapeId="0" xr:uid="{00000000-0006-0000-0800-000008000000}">
      <text>
        <r>
          <rPr>
            <sz val="10"/>
            <rFont val="Arial"/>
            <family val="2"/>
          </rPr>
          <t xml:space="preserve">Angis i meter med to desimaler, f.eks. 7,65
</t>
        </r>
      </text>
    </comment>
    <comment ref="W7" authorId="0" shapeId="0" xr:uid="{00000000-0006-0000-0800-00000A000000}">
      <text>
        <r>
          <rPr>
            <sz val="10"/>
            <rFont val="Arial"/>
            <family val="2"/>
          </rPr>
          <t>Angis i meter med to desimaler, f.eks.9,75.</t>
        </r>
      </text>
    </comment>
    <comment ref="X7" authorId="0" shapeId="0" xr:uid="{00000000-0006-0000-0800-00000C000000}">
      <text>
        <r>
          <rPr>
            <sz val="10"/>
            <rFont val="Arial"/>
            <family val="2"/>
          </rPr>
          <t xml:space="preserve">Angis i sekund med en eller to desimaler, f.eks. 7,3 eller 7,21. Forhøyes automaisk oppover til nærmeste tidel ved poengberegning, dvs. 7,21 blir 7.3 som tellende.
</t>
        </r>
      </text>
    </comment>
    <comment ref="V8" authorId="0" shapeId="0" xr:uid="{00000000-0006-0000-0800-000009000000}">
      <text>
        <r>
          <rPr>
            <sz val="10"/>
            <rFont val="Arial"/>
            <family val="2"/>
          </rPr>
          <t xml:space="preserve">Automatisk, ikke skriv i dette feltet.
</t>
        </r>
      </text>
    </comment>
    <comment ref="W8" authorId="0" shapeId="0" xr:uid="{00000000-0006-0000-0800-00000B000000}">
      <text>
        <r>
          <rPr>
            <sz val="10"/>
            <rFont val="Arial"/>
            <family val="2"/>
          </rPr>
          <t xml:space="preserve">Automatisk, ikke skriv i dette feltet.
</t>
        </r>
      </text>
    </comment>
    <comment ref="X8" authorId="0" shapeId="0" xr:uid="{00000000-0006-0000-0800-00000D000000}">
      <text>
        <r>
          <rPr>
            <sz val="10"/>
            <rFont val="Arial"/>
            <family val="2"/>
          </rPr>
          <t xml:space="preserve">Automatisk, ikke skriv i dette feltet.
</t>
        </r>
      </text>
    </comment>
  </commentList>
</comments>
</file>

<file path=xl/comments8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Author</author>
  </authors>
  <commentList>
    <comment ref="D7" authorId="0" shapeId="0" xr:uid="{00000000-0006-0000-0900-000001000000}">
      <text>
        <r>
          <rPr>
            <sz val="10"/>
            <rFont val="Arial"/>
            <family val="2"/>
          </rPr>
          <t>I Norge bruke vi kun en desimal, internasjonalt 2, vi bør bruke 2 dersom innveiings vekta tillater det.</t>
        </r>
      </text>
    </comment>
    <comment ref="E7" authorId="0" shapeId="0" xr:uid="{00000000-0006-0000-0900-000002000000}">
      <text>
        <r>
          <rPr>
            <sz val="10"/>
            <rFont val="Arial"/>
            <family val="2"/>
          </rPr>
          <t>UK,JK,SK og VK blir SinclairTabell for Kvinner brukt.
M0,M1..Kvinner virker ikke.
For ALLE andre kategorier blir tabell for men brukt.</t>
        </r>
      </text>
    </comment>
    <comment ref="L7" authorId="0" shapeId="0" xr:uid="{00000000-0006-0000-0900-000003000000}">
      <text>
        <r>
          <rPr>
            <sz val="10"/>
            <rFont val="Arial"/>
            <family val="2"/>
          </rPr>
          <t>NVF:
Bruk minus (-) for underkjent. Feks -140
Bruk N og F for neste og første, feks 170F og 175N</t>
        </r>
      </text>
    </comment>
    <comment ref="O7" authorId="0" shapeId="0" xr:uid="{00000000-0006-0000-0900-000004000000}">
      <text>
        <r>
          <rPr>
            <sz val="10"/>
            <rFont val="Arial"/>
            <family val="2"/>
          </rPr>
          <t>NVF:
Bruk minus (-) for underkjent. Feks -140
Bruk N og F for neste og første, feks 170F og 175N</t>
        </r>
      </text>
    </comment>
    <comment ref="R7" authorId="0" shapeId="0" xr:uid="{00000000-0006-0000-0900-000005000000}">
      <text>
        <r>
          <rPr>
            <sz val="10"/>
            <rFont val="Arial"/>
            <family val="2"/>
          </rPr>
          <t>Automatisk, ikke skriv I dette feltet</t>
        </r>
      </text>
    </comment>
    <comment ref="S7" authorId="0" shapeId="0" xr:uid="{00000000-0006-0000-0900-000006000000}">
      <text>
        <r>
          <rPr>
            <sz val="10"/>
            <rFont val="Arial"/>
            <family val="2"/>
          </rPr>
          <t>Automatisk, ikke skriv I dette feltet</t>
        </r>
      </text>
    </comment>
    <comment ref="T7" authorId="0" shapeId="0" xr:uid="{00000000-0006-0000-0900-000007000000}">
      <text>
        <r>
          <rPr>
            <sz val="10"/>
            <rFont val="Arial"/>
            <family val="2"/>
          </rPr>
          <t xml:space="preserve">Automatisk, ikke skriv I dette feltet
Svar ja/yes til Macro
under opstart </t>
        </r>
      </text>
    </comment>
    <comment ref="V7" authorId="0" shapeId="0" xr:uid="{00000000-0006-0000-0900-000008000000}">
      <text>
        <r>
          <rPr>
            <sz val="10"/>
            <rFont val="Arial"/>
            <family val="2"/>
          </rPr>
          <t xml:space="preserve">Angis i meter med to desimaler, f.eks. 7,65
</t>
        </r>
      </text>
    </comment>
    <comment ref="W7" authorId="0" shapeId="0" xr:uid="{00000000-0006-0000-0900-00000A000000}">
      <text>
        <r>
          <rPr>
            <sz val="10"/>
            <rFont val="Arial"/>
            <family val="2"/>
          </rPr>
          <t>Angis i meter med to desimaler, f.eks.9,75.</t>
        </r>
      </text>
    </comment>
    <comment ref="X7" authorId="0" shapeId="0" xr:uid="{00000000-0006-0000-0900-00000C000000}">
      <text>
        <r>
          <rPr>
            <sz val="10"/>
            <rFont val="Arial"/>
            <family val="2"/>
          </rPr>
          <t xml:space="preserve">Angis i sekund med en eller to desimaler, f.eks. 7,3 eller 7,21. Forhøyes automaisk oppover til nærmeste tidel ved poengberegning, dvs. 7,21 blir 7.3 som tellende.
</t>
        </r>
      </text>
    </comment>
    <comment ref="V8" authorId="0" shapeId="0" xr:uid="{00000000-0006-0000-0900-000009000000}">
      <text>
        <r>
          <rPr>
            <sz val="10"/>
            <rFont val="Arial"/>
            <family val="2"/>
          </rPr>
          <t xml:space="preserve">Automatisk, ikke skriv i dette feltet.
</t>
        </r>
      </text>
    </comment>
    <comment ref="W8" authorId="0" shapeId="0" xr:uid="{00000000-0006-0000-0900-00000B000000}">
      <text>
        <r>
          <rPr>
            <sz val="10"/>
            <rFont val="Arial"/>
            <family val="2"/>
          </rPr>
          <t xml:space="preserve">Automatisk, ikke skriv i dette feltet.
</t>
        </r>
      </text>
    </comment>
    <comment ref="X8" authorId="0" shapeId="0" xr:uid="{00000000-0006-0000-0900-00000D000000}">
      <text>
        <r>
          <rPr>
            <sz val="10"/>
            <rFont val="Arial"/>
            <family val="2"/>
          </rPr>
          <t xml:space="preserve">Automatisk, ikke skriv i dette feltet.
</t>
        </r>
      </text>
    </comment>
  </commentList>
</comments>
</file>

<file path=xl/comments9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Author</author>
  </authors>
  <commentList>
    <comment ref="D7" authorId="0" shapeId="0" xr:uid="{00000000-0006-0000-0A00-000001000000}">
      <text>
        <r>
          <rPr>
            <sz val="10"/>
            <rFont val="Arial"/>
            <family val="2"/>
          </rPr>
          <t>I Norge bruke vi kun en desimal, internasjonalt 2, vi bør bruke 2 dersom innveiings vekta tillater det.</t>
        </r>
      </text>
    </comment>
    <comment ref="E7" authorId="0" shapeId="0" xr:uid="{00000000-0006-0000-0A00-000002000000}">
      <text>
        <r>
          <rPr>
            <sz val="10"/>
            <rFont val="Arial"/>
            <family val="2"/>
          </rPr>
          <t>UK,JK,SK og VK blir SinclairTabell for Kvinner brukt.
M0,M1..Kvinner virker ikke.
For ALLE andre kategorier blir tabell for men brukt.</t>
        </r>
      </text>
    </comment>
    <comment ref="L7" authorId="0" shapeId="0" xr:uid="{00000000-0006-0000-0A00-000003000000}">
      <text>
        <r>
          <rPr>
            <sz val="10"/>
            <rFont val="Arial"/>
            <family val="2"/>
          </rPr>
          <t>NVF:
Bruk minus (-) for underkjent. Feks -140
Bruk N og F for neste og første, feks 170F og 175N</t>
        </r>
      </text>
    </comment>
    <comment ref="O7" authorId="0" shapeId="0" xr:uid="{00000000-0006-0000-0A00-000004000000}">
      <text>
        <r>
          <rPr>
            <sz val="10"/>
            <rFont val="Arial"/>
            <family val="2"/>
          </rPr>
          <t>NVF:
Bruk minus (-) for underkjent. Feks -140
Bruk N og F for neste og første, feks 170F og 175N</t>
        </r>
      </text>
    </comment>
    <comment ref="R7" authorId="0" shapeId="0" xr:uid="{00000000-0006-0000-0A00-000005000000}">
      <text>
        <r>
          <rPr>
            <sz val="10"/>
            <rFont val="Arial"/>
            <family val="2"/>
          </rPr>
          <t>Automatisk, ikke skriv I dette feltet</t>
        </r>
      </text>
    </comment>
    <comment ref="S7" authorId="0" shapeId="0" xr:uid="{00000000-0006-0000-0A00-000006000000}">
      <text>
        <r>
          <rPr>
            <sz val="10"/>
            <rFont val="Arial"/>
            <family val="2"/>
          </rPr>
          <t>Automatisk, ikke skriv I dette feltet</t>
        </r>
      </text>
    </comment>
    <comment ref="T7" authorId="0" shapeId="0" xr:uid="{00000000-0006-0000-0A00-000007000000}">
      <text>
        <r>
          <rPr>
            <sz val="10"/>
            <rFont val="Arial"/>
            <family val="2"/>
          </rPr>
          <t xml:space="preserve">Automatisk, ikke skriv I dette feltet
Svar ja/yes til Macro
under opstart </t>
        </r>
      </text>
    </comment>
    <comment ref="V7" authorId="0" shapeId="0" xr:uid="{00000000-0006-0000-0A00-000008000000}">
      <text>
        <r>
          <rPr>
            <sz val="10"/>
            <rFont val="Arial"/>
            <family val="2"/>
          </rPr>
          <t xml:space="preserve">Angis i meter med to desimaler, f.eks. 7,65
</t>
        </r>
      </text>
    </comment>
    <comment ref="W7" authorId="0" shapeId="0" xr:uid="{00000000-0006-0000-0A00-00000A000000}">
      <text>
        <r>
          <rPr>
            <sz val="10"/>
            <rFont val="Arial"/>
            <family val="2"/>
          </rPr>
          <t>Angis i meter med to desimaler, f.eks.9,75.</t>
        </r>
      </text>
    </comment>
    <comment ref="X7" authorId="0" shapeId="0" xr:uid="{00000000-0006-0000-0A00-00000C000000}">
      <text>
        <r>
          <rPr>
            <sz val="10"/>
            <rFont val="Arial"/>
            <family val="2"/>
          </rPr>
          <t xml:space="preserve">Angis i sekund med en eller to desimaler, f.eks. 7,3 eller 7,21. Forhøyes automaisk oppover til nærmeste tidel ved poengberegning, dvs. 7,21 blir 7.3 som tellende.
</t>
        </r>
      </text>
    </comment>
    <comment ref="V8" authorId="0" shapeId="0" xr:uid="{00000000-0006-0000-0A00-000009000000}">
      <text>
        <r>
          <rPr>
            <sz val="10"/>
            <rFont val="Arial"/>
            <family val="2"/>
          </rPr>
          <t xml:space="preserve">Automatisk, ikke skriv i dette feltet.
</t>
        </r>
      </text>
    </comment>
    <comment ref="W8" authorId="0" shapeId="0" xr:uid="{00000000-0006-0000-0A00-00000B000000}">
      <text>
        <r>
          <rPr>
            <sz val="10"/>
            <rFont val="Arial"/>
            <family val="2"/>
          </rPr>
          <t xml:space="preserve">Automatisk, ikke skriv i dette feltet.
</t>
        </r>
      </text>
    </comment>
    <comment ref="X8" authorId="0" shapeId="0" xr:uid="{00000000-0006-0000-0A00-00000D000000}">
      <text>
        <r>
          <rPr>
            <sz val="10"/>
            <rFont val="Arial"/>
            <family val="2"/>
          </rPr>
          <t xml:space="preserve">Automatisk, ikke skriv i dette feltet.
</t>
        </r>
      </text>
    </comment>
  </commentList>
</comments>
</file>

<file path=xl/sharedStrings.xml><?xml version="1.0" encoding="utf-8"?>
<sst xmlns="http://schemas.openxmlformats.org/spreadsheetml/2006/main" count="1514" uniqueCount="336">
  <si>
    <r>
      <rPr>
        <b/>
        <sz val="28"/>
        <rFont val="Arial Black"/>
        <family val="2"/>
        <charset val="1"/>
      </rPr>
      <t xml:space="preserve">5 - k a m p    p r o t o k o l l 
</t>
    </r>
    <r>
      <rPr>
        <b/>
        <sz val="24"/>
        <rFont val="Arial Black"/>
        <family val="2"/>
        <charset val="1"/>
      </rPr>
      <t>inkl. vektløft-protokoll</t>
    </r>
  </si>
  <si>
    <t xml:space="preserve"> ØVELSEN 40 M SPRINT</t>
  </si>
  <si>
    <t>Norges vektløfterforbund</t>
  </si>
  <si>
    <t xml:space="preserve">    Ved manuell tidtaking skal det legges til 0,2 sek</t>
  </si>
  <si>
    <t>Stevnekat:</t>
  </si>
  <si>
    <t>Norgesmesterskap 5-Kamp</t>
  </si>
  <si>
    <t>Arrangør:</t>
  </si>
  <si>
    <t>Voll IL</t>
  </si>
  <si>
    <t>Sted:</t>
  </si>
  <si>
    <t>Vollhallen</t>
  </si>
  <si>
    <t>Dato:</t>
  </si>
  <si>
    <t>Pulje:</t>
  </si>
  <si>
    <t>meltzer</t>
  </si>
  <si>
    <t>Sinclair
Coeff.</t>
  </si>
  <si>
    <t>NVF-ID</t>
  </si>
  <si>
    <t>Vekt
kl</t>
  </si>
  <si>
    <t>Kropps-
vekt</t>
  </si>
  <si>
    <t xml:space="preserve"> Kate-vekt</t>
  </si>
  <si>
    <t>Kat
5 k</t>
  </si>
  <si>
    <t>Fødsels-</t>
  </si>
  <si>
    <t>St</t>
  </si>
  <si>
    <t>Navn</t>
  </si>
  <si>
    <t>Lag</t>
  </si>
  <si>
    <t>Rykk</t>
  </si>
  <si>
    <t>Støt</t>
  </si>
  <si>
    <t xml:space="preserve">    Beste forsøk i</t>
  </si>
  <si>
    <t>Sammen-</t>
  </si>
  <si>
    <t>Poeng</t>
  </si>
  <si>
    <t>3-hopp</t>
  </si>
  <si>
    <t>Kulekast</t>
  </si>
  <si>
    <t>40 m sprint</t>
  </si>
  <si>
    <t>3-kamp</t>
  </si>
  <si>
    <t>5-kamp</t>
  </si>
  <si>
    <t>Pl.</t>
  </si>
  <si>
    <t>Rek.</t>
  </si>
  <si>
    <t>faber</t>
  </si>
  <si>
    <t>dato</t>
  </si>
  <si>
    <t>nr</t>
  </si>
  <si>
    <t xml:space="preserve">      hver øvelse</t>
  </si>
  <si>
    <t>lagt</t>
  </si>
  <si>
    <t>Veteran</t>
  </si>
  <si>
    <t>sum</t>
  </si>
  <si>
    <t>total</t>
  </si>
  <si>
    <t>Kjønn</t>
  </si>
  <si>
    <t>Alder</t>
  </si>
  <si>
    <t>menn</t>
  </si>
  <si>
    <t>kvinner</t>
  </si>
  <si>
    <t>gyldig</t>
  </si>
  <si>
    <t>2012007</t>
  </si>
  <si>
    <t>53</t>
  </si>
  <si>
    <t>UK</t>
  </si>
  <si>
    <t>13-14</t>
  </si>
  <si>
    <t>7</t>
  </si>
  <si>
    <t>Solveig Olsen</t>
  </si>
  <si>
    <t>Hitra VK</t>
  </si>
  <si>
    <t>2012015</t>
  </si>
  <si>
    <t>5</t>
  </si>
  <si>
    <t>Anine Sofie Fritz Almås</t>
  </si>
  <si>
    <t>Nidelv IL</t>
  </si>
  <si>
    <t>2013024</t>
  </si>
  <si>
    <t>4</t>
  </si>
  <si>
    <t>Regine Hansen Hole</t>
  </si>
  <si>
    <t>2012031</t>
  </si>
  <si>
    <t>61</t>
  </si>
  <si>
    <t>8</t>
  </si>
  <si>
    <t>Malin Hansen Hole</t>
  </si>
  <si>
    <t>2012014</t>
  </si>
  <si>
    <t>77</t>
  </si>
  <si>
    <t>13</t>
  </si>
  <si>
    <t>Martine Nordal Hetland</t>
  </si>
  <si>
    <t>Tysvær VK</t>
  </si>
  <si>
    <t>2013019</t>
  </si>
  <si>
    <t>6</t>
  </si>
  <si>
    <t>Live Sveinsvoll</t>
  </si>
  <si>
    <t>2010004</t>
  </si>
  <si>
    <t>69</t>
  </si>
  <si>
    <t>15-16</t>
  </si>
  <si>
    <t>11</t>
  </si>
  <si>
    <t>Sandra Viktoria N. Amundsen</t>
  </si>
  <si>
    <t>AK Bjørgvin</t>
  </si>
  <si>
    <t>2011002</t>
  </si>
  <si>
    <t>49</t>
  </si>
  <si>
    <t>3</t>
  </si>
  <si>
    <t>Ingrid Skag Skjefstad</t>
  </si>
  <si>
    <t>2011030</t>
  </si>
  <si>
    <t>45</t>
  </si>
  <si>
    <t>2</t>
  </si>
  <si>
    <t>Natali Siska</t>
  </si>
  <si>
    <t>2009027</t>
  </si>
  <si>
    <t>17-18</t>
  </si>
  <si>
    <t>1</t>
  </si>
  <si>
    <t>Emine Tefre Grønnevik</t>
  </si>
  <si>
    <t>Tambarskjelvar IL</t>
  </si>
  <si>
    <t>2009003</t>
  </si>
  <si>
    <t>9</t>
  </si>
  <si>
    <t>Lea Berge Jensen</t>
  </si>
  <si>
    <t>Vigrestad IK</t>
  </si>
  <si>
    <t>-</t>
  </si>
  <si>
    <t>2009018</t>
  </si>
  <si>
    <t>10</t>
  </si>
  <si>
    <t>Sigrid Johanne Røvik</t>
  </si>
  <si>
    <t xml:space="preserve"> </t>
  </si>
  <si>
    <t>Rolle</t>
  </si>
  <si>
    <t>Klubb</t>
  </si>
  <si>
    <t>Stevnets leder</t>
  </si>
  <si>
    <t>1993011</t>
  </si>
  <si>
    <t>Christian Lysenstøen</t>
  </si>
  <si>
    <t>Spydeberg Atletene</t>
  </si>
  <si>
    <t>Speaker</t>
  </si>
  <si>
    <t>1969007</t>
  </si>
  <si>
    <t>Aud Marit O. Vold</t>
  </si>
  <si>
    <t>Dommer</t>
  </si>
  <si>
    <t>2004016</t>
  </si>
  <si>
    <t>Alexander Eide</t>
  </si>
  <si>
    <t>Haugesund VK</t>
  </si>
  <si>
    <t>Chief Marshall</t>
  </si>
  <si>
    <t>1973001</t>
  </si>
  <si>
    <t>Randi Schei</t>
  </si>
  <si>
    <t>1980011</t>
  </si>
  <si>
    <t>Frank Haugland</t>
  </si>
  <si>
    <t>Teknisk kontrollør</t>
  </si>
  <si>
    <t>.</t>
  </si>
  <si>
    <t>1997007</t>
  </si>
  <si>
    <t>Andreas Klinkenberg</t>
  </si>
  <si>
    <t>Stavanger AK</t>
  </si>
  <si>
    <t>Sekretær</t>
  </si>
  <si>
    <t>Jury</t>
  </si>
  <si>
    <t>Tidtaker</t>
  </si>
  <si>
    <t>2005024</t>
  </si>
  <si>
    <t>Anette Skjærli</t>
  </si>
  <si>
    <t>Nye rekorder</t>
  </si>
  <si>
    <t>Kat
5 kamp</t>
  </si>
  <si>
    <t>2008031</t>
  </si>
  <si>
    <t>JK</t>
  </si>
  <si>
    <t>12</t>
  </si>
  <si>
    <t>Ingeborg Skjærpe Liland</t>
  </si>
  <si>
    <t>Meltzer-Faber</t>
  </si>
  <si>
    <t>Poeng menn</t>
  </si>
  <si>
    <t>Poeng kvinner</t>
  </si>
  <si>
    <t>2013027</t>
  </si>
  <si>
    <t>60</t>
  </si>
  <si>
    <t>UM</t>
  </si>
  <si>
    <t>Matias Søgnebotnen Herstad</t>
  </si>
  <si>
    <t>2012016</t>
  </si>
  <si>
    <t>65</t>
  </si>
  <si>
    <t>Naser Mohammed</t>
  </si>
  <si>
    <t>2012001</t>
  </si>
  <si>
    <t>95</t>
  </si>
  <si>
    <t>Thor Engelsvoll</t>
  </si>
  <si>
    <t>2013011</t>
  </si>
  <si>
    <t>55</t>
  </si>
  <si>
    <t>Troy Aleksander Paulsen</t>
  </si>
  <si>
    <t>Larvik AK</t>
  </si>
  <si>
    <t>2012028</t>
  </si>
  <si>
    <t>85</t>
  </si>
  <si>
    <t>Anton Rivera</t>
  </si>
  <si>
    <t>2010010</t>
  </si>
  <si>
    <t>75</t>
  </si>
  <si>
    <t>Jørgen Bysveen</t>
  </si>
  <si>
    <t>T&amp;IL National</t>
  </si>
  <si>
    <t>2010001</t>
  </si>
  <si>
    <t>Sondre Elias Fredriksen</t>
  </si>
  <si>
    <t>2010015</t>
  </si>
  <si>
    <t>Lyder Slagstad Aamot</t>
  </si>
  <si>
    <t>2011020</t>
  </si>
  <si>
    <t>Emil Røvik</t>
  </si>
  <si>
    <t>2011031</t>
  </si>
  <si>
    <t>Lennart Hafsmo Vitsø</t>
  </si>
  <si>
    <t>2010005</t>
  </si>
  <si>
    <t>70</t>
  </si>
  <si>
    <t>Alexander Stormoen Bruun</t>
  </si>
  <si>
    <t>2011021</t>
  </si>
  <si>
    <t>Martin Christoffer Nordgård</t>
  </si>
  <si>
    <t>1991016</t>
  </si>
  <si>
    <t>Tord Gravdal</t>
  </si>
  <si>
    <t>1984019</t>
  </si>
  <si>
    <t>Alicia Hanson</t>
  </si>
  <si>
    <t>2008009</t>
  </si>
  <si>
    <t>110</t>
  </si>
  <si>
    <t>JM</t>
  </si>
  <si>
    <t>14</t>
  </si>
  <si>
    <t>Nikolai K. Aadland</t>
  </si>
  <si>
    <t>2008022</t>
  </si>
  <si>
    <t>Olai Slagstad Aamot</t>
  </si>
  <si>
    <t>2009026</t>
  </si>
  <si>
    <t>Andreas Kvame</t>
  </si>
  <si>
    <t>2008023</t>
  </si>
  <si>
    <t>Andreas Kvamsås Savland</t>
  </si>
  <si>
    <t>2008021</t>
  </si>
  <si>
    <t>Aaron Jensen Fauske</t>
  </si>
  <si>
    <t>2005008</t>
  </si>
  <si>
    <t>SM</t>
  </si>
  <si>
    <t>19-23</t>
  </si>
  <si>
    <t>Stefan Rønnevik</t>
  </si>
  <si>
    <t>2006011</t>
  </si>
  <si>
    <t>Alvolai Myrvang Røyseth</t>
  </si>
  <si>
    <t>2007002</t>
  </si>
  <si>
    <t>Tomack Sand</t>
  </si>
  <si>
    <t>2007035</t>
  </si>
  <si>
    <t>Samuel Dantas De Sousa Juliussen</t>
  </si>
  <si>
    <t>2007001</t>
  </si>
  <si>
    <t>Rene A. Rand Djupå</t>
  </si>
  <si>
    <t>2006026</t>
  </si>
  <si>
    <t>Jakub Karol Kudyba</t>
  </si>
  <si>
    <t>2005022</t>
  </si>
  <si>
    <t>Emil Martin Harcourt</t>
  </si>
  <si>
    <t>Tønsberg-Kam.</t>
  </si>
  <si>
    <t>1983006</t>
  </si>
  <si>
    <t>Jan Sturle Andersen</t>
  </si>
  <si>
    <t>1965002</t>
  </si>
  <si>
    <t>Tor Steinar Herikstad</t>
  </si>
  <si>
    <t>1974008</t>
  </si>
  <si>
    <t>Roy Arne Bysveen</t>
  </si>
  <si>
    <t>NOR - Norgesrekord - JM - 70 - CLEANJERK - 119 - JULIUSSEN, Samuel Dantas De Sousa - Larvik AK - 29.08.2026</t>
  </si>
  <si>
    <t>2007015</t>
  </si>
  <si>
    <t>Erik Orasmäe</t>
  </si>
  <si>
    <t>2007003</t>
  </si>
  <si>
    <t>Oliver Mitseim-Haugan</t>
  </si>
  <si>
    <t>2005006</t>
  </si>
  <si>
    <t>SK</t>
  </si>
  <si>
    <t>Trine Endestad Hellevang</t>
  </si>
  <si>
    <t>2007021</t>
  </si>
  <si>
    <t>Elnaz Tajik</t>
  </si>
  <si>
    <t>2002003</t>
  </si>
  <si>
    <t>24-34</t>
  </si>
  <si>
    <t>Julia Jordanger Loen</t>
  </si>
  <si>
    <t>1996005</t>
  </si>
  <si>
    <t>57</t>
  </si>
  <si>
    <t>Rebekka Tao Jacobsen</t>
  </si>
  <si>
    <t>2000032</t>
  </si>
  <si>
    <t>Andrine Sandved Hestenes</t>
  </si>
  <si>
    <t>Leangen AK</t>
  </si>
  <si>
    <t>1994017</t>
  </si>
  <si>
    <t>Siren Tjensvoll Kverme</t>
  </si>
  <si>
    <t>2000024</t>
  </si>
  <si>
    <t>Lilly Småland</t>
  </si>
  <si>
    <t>2000003</t>
  </si>
  <si>
    <t>86</t>
  </si>
  <si>
    <t>Vilde Elisabeth Davidsen</t>
  </si>
  <si>
    <t>2002022</t>
  </si>
  <si>
    <t>Maria Sæterstøl</t>
  </si>
  <si>
    <t>1996021</t>
  </si>
  <si>
    <t>Kaia Arnøy Høyheim</t>
  </si>
  <si>
    <t>1978010</t>
  </si>
  <si>
    <t>Larisa Izumrudova</t>
  </si>
  <si>
    <t>1952001</t>
  </si>
  <si>
    <t>Arne Grostad</t>
  </si>
  <si>
    <t>1972001</t>
  </si>
  <si>
    <t>Stian Grimseth</t>
  </si>
  <si>
    <t>1983016</t>
  </si>
  <si>
    <t>K40</t>
  </si>
  <si>
    <t>35-59</t>
  </si>
  <si>
    <t>Camilla Ulvøy Johansen</t>
  </si>
  <si>
    <t>1990010</t>
  </si>
  <si>
    <t>K35</t>
  </si>
  <si>
    <t>Iselin Brogeland</t>
  </si>
  <si>
    <t>1985018</t>
  </si>
  <si>
    <t>Tina Renate Husebø</t>
  </si>
  <si>
    <t>1990006</t>
  </si>
  <si>
    <t>Iselin Hatlenes</t>
  </si>
  <si>
    <t>1984008</t>
  </si>
  <si>
    <t>Anna Szigeti</t>
  </si>
  <si>
    <t>1978015</t>
  </si>
  <si>
    <t>K45</t>
  </si>
  <si>
    <t>Gina Sofie Øby</t>
  </si>
  <si>
    <t>1991012</t>
  </si>
  <si>
    <t>Heidi Johansen</t>
  </si>
  <si>
    <t>1986008</t>
  </si>
  <si>
    <t>Vibeke Carlsen</t>
  </si>
  <si>
    <t>1980002</t>
  </si>
  <si>
    <t>+86</t>
  </si>
  <si>
    <t>Ingeborg Endresen</t>
  </si>
  <si>
    <t>Liland, Ingeborg</t>
  </si>
  <si>
    <t>1999007</t>
  </si>
  <si>
    <t>Adrian Henneli</t>
  </si>
  <si>
    <t>1995008</t>
  </si>
  <si>
    <t>Håkon Lorentzen</t>
  </si>
  <si>
    <t>2000025</t>
  </si>
  <si>
    <t>Kim Alexander Kvernø</t>
  </si>
  <si>
    <t>1999011</t>
  </si>
  <si>
    <t>Vetle Andersen</t>
  </si>
  <si>
    <t>1997001</t>
  </si>
  <si>
    <t>Sigurd Haug Korsvoll</t>
  </si>
  <si>
    <t>2001012</t>
  </si>
  <si>
    <t>+110</t>
  </si>
  <si>
    <t>Arnes Hrnjic</t>
  </si>
  <si>
    <t>2002007</t>
  </si>
  <si>
    <t>Hans Gunnar Kvadsheim</t>
  </si>
  <si>
    <t>2001004</t>
  </si>
  <si>
    <t>Ragnar G. Holme</t>
  </si>
  <si>
    <t>2001001</t>
  </si>
  <si>
    <t>Remy Heggvik Aune</t>
  </si>
  <si>
    <t>1994027</t>
  </si>
  <si>
    <t>Lars Espedal</t>
  </si>
  <si>
    <t>1957002</t>
  </si>
  <si>
    <t>Roy Johan Andersen Revheim</t>
  </si>
  <si>
    <t>1982004</t>
  </si>
  <si>
    <t>M40</t>
  </si>
  <si>
    <t>Ronny Gudmestad</t>
  </si>
  <si>
    <t>1988026</t>
  </si>
  <si>
    <t>M35</t>
  </si>
  <si>
    <t>Helge Eikeskog</t>
  </si>
  <si>
    <t>1989026</t>
  </si>
  <si>
    <t>Stefan Knudsen</t>
  </si>
  <si>
    <t>1976003</t>
  </si>
  <si>
    <t>M50</t>
  </si>
  <si>
    <t>Børge Aadland</t>
  </si>
  <si>
    <t>1979011</t>
  </si>
  <si>
    <t>M45</t>
  </si>
  <si>
    <t>Yngve Tran Sundt</t>
  </si>
  <si>
    <t>1961003</t>
  </si>
  <si>
    <t>M65</t>
  </si>
  <si>
    <t>+60</t>
  </si>
  <si>
    <t>Terje Gulvik</t>
  </si>
  <si>
    <t>NOR - Norgesrekord - M35 - &gt;110 - CLEANJERK - 153 - GRAVDAL, Tord - Vigrestad IK - 30.08.2026</t>
  </si>
  <si>
    <t>NOR - Norgesrekord - M35 - &gt;110 - TOTAL - 269 - GRAVDAL, Tord - Vigrestad IK - 30.08.2026</t>
  </si>
  <si>
    <t>NOR - Norgesrekord - M40 - 75 - SNATCH - 90 - GUDMESTAD, Ronny - Vigrestad IK - 30.08.2026</t>
  </si>
  <si>
    <t>NOR - Norgesrekord - M40 - 75 - TOTAL - 200 - GUDMESTAD, Ronny - Vigrestad IK - 30.08.2026</t>
  </si>
  <si>
    <t>NOR - Norgesrekord - M40 - 75 - CLEANJERK - 115 - GUDMESTAD, Ronny - Vigrestad IK - 30.08.2026</t>
  </si>
  <si>
    <t>NOR - Norgesrekord - M40 - 75 - TOTAL - 205 - GUDMESTAD, Ronny - Vigrestad IK - 30.08.2026</t>
  </si>
  <si>
    <t>NOR - Norgesrekord - M40 - 75 - CLEANJERK - 120 - GUDMESTAD, Ronny - Vigrestad IK - 30.08.2026</t>
  </si>
  <si>
    <t>NOR - Norgesrekord - M40 - 75 - TOTAL - 210 - GUDMESTAD, Ronny - Vigrestad IK - 30.08.2026</t>
  </si>
  <si>
    <t>NOR - Norgesrekord - M50 - 110 - SNATCH - 94 - AADLAND, Børge - AK Bjørgvin - 30.08.2026</t>
  </si>
  <si>
    <t>NOR - Norgesrekord - M50 - 110 - SNATCH - 96 - AADLAND, Børge - AK Bjørgvin - 30.08.2026</t>
  </si>
  <si>
    <t>NOR - Norgesrekord - M50 - 110 - CLEANJERK - 121 - AADLAND, Børge - AK Bjørgvin - 30.08.2026</t>
  </si>
  <si>
    <t>NOR - Norgesrekord - M50 - 110 - TOTAL - 217 - AADLAND, Børge - AK Bjørgvin - 30.08.2026</t>
  </si>
  <si>
    <t>NOR - Norgesrekord - M50 - 110 - TOTAL - 222 - AADLAND, Børge - AK Bjørgvin - 30.08.2026</t>
  </si>
  <si>
    <t>NOR - Norgesrekord - M50 - 110 - CLEANJERK - 126 - AADLAND, Børge - AK Bjørgvin - 30.08.2026</t>
  </si>
  <si>
    <t>NOR - Norgesrekord - M50 - 110 - CLEANJERK - 132 - AADLAND, Børge - AK Bjørgvin - 30.08.2026</t>
  </si>
  <si>
    <t>NOR - Norgesrekord - M50 - 110 - TOTAL - 228 - AADLAND, Børge - AK Bjørgvin - 30.08.2026</t>
  </si>
  <si>
    <t>NOR - Norgesrekord - M65 - 85 - SNATCH - 65 - GULVIK, Terje - Larvik AK - 30.08.2026</t>
  </si>
  <si>
    <t>NOR - Norgesrekord - M65 - 85 - SNATCH - 68 - GULVIK, Terje - Larvik AK - 30.08.2026</t>
  </si>
  <si>
    <t>NOR - Norgesrekord - M65 - 85 - CLEANJERK - 85 - GULVIK, Terje - Larvik AK - 30.08.2026</t>
  </si>
  <si>
    <t>NOR - Norgesrekord - M65 - 85 - TOTAL - 153 - GULVIK, Terje - Larvik AK - 30.08.2026</t>
  </si>
  <si>
    <t>NOR - Norgesrekord - M65 - 85 - TOTAL - 156 - GULVIK, Terje - Larvik AK - 30.08.2026</t>
  </si>
  <si>
    <t>NOR - Norgesrekord - M65 - 85 - CLEANJERK - 88 - GULVIK, Terje - Larvik AK - 30.08.2026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</si>
</sst>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164" formatCode="dd/mm/yy;@"/>
    <numFmt numFmtId="165" formatCode="0.0"/>
    <numFmt numFmtId="166" formatCode="0.0;[Red]0.0"/>
    <numFmt numFmtId="167" formatCode="0;[Red]0"/>
    <numFmt numFmtId="168" formatCode="0.000000"/>
    <numFmt numFmtId="169" formatCode="General;[Red]\-General"/>
    <numFmt numFmtId="170" formatCode="0.000"/>
  </numFmts>
  <fonts count="27">
    <font>
      <sz val="11"/>
      <color theme="1"/>
      <name val="Calibri"/>
      <family val="2"/>
      <charset val="1"/>
    </font>
    <font>
      <sz val="10"/>
      <name val="Times New Roman"/>
      <family val="1"/>
      <charset val="1"/>
    </font>
    <font>
      <b/>
      <sz val="10"/>
      <name val="Times New Roman"/>
      <family val="1"/>
      <charset val="1"/>
    </font>
    <font>
      <sz val="10"/>
      <name val="MS Sans Serif"/>
      <charset val="1"/>
    </font>
    <font>
      <b/>
      <sz val="28"/>
      <name val="Arial Black"/>
      <family val="2"/>
      <charset val="1"/>
    </font>
    <font>
      <b/>
      <sz val="24"/>
      <name val="Arial Black"/>
      <family val="2"/>
      <charset val="1"/>
    </font>
    <font>
      <b/>
      <sz val="10"/>
      <color rgb="FFFF0000"/>
      <name val="Arial"/>
      <family val="2"/>
      <charset val="1"/>
    </font>
    <font>
      <b/>
      <sz val="14"/>
      <color rgb="FFFF0000"/>
      <name val="Arial"/>
      <family val="2"/>
      <charset val="1"/>
    </font>
    <font>
      <sz val="18"/>
      <name val="Arial Black"/>
      <family val="2"/>
      <charset val="1"/>
    </font>
    <font>
      <sz val="11"/>
      <name val="Times New Roman"/>
      <family val="1"/>
      <charset val="1"/>
    </font>
    <font>
      <sz val="12"/>
      <name val="Times New Roman"/>
      <family val="1"/>
      <charset val="1"/>
    </font>
    <font>
      <b/>
      <sz val="12"/>
      <name val="Times New Roman"/>
      <family val="1"/>
      <charset val="1"/>
    </font>
    <font>
      <sz val="9"/>
      <name val="Times New Roman"/>
      <family val="1"/>
      <charset val="1"/>
    </font>
    <font>
      <b/>
      <i/>
      <sz val="10"/>
      <name val="Arial"/>
      <family val="2"/>
      <charset val="1"/>
    </font>
    <font>
      <i/>
      <sz val="10"/>
      <name val="Arial"/>
      <family val="2"/>
      <charset val="1"/>
    </font>
    <font>
      <b/>
      <sz val="12"/>
      <color theme="1"/>
      <name val="Times New Roman"/>
      <family val="1"/>
      <charset val="1"/>
    </font>
    <font>
      <b/>
      <sz val="12"/>
      <color rgb="FF000080"/>
      <name val="Times New Roman"/>
      <family val="1"/>
      <charset val="1"/>
    </font>
    <font>
      <sz val="10"/>
      <name val="Arial"/>
      <family val="2"/>
      <charset val="1"/>
    </font>
    <font>
      <sz val="12"/>
      <name val="Calibri"/>
      <family val="2"/>
      <charset val="1"/>
    </font>
    <font>
      <b/>
      <sz val="11"/>
      <name val="Times New Roman"/>
      <family val="1"/>
      <charset val="1"/>
    </font>
    <font>
      <sz val="12"/>
      <color theme="1"/>
      <name val="Times New Roman"/>
      <family val="1"/>
      <charset val="1"/>
    </font>
    <font>
      <b/>
      <u/>
      <sz val="12"/>
      <color rgb="FF000080"/>
      <name val="Times New Roman"/>
      <family val="1"/>
      <charset val="1"/>
    </font>
    <font>
      <sz val="8"/>
      <name val="Times New Roman"/>
      <family val="1"/>
      <charset val="1"/>
    </font>
    <font>
      <sz val="10"/>
      <name val="Arial"/>
      <family val="2"/>
    </font>
    <font>
      <b/>
      <sz val="8"/>
      <color rgb="FF000000"/>
      <name val="Tahoma"/>
      <family val="2"/>
      <charset val="1"/>
    </font>
    <font>
      <sz val="11"/>
      <color rgb="FF000000"/>
      <name val="Arial"/>
      <family val="2"/>
      <charset val="1"/>
    </font>
    <font>
      <sz val="11"/>
      <name val="Arial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2F2F2"/>
      </patternFill>
    </fill>
    <fill>
      <patternFill patternType="solid">
        <fgColor rgb="FFF2F2F2"/>
        <bgColor rgb="FFFFFFFF"/>
      </patternFill>
    </fill>
  </fills>
  <borders count="37">
    <border>
      <left/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dashed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dashed">
        <color auto="1"/>
      </top>
      <bottom/>
      <diagonal/>
    </border>
    <border>
      <left style="thin">
        <color auto="1"/>
      </left>
      <right style="thin">
        <color auto="1"/>
      </right>
      <top style="dashed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theme="4"/>
      </left>
      <right/>
      <top style="thin">
        <color auto="1"/>
      </top>
      <bottom style="dashed">
        <color theme="4"/>
      </bottom>
      <diagonal/>
    </border>
    <border>
      <left style="thin">
        <color theme="4"/>
      </left>
      <right style="thin">
        <color theme="4"/>
      </right>
      <top style="thin">
        <color theme="4"/>
      </top>
      <bottom style="thin">
        <color theme="4"/>
      </bottom>
      <diagonal/>
    </border>
    <border>
      <left style="thin">
        <color theme="4"/>
      </left>
      <right style="thin">
        <color theme="4"/>
      </right>
      <top style="thin">
        <color auto="1"/>
      </top>
      <bottom style="dashed">
        <color theme="4"/>
      </bottom>
      <diagonal/>
    </border>
    <border>
      <left/>
      <right style="thin">
        <color theme="4"/>
      </right>
      <top style="thin">
        <color auto="1"/>
      </top>
      <bottom style="dashed">
        <color theme="4"/>
      </bottom>
      <diagonal/>
    </border>
    <border>
      <left style="thin">
        <color theme="4"/>
      </left>
      <right/>
      <top style="dashed">
        <color theme="4"/>
      </top>
      <bottom style="thin">
        <color theme="4"/>
      </bottom>
      <diagonal/>
    </border>
    <border>
      <left style="thin">
        <color theme="4"/>
      </left>
      <right style="thin">
        <color theme="4"/>
      </right>
      <top style="dashed">
        <color theme="4"/>
      </top>
      <bottom style="thin">
        <color theme="4"/>
      </bottom>
      <diagonal/>
    </border>
    <border>
      <left/>
      <right style="thin">
        <color theme="4"/>
      </right>
      <top style="dashed">
        <color theme="4"/>
      </top>
      <bottom style="thin">
        <color theme="4"/>
      </bottom>
      <diagonal/>
    </border>
    <border>
      <left style="thin">
        <color theme="4"/>
      </left>
      <right/>
      <top/>
      <bottom/>
      <diagonal/>
    </border>
    <border>
      <left style="thin">
        <color theme="4"/>
      </left>
      <right style="thin">
        <color theme="4"/>
      </right>
      <top/>
      <bottom/>
      <diagonal/>
    </border>
    <border>
      <left/>
      <right style="thin">
        <color theme="4"/>
      </right>
      <top/>
      <bottom/>
      <diagonal/>
    </border>
    <border>
      <left style="thin">
        <color theme="4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 style="thin">
        <color theme="4"/>
      </left>
      <right style="thin">
        <color auto="1"/>
      </right>
      <top style="dashed">
        <color theme="4"/>
      </top>
      <bottom style="thin">
        <color theme="4"/>
      </bottom>
      <diagonal/>
    </border>
    <border>
      <left/>
      <right style="thin">
        <color auto="1"/>
      </right>
      <top style="dashed">
        <color theme="4"/>
      </top>
      <bottom style="thin">
        <color theme="4"/>
      </bottom>
      <diagonal/>
    </border>
    <border>
      <left style="thin">
        <color auto="1"/>
      </left>
      <right/>
      <top style="dashed">
        <color theme="4"/>
      </top>
      <bottom style="thin">
        <color theme="4"/>
      </bottom>
      <diagonal/>
    </border>
    <border>
      <left style="thin">
        <color auto="1"/>
      </left>
      <right style="thin">
        <color auto="1"/>
      </right>
      <top style="dashed">
        <color theme="4"/>
      </top>
      <bottom style="thin">
        <color theme="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dashed">
        <color auto="1"/>
      </right>
      <top style="thin">
        <color auto="1"/>
      </top>
      <bottom style="dashed">
        <color auto="1"/>
      </bottom>
      <diagonal/>
    </border>
    <border>
      <left style="dashed">
        <color auto="1"/>
      </left>
      <right style="dashed">
        <color auto="1"/>
      </right>
      <top style="thin">
        <color auto="1"/>
      </top>
      <bottom style="dashed">
        <color auto="1"/>
      </bottom>
      <diagonal/>
    </border>
    <border>
      <left style="dashed">
        <color auto="1"/>
      </left>
      <right style="thin">
        <color auto="1"/>
      </right>
      <top style="thin">
        <color auto="1"/>
      </top>
      <bottom style="dashed">
        <color auto="1"/>
      </bottom>
      <diagonal/>
    </border>
    <border>
      <left style="thin">
        <color auto="1"/>
      </left>
      <right style="dashed">
        <color auto="1"/>
      </right>
      <top style="dashed">
        <color auto="1"/>
      </top>
      <bottom style="dashed">
        <color auto="1"/>
      </bottom>
      <diagonal/>
    </border>
    <border>
      <left style="dashed">
        <color auto="1"/>
      </left>
      <right style="dashed">
        <color auto="1"/>
      </right>
      <top style="dashed">
        <color auto="1"/>
      </top>
      <bottom style="dashed">
        <color auto="1"/>
      </bottom>
      <diagonal/>
    </border>
    <border>
      <left style="dashed">
        <color auto="1"/>
      </left>
      <right style="thin">
        <color auto="1"/>
      </right>
      <top style="dashed">
        <color auto="1"/>
      </top>
      <bottom style="dashed">
        <color auto="1"/>
      </bottom>
      <diagonal/>
    </border>
    <border>
      <left style="thin">
        <color auto="1"/>
      </left>
      <right style="dashed">
        <color auto="1"/>
      </right>
      <top style="dashed">
        <color auto="1"/>
      </top>
      <bottom style="thin">
        <color auto="1"/>
      </bottom>
      <diagonal/>
    </border>
    <border>
      <left style="dashed">
        <color auto="1"/>
      </left>
      <right style="dashed">
        <color auto="1"/>
      </right>
      <top style="dashed">
        <color auto="1"/>
      </top>
      <bottom style="thin">
        <color auto="1"/>
      </bottom>
      <diagonal/>
    </border>
    <border>
      <left style="dashed">
        <color auto="1"/>
      </left>
      <right style="thin">
        <color auto="1"/>
      </right>
      <top style="dashed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dashed">
        <color auto="1"/>
      </top>
      <bottom style="thin">
        <color auto="1"/>
      </bottom>
      <diagonal/>
    </border>
  </borders>
  <cellStyleXfs count="1">
    <xf numFmtId="0" fontId="0" fillId="0" borderId="0"/>
  </cellStyleXfs>
  <cellXfs count="184">
    <xf numFmtId="0" fontId="0" fillId="0" borderId="0" xfId="0"/>
    <xf numFmtId="0" fontId="9" fillId="0" borderId="25" xfId="0" applyFont="1" applyBorder="1" applyAlignment="1">
      <alignment vertical="center"/>
    </xf>
    <xf numFmtId="164" fontId="9" fillId="0" borderId="25" xfId="0" applyNumberFormat="1" applyFont="1" applyBorder="1" applyAlignment="1">
      <alignment horizontal="left" vertical="center"/>
    </xf>
    <xf numFmtId="2" fontId="11" fillId="0" borderId="14" xfId="0" applyNumberFormat="1" applyFont="1" applyBorder="1" applyAlignment="1">
      <alignment horizontal="center" vertical="center"/>
    </xf>
    <xf numFmtId="2" fontId="11" fillId="0" borderId="14" xfId="0" applyNumberFormat="1" applyFont="1" applyBorder="1" applyAlignment="1">
      <alignment horizontal="center" vertical="center" wrapText="1"/>
    </xf>
    <xf numFmtId="0" fontId="1" fillId="0" borderId="0" xfId="0" applyFont="1"/>
    <xf numFmtId="164" fontId="1" fillId="0" borderId="0" xfId="0" applyNumberFormat="1" applyFont="1" applyAlignment="1">
      <alignment horizontal="center"/>
    </xf>
    <xf numFmtId="165" fontId="1" fillId="0" borderId="0" xfId="0" applyNumberFormat="1" applyFont="1" applyAlignment="1">
      <alignment horizontal="center"/>
    </xf>
    <xf numFmtId="0" fontId="1" fillId="0" borderId="0" xfId="0" applyFont="1" applyAlignment="1">
      <alignment horizontal="left"/>
    </xf>
    <xf numFmtId="166" fontId="1" fillId="0" borderId="0" xfId="0" applyNumberFormat="1" applyFont="1" applyAlignment="1">
      <alignment horizontal="center"/>
    </xf>
    <xf numFmtId="2" fontId="2" fillId="0" borderId="0" xfId="0" applyNumberFormat="1" applyFont="1" applyAlignment="1">
      <alignment horizontal="center"/>
    </xf>
    <xf numFmtId="0" fontId="1" fillId="0" borderId="0" xfId="0" applyFont="1" applyAlignment="1">
      <alignment horizontal="right"/>
    </xf>
    <xf numFmtId="0" fontId="3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0" fontId="7" fillId="0" borderId="0" xfId="0" applyFont="1" applyAlignment="1">
      <alignment horizontal="center"/>
    </xf>
    <xf numFmtId="0" fontId="6" fillId="0" borderId="0" xfId="0" applyFont="1" applyAlignment="1">
      <alignment vertical="top"/>
    </xf>
    <xf numFmtId="0" fontId="9" fillId="0" borderId="0" xfId="0" applyFont="1" applyAlignment="1">
      <alignment horizontal="left"/>
    </xf>
    <xf numFmtId="0" fontId="10" fillId="0" borderId="0" xfId="0" applyFont="1" applyAlignment="1">
      <alignment horizontal="right"/>
    </xf>
    <xf numFmtId="49" fontId="11" fillId="0" borderId="0" xfId="0" applyNumberFormat="1" applyFont="1" applyAlignment="1">
      <alignment horizontal="center"/>
    </xf>
    <xf numFmtId="2" fontId="10" fillId="0" borderId="0" xfId="0" applyNumberFormat="1" applyFont="1" applyAlignment="1">
      <alignment horizontal="right"/>
    </xf>
    <xf numFmtId="1" fontId="11" fillId="0" borderId="0" xfId="0" applyNumberFormat="1" applyFont="1" applyAlignment="1">
      <alignment horizontal="center"/>
    </xf>
    <xf numFmtId="0" fontId="9" fillId="0" borderId="0" xfId="0" applyFont="1" applyAlignment="1">
      <alignment horizontal="right"/>
    </xf>
    <xf numFmtId="0" fontId="3" fillId="2" borderId="0" xfId="0" applyFont="1" applyFill="1"/>
    <xf numFmtId="0" fontId="1" fillId="0" borderId="0" xfId="0" applyFont="1" applyAlignment="1">
      <alignment horizontal="center"/>
    </xf>
    <xf numFmtId="164" fontId="1" fillId="0" borderId="2" xfId="0" applyNumberFormat="1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166" fontId="1" fillId="0" borderId="1" xfId="0" applyNumberFormat="1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2" xfId="0" applyFont="1" applyBorder="1" applyAlignment="1">
      <alignment horizontal="left"/>
    </xf>
    <xf numFmtId="2" fontId="1" fillId="0" borderId="2" xfId="0" applyNumberFormat="1" applyFont="1" applyBorder="1" applyAlignment="1">
      <alignment horizontal="center"/>
    </xf>
    <xf numFmtId="0" fontId="12" fillId="0" borderId="4" xfId="0" applyFont="1" applyBorder="1" applyAlignment="1">
      <alignment horizontal="center"/>
    </xf>
    <xf numFmtId="0" fontId="12" fillId="0" borderId="2" xfId="0" applyFont="1" applyBorder="1" applyAlignment="1">
      <alignment horizontal="center"/>
    </xf>
    <xf numFmtId="0" fontId="12" fillId="0" borderId="1" xfId="0" applyFont="1" applyBorder="1" applyAlignment="1">
      <alignment horizontal="center"/>
    </xf>
    <xf numFmtId="2" fontId="12" fillId="0" borderId="1" xfId="0" applyNumberFormat="1" applyFont="1" applyBorder="1" applyAlignment="1">
      <alignment horizontal="center"/>
    </xf>
    <xf numFmtId="2" fontId="12" fillId="0" borderId="2" xfId="0" applyNumberFormat="1" applyFont="1" applyBorder="1" applyAlignment="1">
      <alignment horizontal="center"/>
    </xf>
    <xf numFmtId="0" fontId="3" fillId="2" borderId="0" xfId="0" applyFont="1" applyFill="1" applyAlignment="1">
      <alignment horizontal="center"/>
    </xf>
    <xf numFmtId="164" fontId="1" fillId="0" borderId="5" xfId="0" applyNumberFormat="1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5" xfId="0" applyFont="1" applyBorder="1" applyAlignment="1">
      <alignment horizontal="left"/>
    </xf>
    <xf numFmtId="2" fontId="1" fillId="0" borderId="5" xfId="0" applyNumberFormat="1" applyFont="1" applyBorder="1" applyAlignment="1">
      <alignment horizontal="center"/>
    </xf>
    <xf numFmtId="0" fontId="12" fillId="0" borderId="7" xfId="0" applyFont="1" applyBorder="1" applyAlignment="1">
      <alignment horizontal="center"/>
    </xf>
    <xf numFmtId="0" fontId="12" fillId="0" borderId="8" xfId="0" applyFont="1" applyBorder="1" applyAlignment="1">
      <alignment horizontal="center"/>
    </xf>
    <xf numFmtId="2" fontId="12" fillId="0" borderId="8" xfId="0" applyNumberFormat="1" applyFont="1" applyBorder="1" applyAlignment="1">
      <alignment horizontal="center"/>
    </xf>
    <xf numFmtId="0" fontId="13" fillId="0" borderId="0" xfId="0" applyFont="1" applyAlignment="1">
      <alignment vertical="center"/>
    </xf>
    <xf numFmtId="0" fontId="14" fillId="0" borderId="9" xfId="0" applyFont="1" applyBorder="1" applyAlignment="1">
      <alignment vertical="center"/>
    </xf>
    <xf numFmtId="49" fontId="11" fillId="0" borderId="10" xfId="0" applyNumberFormat="1" applyFont="1" applyBorder="1" applyAlignment="1">
      <alignment horizontal="center" vertical="center"/>
    </xf>
    <xf numFmtId="2" fontId="11" fillId="0" borderId="10" xfId="0" applyNumberFormat="1" applyFont="1" applyBorder="1" applyAlignment="1">
      <alignment horizontal="center" vertical="center"/>
    </xf>
    <xf numFmtId="164" fontId="11" fillId="0" borderId="10" xfId="0" applyNumberFormat="1" applyFont="1" applyBorder="1" applyAlignment="1">
      <alignment horizontal="center" vertical="center"/>
    </xf>
    <xf numFmtId="0" fontId="11" fillId="0" borderId="10" xfId="0" applyFont="1" applyBorder="1" applyAlignment="1">
      <alignment vertical="center"/>
    </xf>
    <xf numFmtId="0" fontId="11" fillId="0" borderId="10" xfId="0" applyFont="1" applyBorder="1" applyAlignment="1">
      <alignment horizontal="left" vertical="center"/>
    </xf>
    <xf numFmtId="1" fontId="11" fillId="0" borderId="10" xfId="0" applyNumberFormat="1" applyFont="1" applyBorder="1" applyAlignment="1">
      <alignment horizontal="center" vertical="center"/>
    </xf>
    <xf numFmtId="1" fontId="11" fillId="0" borderId="11" xfId="0" applyNumberFormat="1" applyFont="1" applyBorder="1" applyAlignment="1">
      <alignment horizontal="center" vertical="center"/>
    </xf>
    <xf numFmtId="167" fontId="15" fillId="0" borderId="12" xfId="0" applyNumberFormat="1" applyFont="1" applyBorder="1" applyAlignment="1">
      <alignment horizontal="center" vertical="center"/>
    </xf>
    <xf numFmtId="1" fontId="15" fillId="0" borderId="11" xfId="0" applyNumberFormat="1" applyFont="1" applyBorder="1" applyAlignment="1">
      <alignment horizontal="center" vertical="center"/>
    </xf>
    <xf numFmtId="2" fontId="15" fillId="0" borderId="11" xfId="0" applyNumberFormat="1" applyFont="1" applyBorder="1" applyAlignment="1">
      <alignment horizontal="center" vertical="center" wrapText="1"/>
    </xf>
    <xf numFmtId="2" fontId="11" fillId="0" borderId="11" xfId="0" applyNumberFormat="1" applyFont="1" applyBorder="1" applyAlignment="1">
      <alignment horizontal="center" vertical="center"/>
    </xf>
    <xf numFmtId="2" fontId="16" fillId="0" borderId="11" xfId="0" applyNumberFormat="1" applyFont="1" applyBorder="1" applyAlignment="1">
      <alignment horizontal="center" vertical="center"/>
    </xf>
    <xf numFmtId="0" fontId="11" fillId="0" borderId="11" xfId="0" applyFont="1" applyBorder="1" applyAlignment="1">
      <alignment horizontal="center" vertical="center"/>
    </xf>
    <xf numFmtId="164" fontId="17" fillId="0" borderId="0" xfId="0" applyNumberFormat="1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1" fontId="1" fillId="0" borderId="0" xfId="0" applyNumberFormat="1" applyFont="1" applyAlignment="1">
      <alignment horizontal="center" vertical="center"/>
    </xf>
    <xf numFmtId="0" fontId="18" fillId="0" borderId="0" xfId="0" applyFont="1" applyAlignment="1">
      <alignment vertical="center"/>
    </xf>
    <xf numFmtId="0" fontId="13" fillId="0" borderId="0" xfId="0" applyFont="1" applyAlignment="1">
      <alignment horizontal="right" vertical="center"/>
    </xf>
    <xf numFmtId="168" fontId="13" fillId="0" borderId="0" xfId="0" applyNumberFormat="1" applyFont="1" applyAlignment="1">
      <alignment vertical="center"/>
    </xf>
    <xf numFmtId="49" fontId="11" fillId="0" borderId="13" xfId="0" applyNumberFormat="1" applyFont="1" applyBorder="1" applyAlignment="1">
      <alignment horizontal="right" vertical="center"/>
    </xf>
    <xf numFmtId="0" fontId="11" fillId="0" borderId="14" xfId="0" applyFont="1" applyBorder="1" applyAlignment="1">
      <alignment horizontal="center" vertical="center"/>
    </xf>
    <xf numFmtId="164" fontId="11" fillId="0" borderId="14" xfId="0" applyNumberFormat="1" applyFont="1" applyBorder="1" applyAlignment="1">
      <alignment horizontal="center" vertical="center"/>
    </xf>
    <xf numFmtId="1" fontId="11" fillId="0" borderId="14" xfId="0" applyNumberFormat="1" applyFont="1" applyBorder="1" applyAlignment="1">
      <alignment horizontal="center" vertical="center"/>
    </xf>
    <xf numFmtId="0" fontId="11" fillId="0" borderId="14" xfId="0" applyFont="1" applyBorder="1" applyAlignment="1">
      <alignment horizontal="left" vertical="center"/>
    </xf>
    <xf numFmtId="2" fontId="11" fillId="0" borderId="15" xfId="0" applyNumberFormat="1" applyFont="1" applyBorder="1" applyAlignment="1">
      <alignment horizontal="center" vertical="center"/>
    </xf>
    <xf numFmtId="164" fontId="17" fillId="0" borderId="0" xfId="0" applyNumberFormat="1" applyFont="1" applyAlignment="1">
      <alignment horizontal="center"/>
    </xf>
    <xf numFmtId="1" fontId="18" fillId="0" borderId="0" xfId="0" applyNumberFormat="1" applyFont="1" applyAlignment="1">
      <alignment vertical="center"/>
    </xf>
    <xf numFmtId="0" fontId="14" fillId="0" borderId="16" xfId="0" applyFont="1" applyBorder="1" applyAlignment="1">
      <alignment vertical="center"/>
    </xf>
    <xf numFmtId="1" fontId="11" fillId="0" borderId="17" xfId="0" applyNumberFormat="1" applyFont="1" applyBorder="1" applyAlignment="1">
      <alignment horizontal="center" vertical="center"/>
    </xf>
    <xf numFmtId="167" fontId="15" fillId="0" borderId="18" xfId="0" applyNumberFormat="1" applyFont="1" applyBorder="1" applyAlignment="1">
      <alignment horizontal="center" vertical="center"/>
    </xf>
    <xf numFmtId="1" fontId="15" fillId="0" borderId="17" xfId="0" applyNumberFormat="1" applyFont="1" applyBorder="1" applyAlignment="1">
      <alignment horizontal="center" vertical="center"/>
    </xf>
    <xf numFmtId="2" fontId="15" fillId="0" borderId="17" xfId="0" applyNumberFormat="1" applyFont="1" applyBorder="1" applyAlignment="1">
      <alignment horizontal="center" vertical="center" wrapText="1"/>
    </xf>
    <xf numFmtId="2" fontId="11" fillId="0" borderId="17" xfId="0" applyNumberFormat="1" applyFont="1" applyBorder="1" applyAlignment="1">
      <alignment horizontal="center" vertical="center"/>
    </xf>
    <xf numFmtId="2" fontId="16" fillId="0" borderId="17" xfId="0" applyNumberFormat="1" applyFont="1" applyBorder="1" applyAlignment="1">
      <alignment horizontal="center" vertical="center"/>
    </xf>
    <xf numFmtId="2" fontId="11" fillId="0" borderId="17" xfId="0" applyNumberFormat="1" applyFont="1" applyBorder="1" applyAlignment="1">
      <alignment horizontal="center" vertical="center" wrapText="1"/>
    </xf>
    <xf numFmtId="0" fontId="11" fillId="0" borderId="17" xfId="0" applyFont="1" applyBorder="1" applyAlignment="1">
      <alignment horizontal="center" vertical="center"/>
    </xf>
    <xf numFmtId="2" fontId="11" fillId="0" borderId="13" xfId="0" applyNumberFormat="1" applyFont="1" applyBorder="1" applyAlignment="1">
      <alignment horizontal="center" vertical="center"/>
    </xf>
    <xf numFmtId="49" fontId="11" fillId="0" borderId="16" xfId="0" applyNumberFormat="1" applyFont="1" applyBorder="1" applyAlignment="1">
      <alignment horizontal="right" vertical="center"/>
    </xf>
    <xf numFmtId="49" fontId="11" fillId="0" borderId="17" xfId="0" applyNumberFormat="1" applyFont="1" applyBorder="1" applyAlignment="1">
      <alignment horizontal="center" vertical="center"/>
    </xf>
    <xf numFmtId="164" fontId="11" fillId="0" borderId="17" xfId="0" applyNumberFormat="1" applyFont="1" applyBorder="1" applyAlignment="1">
      <alignment horizontal="center" vertical="center"/>
    </xf>
    <xf numFmtId="0" fontId="11" fillId="0" borderId="17" xfId="0" applyFont="1" applyBorder="1" applyAlignment="1">
      <alignment vertical="center"/>
    </xf>
    <xf numFmtId="0" fontId="11" fillId="0" borderId="17" xfId="0" applyFont="1" applyBorder="1" applyAlignment="1">
      <alignment horizontal="left" vertical="center"/>
    </xf>
    <xf numFmtId="2" fontId="11" fillId="2" borderId="17" xfId="0" applyNumberFormat="1" applyFont="1" applyFill="1" applyBorder="1" applyAlignment="1">
      <alignment horizontal="center" vertical="center" wrapText="1"/>
    </xf>
    <xf numFmtId="0" fontId="13" fillId="0" borderId="15" xfId="0" applyFont="1" applyBorder="1" applyAlignment="1">
      <alignment vertical="center"/>
    </xf>
    <xf numFmtId="0" fontId="13" fillId="0" borderId="14" xfId="0" applyFont="1" applyBorder="1" applyAlignment="1">
      <alignment vertical="center"/>
    </xf>
    <xf numFmtId="0" fontId="11" fillId="0" borderId="17" xfId="0" applyFont="1" applyBorder="1"/>
    <xf numFmtId="1" fontId="2" fillId="0" borderId="0" xfId="0" applyNumberFormat="1" applyFont="1" applyAlignment="1">
      <alignment horizontal="center" vertical="center"/>
    </xf>
    <xf numFmtId="1" fontId="19" fillId="0" borderId="17" xfId="0" applyNumberFormat="1" applyFont="1" applyBorder="1" applyAlignment="1">
      <alignment horizontal="right" vertical="center"/>
    </xf>
    <xf numFmtId="0" fontId="15" fillId="0" borderId="17" xfId="0" applyFont="1" applyBorder="1" applyAlignment="1">
      <alignment horizontal="center" vertical="center"/>
    </xf>
    <xf numFmtId="49" fontId="15" fillId="0" borderId="17" xfId="0" applyNumberFormat="1" applyFont="1" applyBorder="1" applyAlignment="1">
      <alignment horizontal="center" vertical="center"/>
    </xf>
    <xf numFmtId="167" fontId="20" fillId="0" borderId="17" xfId="0" applyNumberFormat="1" applyFont="1" applyBorder="1" applyAlignment="1">
      <alignment horizontal="center" vertical="center"/>
    </xf>
    <xf numFmtId="167" fontId="10" fillId="0" borderId="17" xfId="0" applyNumberFormat="1" applyFont="1" applyBorder="1" applyAlignment="1">
      <alignment horizontal="center" vertical="center"/>
    </xf>
    <xf numFmtId="167" fontId="21" fillId="0" borderId="17" xfId="0" applyNumberFormat="1" applyFont="1" applyBorder="1" applyAlignment="1">
      <alignment horizontal="center" vertical="center"/>
    </xf>
    <xf numFmtId="0" fontId="19" fillId="0" borderId="14" xfId="0" applyFont="1" applyBorder="1" applyAlignment="1">
      <alignment horizontal="right" vertical="center"/>
    </xf>
    <xf numFmtId="49" fontId="15" fillId="0" borderId="19" xfId="0" applyNumberFormat="1" applyFont="1" applyBorder="1" applyAlignment="1">
      <alignment horizontal="center" vertical="center"/>
    </xf>
    <xf numFmtId="2" fontId="15" fillId="0" borderId="20" xfId="0" applyNumberFormat="1" applyFont="1" applyBorder="1" applyAlignment="1">
      <alignment horizontal="center" vertical="center"/>
    </xf>
    <xf numFmtId="49" fontId="15" fillId="0" borderId="8" xfId="0" applyNumberFormat="1" applyFont="1" applyBorder="1" applyAlignment="1">
      <alignment horizontal="center" vertical="center"/>
    </xf>
    <xf numFmtId="49" fontId="15" fillId="0" borderId="5" xfId="0" applyNumberFormat="1" applyFont="1" applyBorder="1" applyAlignment="1">
      <alignment horizontal="center" vertical="center"/>
    </xf>
    <xf numFmtId="164" fontId="15" fillId="0" borderId="5" xfId="0" applyNumberFormat="1" applyFont="1" applyBorder="1" applyAlignment="1">
      <alignment horizontal="center" vertical="center"/>
    </xf>
    <xf numFmtId="0" fontId="15" fillId="0" borderId="5" xfId="0" applyFont="1" applyBorder="1" applyAlignment="1">
      <alignment vertical="center"/>
    </xf>
    <xf numFmtId="0" fontId="15" fillId="0" borderId="5" xfId="0" applyFont="1" applyBorder="1" applyAlignment="1">
      <alignment horizontal="left" vertical="center"/>
    </xf>
    <xf numFmtId="2" fontId="15" fillId="0" borderId="21" xfId="0" applyNumberFormat="1" applyFont="1" applyBorder="1" applyAlignment="1">
      <alignment horizontal="center" vertical="center"/>
    </xf>
    <xf numFmtId="2" fontId="15" fillId="0" borderId="22" xfId="0" applyNumberFormat="1" applyFont="1" applyBorder="1" applyAlignment="1">
      <alignment horizontal="center" vertical="center"/>
    </xf>
    <xf numFmtId="2" fontId="15" fillId="0" borderId="23" xfId="0" applyNumberFormat="1" applyFont="1" applyBorder="1" applyAlignment="1">
      <alignment horizontal="center" vertical="center"/>
    </xf>
    <xf numFmtId="0" fontId="15" fillId="0" borderId="23" xfId="0" applyFont="1" applyBorder="1" applyAlignment="1">
      <alignment horizontal="center" vertical="center"/>
    </xf>
    <xf numFmtId="164" fontId="15" fillId="0" borderId="23" xfId="0" applyNumberFormat="1" applyFont="1" applyBorder="1" applyAlignment="1">
      <alignment horizontal="center" vertical="center"/>
    </xf>
    <xf numFmtId="1" fontId="15" fillId="0" borderId="24" xfId="0" applyNumberFormat="1" applyFont="1" applyBorder="1" applyAlignment="1">
      <alignment horizontal="center" vertical="center"/>
    </xf>
    <xf numFmtId="0" fontId="15" fillId="0" borderId="24" xfId="0" applyFont="1" applyBorder="1" applyAlignment="1">
      <alignment horizontal="left" vertical="center"/>
    </xf>
    <xf numFmtId="0" fontId="13" fillId="0" borderId="0" xfId="0" applyFont="1"/>
    <xf numFmtId="165" fontId="13" fillId="0" borderId="0" xfId="0" applyNumberFormat="1" applyFont="1" applyAlignment="1">
      <alignment horizontal="center"/>
    </xf>
    <xf numFmtId="164" fontId="13" fillId="0" borderId="0" xfId="0" applyNumberFormat="1" applyFont="1" applyAlignment="1">
      <alignment horizontal="center"/>
    </xf>
    <xf numFmtId="0" fontId="13" fillId="0" borderId="0" xfId="0" applyFont="1" applyAlignment="1">
      <alignment horizontal="right"/>
    </xf>
    <xf numFmtId="169" fontId="13" fillId="0" borderId="0" xfId="0" applyNumberFormat="1" applyFont="1" applyAlignment="1">
      <alignment horizontal="center"/>
    </xf>
    <xf numFmtId="166" fontId="13" fillId="0" borderId="0" xfId="0" applyNumberFormat="1" applyFont="1" applyAlignment="1">
      <alignment horizontal="center"/>
    </xf>
    <xf numFmtId="2" fontId="13" fillId="0" borderId="0" xfId="0" applyNumberFormat="1" applyFont="1" applyAlignment="1">
      <alignment horizontal="center"/>
    </xf>
    <xf numFmtId="2" fontId="1" fillId="0" borderId="0" xfId="0" applyNumberFormat="1" applyFont="1" applyAlignment="1">
      <alignment horizontal="center"/>
    </xf>
    <xf numFmtId="1" fontId="1" fillId="0" borderId="0" xfId="0" applyNumberFormat="1" applyFont="1" applyAlignment="1">
      <alignment horizontal="center"/>
    </xf>
    <xf numFmtId="0" fontId="9" fillId="0" borderId="25" xfId="0" applyFont="1" applyBorder="1" applyAlignment="1">
      <alignment horizontal="center" vertical="center"/>
    </xf>
    <xf numFmtId="0" fontId="9" fillId="0" borderId="0" xfId="0" applyFont="1"/>
    <xf numFmtId="0" fontId="3" fillId="0" borderId="0" xfId="0" applyFont="1" applyAlignment="1">
      <alignment horizontal="right"/>
    </xf>
    <xf numFmtId="0" fontId="1" fillId="0" borderId="27" xfId="0" applyFont="1" applyBorder="1" applyAlignment="1">
      <alignment horizontal="center" vertical="center"/>
    </xf>
    <xf numFmtId="0" fontId="1" fillId="0" borderId="28" xfId="0" applyFont="1" applyBorder="1" applyAlignment="1">
      <alignment vertical="center"/>
    </xf>
    <xf numFmtId="0" fontId="1" fillId="0" borderId="27" xfId="0" applyFont="1" applyBorder="1" applyAlignment="1">
      <alignment horizontal="left"/>
    </xf>
    <xf numFmtId="0" fontId="1" fillId="0" borderId="30" xfId="0" applyFont="1" applyBorder="1" applyAlignment="1">
      <alignment horizontal="center" vertical="center"/>
    </xf>
    <xf numFmtId="0" fontId="1" fillId="0" borderId="31" xfId="0" applyFont="1" applyBorder="1" applyAlignment="1">
      <alignment vertical="center"/>
    </xf>
    <xf numFmtId="0" fontId="1" fillId="0" borderId="30" xfId="0" applyFont="1" applyBorder="1" applyAlignment="1">
      <alignment vertical="center"/>
    </xf>
    <xf numFmtId="0" fontId="1" fillId="0" borderId="33" xfId="0" applyFont="1" applyBorder="1" applyAlignment="1">
      <alignment horizontal="center" vertical="center"/>
    </xf>
    <xf numFmtId="0" fontId="1" fillId="0" borderId="34" xfId="0" applyFont="1" applyBorder="1" applyAlignment="1">
      <alignment vertical="center"/>
    </xf>
    <xf numFmtId="0" fontId="1" fillId="0" borderId="33" xfId="0" applyFont="1" applyBorder="1" applyAlignment="1">
      <alignment vertical="center"/>
    </xf>
    <xf numFmtId="164" fontId="3" fillId="0" borderId="35" xfId="0" applyNumberFormat="1" applyFont="1" applyBorder="1" applyAlignment="1">
      <alignment horizontal="left" vertical="center"/>
    </xf>
    <xf numFmtId="0" fontId="9" fillId="0" borderId="0" xfId="0" applyFont="1" applyAlignment="1">
      <alignment horizontal="center"/>
    </xf>
    <xf numFmtId="0" fontId="22" fillId="0" borderId="0" xfId="0" applyFont="1" applyAlignment="1">
      <alignment horizontal="left"/>
    </xf>
    <xf numFmtId="165" fontId="22" fillId="0" borderId="0" xfId="0" applyNumberFormat="1" applyFont="1" applyAlignment="1">
      <alignment horizontal="center"/>
    </xf>
    <xf numFmtId="0" fontId="22" fillId="0" borderId="0" xfId="0" applyFont="1" applyAlignment="1">
      <alignment horizontal="right"/>
    </xf>
    <xf numFmtId="0" fontId="22" fillId="0" borderId="0" xfId="0" applyFont="1" applyAlignment="1">
      <alignment horizontal="center"/>
    </xf>
    <xf numFmtId="0" fontId="22" fillId="0" borderId="0" xfId="0" applyFont="1"/>
    <xf numFmtId="49" fontId="11" fillId="0" borderId="11" xfId="0" applyNumberFormat="1" applyFont="1" applyBorder="1" applyAlignment="1">
      <alignment horizontal="center" vertical="center"/>
    </xf>
    <xf numFmtId="164" fontId="11" fillId="0" borderId="11" xfId="0" applyNumberFormat="1" applyFont="1" applyBorder="1" applyAlignment="1">
      <alignment horizontal="center" vertical="center"/>
    </xf>
    <xf numFmtId="0" fontId="11" fillId="0" borderId="11" xfId="0" applyFont="1" applyBorder="1" applyAlignment="1">
      <alignment vertical="center"/>
    </xf>
    <xf numFmtId="0" fontId="11" fillId="0" borderId="11" xfId="0" applyFont="1" applyBorder="1" applyAlignment="1">
      <alignment horizontal="left" vertical="center"/>
    </xf>
    <xf numFmtId="170" fontId="3" fillId="0" borderId="0" xfId="0" applyNumberFormat="1" applyFont="1"/>
    <xf numFmtId="0" fontId="17" fillId="0" borderId="0" xfId="0" applyFont="1"/>
    <xf numFmtId="170" fontId="17" fillId="0" borderId="0" xfId="0" applyNumberFormat="1" applyFont="1"/>
    <xf numFmtId="1" fontId="17" fillId="0" borderId="0" xfId="0" applyNumberFormat="1" applyFont="1"/>
    <xf numFmtId="170" fontId="25" fillId="0" borderId="0" xfId="0" applyNumberFormat="1" applyFont="1" applyAlignment="1">
      <alignment horizontal="right" vertical="center"/>
    </xf>
    <xf numFmtId="170" fontId="25" fillId="3" borderId="0" xfId="0" applyNumberFormat="1" applyFont="1" applyFill="1" applyAlignment="1">
      <alignment horizontal="right" vertical="center"/>
    </xf>
    <xf numFmtId="0" fontId="26" fillId="0" borderId="0" xfId="0" applyFont="1" applyAlignment="1">
      <alignment horizontal="right"/>
    </xf>
    <xf numFmtId="164" fontId="9" fillId="0" borderId="2" xfId="0" applyNumberFormat="1" applyFont="1" applyBorder="1" applyAlignment="1">
      <alignment horizontal="left" vertical="center"/>
    </xf>
    <xf numFmtId="164" fontId="1" fillId="0" borderId="36" xfId="0" applyNumberFormat="1" applyFont="1" applyBorder="1" applyAlignment="1">
      <alignment horizontal="left" vertical="center"/>
    </xf>
    <xf numFmtId="164" fontId="3" fillId="0" borderId="0" xfId="0" applyNumberFormat="1" applyFont="1" applyAlignment="1">
      <alignment horizontal="left" vertical="center"/>
    </xf>
    <xf numFmtId="0" fontId="1" fillId="0" borderId="32" xfId="0" applyFont="1" applyBorder="1" applyAlignment="1">
      <alignment horizontal="left" vertical="center"/>
    </xf>
    <xf numFmtId="164" fontId="1" fillId="0" borderId="33" xfId="0" applyNumberFormat="1" applyFont="1" applyBorder="1" applyAlignment="1">
      <alignment horizontal="left" vertical="center"/>
    </xf>
    <xf numFmtId="0" fontId="1" fillId="0" borderId="33" xfId="0" applyFont="1" applyBorder="1" applyAlignment="1">
      <alignment vertical="center"/>
    </xf>
    <xf numFmtId="0" fontId="1" fillId="0" borderId="34" xfId="0" applyFont="1" applyBorder="1" applyAlignment="1">
      <alignment vertical="center"/>
    </xf>
    <xf numFmtId="0" fontId="1" fillId="0" borderId="35" xfId="0" applyFont="1" applyBorder="1" applyAlignment="1">
      <alignment horizontal="left" vertical="center"/>
    </xf>
    <xf numFmtId="164" fontId="3" fillId="0" borderId="35" xfId="0" applyNumberFormat="1" applyFont="1" applyBorder="1" applyAlignment="1">
      <alignment horizontal="left" vertical="center"/>
    </xf>
    <xf numFmtId="0" fontId="1" fillId="0" borderId="29" xfId="0" applyFont="1" applyBorder="1" applyAlignment="1">
      <alignment horizontal="left" vertical="center"/>
    </xf>
    <xf numFmtId="164" fontId="1" fillId="0" borderId="30" xfId="0" applyNumberFormat="1" applyFont="1" applyBorder="1" applyAlignment="1">
      <alignment horizontal="left" vertical="center"/>
    </xf>
    <xf numFmtId="0" fontId="1" fillId="0" borderId="30" xfId="0" applyFont="1" applyBorder="1" applyAlignment="1">
      <alignment vertical="center"/>
    </xf>
    <xf numFmtId="0" fontId="1" fillId="0" borderId="31" xfId="0" applyFont="1" applyBorder="1" applyAlignment="1">
      <alignment vertical="center"/>
    </xf>
    <xf numFmtId="164" fontId="9" fillId="0" borderId="25" xfId="0" applyNumberFormat="1" applyFont="1" applyBorder="1" applyAlignment="1">
      <alignment horizontal="left" vertical="center"/>
    </xf>
    <xf numFmtId="0" fontId="9" fillId="0" borderId="25" xfId="0" applyFont="1" applyBorder="1" applyAlignment="1">
      <alignment vertical="center"/>
    </xf>
    <xf numFmtId="0" fontId="1" fillId="0" borderId="26" xfId="0" applyFont="1" applyBorder="1" applyAlignment="1">
      <alignment horizontal="left" vertical="center"/>
    </xf>
    <xf numFmtId="164" fontId="1" fillId="0" borderId="27" xfId="0" applyNumberFormat="1" applyFont="1" applyBorder="1" applyAlignment="1">
      <alignment horizontal="left" vertical="center"/>
    </xf>
    <xf numFmtId="0" fontId="1" fillId="0" borderId="27" xfId="0" applyFont="1" applyBorder="1" applyAlignment="1">
      <alignment vertical="center"/>
    </xf>
    <xf numFmtId="0" fontId="1" fillId="0" borderId="28" xfId="0" applyFont="1" applyBorder="1" applyAlignment="1">
      <alignment vertical="center"/>
    </xf>
    <xf numFmtId="2" fontId="11" fillId="0" borderId="14" xfId="0" applyNumberFormat="1" applyFont="1" applyBorder="1" applyAlignment="1">
      <alignment horizontal="center" vertical="center"/>
    </xf>
    <xf numFmtId="2" fontId="11" fillId="0" borderId="14" xfId="0" applyNumberFormat="1" applyFont="1" applyBorder="1" applyAlignment="1">
      <alignment horizontal="center" vertical="center" wrapText="1"/>
    </xf>
    <xf numFmtId="164" fontId="4" fillId="0" borderId="0" xfId="0" applyNumberFormat="1" applyFont="1" applyAlignment="1">
      <alignment horizontal="center" wrapText="1"/>
    </xf>
    <xf numFmtId="164" fontId="8" fillId="0" borderId="0" xfId="0" applyNumberFormat="1" applyFont="1" applyAlignment="1">
      <alignment horizontal="center"/>
    </xf>
    <xf numFmtId="164" fontId="11" fillId="0" borderId="0" xfId="0" applyNumberFormat="1" applyFont="1" applyAlignment="1">
      <alignment horizontal="left"/>
    </xf>
    <xf numFmtId="14" fontId="11" fillId="0" borderId="0" xfId="0" applyNumberFormat="1" applyFont="1" applyAlignment="1">
      <alignment horizontal="left"/>
    </xf>
    <xf numFmtId="0" fontId="2" fillId="0" borderId="0" xfId="0" applyFont="1" applyAlignment="1">
      <alignment horizontal="left" vertical="top" wrapText="1"/>
    </xf>
    <xf numFmtId="0" fontId="1" fillId="0" borderId="1" xfId="0" applyFont="1" applyBorder="1" applyAlignment="1">
      <alignment horizontal="center" vertical="top"/>
    </xf>
    <xf numFmtId="0" fontId="1" fillId="0" borderId="2" xfId="0" applyFont="1" applyBorder="1" applyAlignment="1">
      <alignment horizontal="center" vertical="top" wrapText="1"/>
    </xf>
    <xf numFmtId="165" fontId="1" fillId="0" borderId="2" xfId="0" applyNumberFormat="1" applyFont="1" applyBorder="1" applyAlignment="1">
      <alignment horizontal="center" vertical="top" wrapText="1"/>
    </xf>
    <xf numFmtId="165" fontId="1" fillId="0" borderId="2" xfId="0" applyNumberFormat="1" applyFont="1" applyBorder="1" applyAlignment="1">
      <alignment horizontal="center" wrapText="1"/>
    </xf>
    <xf numFmtId="0" fontId="17" fillId="0" borderId="0" xfId="0" applyFont="1" applyAlignment="1">
      <alignment horizontal="center"/>
    </xf>
  </cellXfs>
  <cellStyles count="1">
    <cellStyle name="Normal" xfId="0" builtinId="0"/>
  </cellStyles>
  <dxfs count="270">
    <dxf>
      <font>
        <b/>
        <i/>
        <strike/>
        <color rgb="FFFF0000"/>
      </font>
    </dxf>
    <dxf>
      <font>
        <b/>
        <i/>
        <u/>
        <color rgb="FF000080"/>
      </font>
    </dxf>
    <dxf>
      <font>
        <b/>
        <i/>
        <strike/>
        <color rgb="FFFF0000"/>
      </font>
    </dxf>
    <dxf>
      <font>
        <b/>
        <i/>
        <u/>
        <color rgb="FF000080"/>
      </font>
    </dxf>
    <dxf>
      <font>
        <b/>
        <i/>
        <strike/>
        <color rgb="FFFF0000"/>
      </font>
    </dxf>
    <dxf>
      <font>
        <b/>
        <i/>
        <u/>
        <color rgb="FF000080"/>
      </font>
    </dxf>
    <dxf>
      <font>
        <b/>
        <i/>
        <u/>
        <color rgb="FF000080"/>
      </font>
    </dxf>
    <dxf>
      <font>
        <b/>
        <i/>
        <strike/>
        <color rgb="FFFF0000"/>
      </font>
    </dxf>
    <dxf>
      <font>
        <b/>
        <i/>
        <u/>
        <color rgb="FF000080"/>
      </font>
    </dxf>
    <dxf>
      <font>
        <b/>
        <i/>
        <strike/>
        <color rgb="FFFF0000"/>
      </font>
    </dxf>
    <dxf>
      <font>
        <b/>
        <i/>
        <u/>
        <color rgb="FF000080"/>
      </font>
    </dxf>
    <dxf>
      <font>
        <b/>
        <i/>
        <strike/>
        <color rgb="FFFF0000"/>
      </font>
    </dxf>
    <dxf>
      <font>
        <b/>
        <i/>
        <strike/>
        <color rgb="FFFF0000"/>
      </font>
    </dxf>
    <dxf>
      <font>
        <b/>
        <i/>
        <u/>
        <color rgb="FF000080"/>
      </font>
    </dxf>
    <dxf>
      <font>
        <b/>
        <i/>
        <strike/>
        <color rgb="FFFF0000"/>
      </font>
    </dxf>
    <dxf>
      <font>
        <b/>
        <i/>
        <u/>
        <color rgb="FF000080"/>
      </font>
    </dxf>
    <dxf>
      <font>
        <b/>
        <i/>
        <strike/>
        <color rgb="FFFF0000"/>
      </font>
    </dxf>
    <dxf>
      <font>
        <b/>
        <i/>
        <u/>
        <color rgb="FF000080"/>
      </font>
    </dxf>
    <dxf>
      <font>
        <b/>
        <i/>
        <strike/>
        <color rgb="FFFF0000"/>
      </font>
    </dxf>
    <dxf>
      <font>
        <b/>
        <i/>
        <u/>
        <color rgb="FF000080"/>
      </font>
    </dxf>
    <dxf>
      <font>
        <b/>
        <i/>
        <strike/>
        <color rgb="FFFF0000"/>
      </font>
    </dxf>
    <dxf>
      <font>
        <b/>
        <i/>
        <u/>
        <color rgb="FF000080"/>
      </font>
    </dxf>
    <dxf>
      <font>
        <b/>
        <i/>
        <strike/>
        <color rgb="FFFF0000"/>
      </font>
    </dxf>
    <dxf>
      <font>
        <b/>
        <i/>
        <u/>
        <color rgb="FF000080"/>
      </font>
    </dxf>
    <dxf>
      <font>
        <b/>
        <strike/>
        <color rgb="FFFF0000"/>
      </font>
    </dxf>
    <dxf>
      <font>
        <b/>
        <u/>
        <color rgb="FF000080"/>
      </font>
    </dxf>
    <dxf>
      <font>
        <b/>
        <u/>
        <color rgb="FF000080"/>
      </font>
    </dxf>
    <dxf>
      <font>
        <b/>
        <strike/>
        <color rgb="FFFF0000"/>
      </font>
    </dxf>
    <dxf>
      <font>
        <b/>
        <u/>
        <color rgb="FF000080"/>
      </font>
    </dxf>
    <dxf>
      <font>
        <b/>
        <strike/>
        <color rgb="FFFF0000"/>
      </font>
    </dxf>
    <dxf>
      <font>
        <b/>
        <i/>
        <strike/>
        <color rgb="FFFF0000"/>
      </font>
    </dxf>
    <dxf>
      <font>
        <b/>
        <i/>
        <u/>
        <color rgb="FF000080"/>
      </font>
    </dxf>
    <dxf>
      <font>
        <b/>
        <i/>
        <strike/>
        <color rgb="FFFF0000"/>
      </font>
    </dxf>
    <dxf>
      <font>
        <b/>
        <i/>
        <u/>
        <color rgb="FF000080"/>
      </font>
    </dxf>
    <dxf>
      <font>
        <b/>
        <i/>
        <strike/>
        <color rgb="FFFF0000"/>
      </font>
    </dxf>
    <dxf>
      <font>
        <b/>
        <i/>
        <u/>
        <color rgb="FF000080"/>
      </font>
    </dxf>
    <dxf>
      <font>
        <b/>
        <i/>
        <u/>
        <color rgb="FF000080"/>
      </font>
    </dxf>
    <dxf>
      <font>
        <b/>
        <i/>
        <strike/>
        <color rgb="FFFF0000"/>
      </font>
    </dxf>
    <dxf>
      <font>
        <b/>
        <i/>
        <u/>
        <color rgb="FF000080"/>
      </font>
    </dxf>
    <dxf>
      <font>
        <b/>
        <i/>
        <strike/>
        <color rgb="FFFF0000"/>
      </font>
    </dxf>
    <dxf>
      <font>
        <b/>
        <i/>
        <u/>
        <color rgb="FF000080"/>
      </font>
    </dxf>
    <dxf>
      <font>
        <b/>
        <i/>
        <strike/>
        <color rgb="FFFF0000"/>
      </font>
    </dxf>
    <dxf>
      <font>
        <b/>
        <i/>
        <strike/>
        <color rgb="FFFF0000"/>
      </font>
    </dxf>
    <dxf>
      <font>
        <b/>
        <i/>
        <u/>
        <color rgb="FF000080"/>
      </font>
    </dxf>
    <dxf>
      <font>
        <b/>
        <i/>
        <strike/>
        <color rgb="FFFF0000"/>
      </font>
    </dxf>
    <dxf>
      <font>
        <b/>
        <i/>
        <u/>
        <color rgb="FF000080"/>
      </font>
    </dxf>
    <dxf>
      <font>
        <b/>
        <i/>
        <strike/>
        <color rgb="FFFF0000"/>
      </font>
    </dxf>
    <dxf>
      <font>
        <b/>
        <i/>
        <u/>
        <color rgb="FF000080"/>
      </font>
    </dxf>
    <dxf>
      <font>
        <b/>
        <i/>
        <strike/>
        <color rgb="FFFF0000"/>
      </font>
    </dxf>
    <dxf>
      <font>
        <b/>
        <i/>
        <u/>
        <color rgb="FF000080"/>
      </font>
    </dxf>
    <dxf>
      <font>
        <b/>
        <i/>
        <strike/>
        <color rgb="FFFF0000"/>
      </font>
    </dxf>
    <dxf>
      <font>
        <b/>
        <i/>
        <u/>
        <color rgb="FF000080"/>
      </font>
    </dxf>
    <dxf>
      <font>
        <b/>
        <i/>
        <strike/>
        <color rgb="FFFF0000"/>
      </font>
    </dxf>
    <dxf>
      <font>
        <b/>
        <i/>
        <u/>
        <color rgb="FF000080"/>
      </font>
    </dxf>
    <dxf>
      <font>
        <b/>
        <strike/>
        <color rgb="FFFF0000"/>
      </font>
    </dxf>
    <dxf>
      <font>
        <b/>
        <u/>
        <color rgb="FF000080"/>
      </font>
    </dxf>
    <dxf>
      <font>
        <b/>
        <u/>
        <color rgb="FF000080"/>
      </font>
    </dxf>
    <dxf>
      <font>
        <b/>
        <strike/>
        <color rgb="FFFF0000"/>
      </font>
    </dxf>
    <dxf>
      <font>
        <b/>
        <u/>
        <color rgb="FF000080"/>
      </font>
    </dxf>
    <dxf>
      <font>
        <b/>
        <strike/>
        <color rgb="FFFF0000"/>
      </font>
    </dxf>
    <dxf>
      <font>
        <b/>
        <i/>
        <strike/>
        <color rgb="FFFF0000"/>
      </font>
    </dxf>
    <dxf>
      <font>
        <b/>
        <i/>
        <u/>
        <color rgb="FF000080"/>
      </font>
    </dxf>
    <dxf>
      <font>
        <b/>
        <i/>
        <strike/>
        <color rgb="FFFF0000"/>
      </font>
    </dxf>
    <dxf>
      <font>
        <b/>
        <i/>
        <u/>
        <color rgb="FF000080"/>
      </font>
    </dxf>
    <dxf>
      <font>
        <b/>
        <i/>
        <strike/>
        <color rgb="FFFF0000"/>
      </font>
    </dxf>
    <dxf>
      <font>
        <b/>
        <i/>
        <u/>
        <color rgb="FF000080"/>
      </font>
    </dxf>
    <dxf>
      <font>
        <b/>
        <i/>
        <u/>
        <color rgb="FF000080"/>
      </font>
    </dxf>
    <dxf>
      <font>
        <b/>
        <i/>
        <strike/>
        <color rgb="FFFF0000"/>
      </font>
    </dxf>
    <dxf>
      <font>
        <b/>
        <i/>
        <u/>
        <color rgb="FF000080"/>
      </font>
    </dxf>
    <dxf>
      <font>
        <b/>
        <i/>
        <strike/>
        <color rgb="FFFF0000"/>
      </font>
    </dxf>
    <dxf>
      <font>
        <b/>
        <i/>
        <u/>
        <color rgb="FF000080"/>
      </font>
    </dxf>
    <dxf>
      <font>
        <b/>
        <i/>
        <strike/>
        <color rgb="FFFF0000"/>
      </font>
    </dxf>
    <dxf>
      <font>
        <b/>
        <i/>
        <strike/>
        <color rgb="FFFF0000"/>
      </font>
    </dxf>
    <dxf>
      <font>
        <b/>
        <i/>
        <u/>
        <color rgb="FF000080"/>
      </font>
    </dxf>
    <dxf>
      <font>
        <b/>
        <i/>
        <strike/>
        <color rgb="FFFF0000"/>
      </font>
    </dxf>
    <dxf>
      <font>
        <b/>
        <i/>
        <u/>
        <color rgb="FF000080"/>
      </font>
    </dxf>
    <dxf>
      <font>
        <b/>
        <i/>
        <strike/>
        <color rgb="FFFF0000"/>
      </font>
    </dxf>
    <dxf>
      <font>
        <b/>
        <i/>
        <u/>
        <color rgb="FF000080"/>
      </font>
    </dxf>
    <dxf>
      <font>
        <b/>
        <i/>
        <strike/>
        <color rgb="FFFF0000"/>
      </font>
    </dxf>
    <dxf>
      <font>
        <b/>
        <i/>
        <u/>
        <color rgb="FF000080"/>
      </font>
    </dxf>
    <dxf>
      <font>
        <b/>
        <i/>
        <strike/>
        <color rgb="FFFF0000"/>
      </font>
    </dxf>
    <dxf>
      <font>
        <b/>
        <i/>
        <u/>
        <color rgb="FF000080"/>
      </font>
    </dxf>
    <dxf>
      <font>
        <b/>
        <i/>
        <strike/>
        <color rgb="FFFF0000"/>
      </font>
    </dxf>
    <dxf>
      <font>
        <b/>
        <i/>
        <u/>
        <color rgb="FF000080"/>
      </font>
    </dxf>
    <dxf>
      <font>
        <b/>
        <strike/>
        <color rgb="FFFF0000"/>
      </font>
    </dxf>
    <dxf>
      <font>
        <b/>
        <u/>
        <color rgb="FF000080"/>
      </font>
    </dxf>
    <dxf>
      <font>
        <b/>
        <u/>
        <color rgb="FF000080"/>
      </font>
    </dxf>
    <dxf>
      <font>
        <b/>
        <strike/>
        <color rgb="FFFF0000"/>
      </font>
    </dxf>
    <dxf>
      <font>
        <b/>
        <u/>
        <color rgb="FF000080"/>
      </font>
    </dxf>
    <dxf>
      <font>
        <b/>
        <strike/>
        <color rgb="FFFF0000"/>
      </font>
    </dxf>
    <dxf>
      <font>
        <b/>
        <i/>
        <strike/>
        <color rgb="FFFF0000"/>
      </font>
    </dxf>
    <dxf>
      <font>
        <b/>
        <i/>
        <u/>
        <color rgb="FF000080"/>
      </font>
    </dxf>
    <dxf>
      <font>
        <b/>
        <i/>
        <strike/>
        <color rgb="FFFF0000"/>
      </font>
    </dxf>
    <dxf>
      <font>
        <b/>
        <i/>
        <u/>
        <color rgb="FF000080"/>
      </font>
    </dxf>
    <dxf>
      <font>
        <b/>
        <i/>
        <strike/>
        <color rgb="FFFF0000"/>
      </font>
    </dxf>
    <dxf>
      <font>
        <b/>
        <i/>
        <u/>
        <color rgb="FF000080"/>
      </font>
    </dxf>
    <dxf>
      <font>
        <b/>
        <i/>
        <u/>
        <color rgb="FF000080"/>
      </font>
    </dxf>
    <dxf>
      <font>
        <b/>
        <i/>
        <strike/>
        <color rgb="FFFF0000"/>
      </font>
    </dxf>
    <dxf>
      <font>
        <b/>
        <i/>
        <u/>
        <color rgb="FF000080"/>
      </font>
    </dxf>
    <dxf>
      <font>
        <b/>
        <i/>
        <strike/>
        <color rgb="FFFF0000"/>
      </font>
    </dxf>
    <dxf>
      <font>
        <b/>
        <i/>
        <u/>
        <color rgb="FF000080"/>
      </font>
    </dxf>
    <dxf>
      <font>
        <b/>
        <i/>
        <strike/>
        <color rgb="FFFF0000"/>
      </font>
    </dxf>
    <dxf>
      <font>
        <b/>
        <i/>
        <strike/>
        <color rgb="FFFF0000"/>
      </font>
    </dxf>
    <dxf>
      <font>
        <b/>
        <i/>
        <u/>
        <color rgb="FF000080"/>
      </font>
    </dxf>
    <dxf>
      <font>
        <b/>
        <i/>
        <strike/>
        <color rgb="FFFF0000"/>
      </font>
    </dxf>
    <dxf>
      <font>
        <b/>
        <i/>
        <u/>
        <color rgb="FF000080"/>
      </font>
    </dxf>
    <dxf>
      <font>
        <b/>
        <i/>
        <strike/>
        <color rgb="FFFF0000"/>
      </font>
    </dxf>
    <dxf>
      <font>
        <b/>
        <i/>
        <u/>
        <color rgb="FF000080"/>
      </font>
    </dxf>
    <dxf>
      <font>
        <b/>
        <i/>
        <strike/>
        <color rgb="FFFF0000"/>
      </font>
    </dxf>
    <dxf>
      <font>
        <b/>
        <i/>
        <u/>
        <color rgb="FF000080"/>
      </font>
    </dxf>
    <dxf>
      <font>
        <b/>
        <i/>
        <strike/>
        <color rgb="FFFF0000"/>
      </font>
    </dxf>
    <dxf>
      <font>
        <b/>
        <i/>
        <u/>
        <color rgb="FF000080"/>
      </font>
    </dxf>
    <dxf>
      <font>
        <b/>
        <i/>
        <strike/>
        <color rgb="FFFF0000"/>
      </font>
    </dxf>
    <dxf>
      <font>
        <b/>
        <i/>
        <u/>
        <color rgb="FF000080"/>
      </font>
    </dxf>
    <dxf>
      <font>
        <b/>
        <strike/>
        <color rgb="FFFF0000"/>
      </font>
    </dxf>
    <dxf>
      <font>
        <b/>
        <u/>
        <color rgb="FF000080"/>
      </font>
    </dxf>
    <dxf>
      <font>
        <b/>
        <u/>
        <color rgb="FF000080"/>
      </font>
    </dxf>
    <dxf>
      <font>
        <b/>
        <strike/>
        <color rgb="FFFF0000"/>
      </font>
    </dxf>
    <dxf>
      <font>
        <b/>
        <u/>
        <color rgb="FF000080"/>
      </font>
    </dxf>
    <dxf>
      <font>
        <b/>
        <strike/>
        <color rgb="FFFF0000"/>
      </font>
    </dxf>
    <dxf>
      <font>
        <b/>
        <i/>
        <strike/>
        <color rgb="FFFF0000"/>
      </font>
    </dxf>
    <dxf>
      <font>
        <b/>
        <i/>
        <u/>
        <color rgb="FF000080"/>
      </font>
    </dxf>
    <dxf>
      <font>
        <b/>
        <i/>
        <strike/>
        <color rgb="FFFF0000"/>
      </font>
    </dxf>
    <dxf>
      <font>
        <b/>
        <i/>
        <u/>
        <color rgb="FF000080"/>
      </font>
    </dxf>
    <dxf>
      <font>
        <b/>
        <i/>
        <strike/>
        <color rgb="FFFF0000"/>
      </font>
    </dxf>
    <dxf>
      <font>
        <b/>
        <i/>
        <u/>
        <color rgb="FF000080"/>
      </font>
    </dxf>
    <dxf>
      <font>
        <b/>
        <i/>
        <u/>
        <color rgb="FF000080"/>
      </font>
    </dxf>
    <dxf>
      <font>
        <b/>
        <i/>
        <strike/>
        <color rgb="FFFF0000"/>
      </font>
    </dxf>
    <dxf>
      <font>
        <b/>
        <i/>
        <u/>
        <color rgb="FF000080"/>
      </font>
    </dxf>
    <dxf>
      <font>
        <b/>
        <i/>
        <strike/>
        <color rgb="FFFF0000"/>
      </font>
    </dxf>
    <dxf>
      <font>
        <b/>
        <i/>
        <u/>
        <color rgb="FF000080"/>
      </font>
    </dxf>
    <dxf>
      <font>
        <b/>
        <i/>
        <strike/>
        <color rgb="FFFF0000"/>
      </font>
    </dxf>
    <dxf>
      <font>
        <b/>
        <i/>
        <strike/>
        <color rgb="FFFF0000"/>
      </font>
    </dxf>
    <dxf>
      <font>
        <b/>
        <i/>
        <u/>
        <color rgb="FF000080"/>
      </font>
    </dxf>
    <dxf>
      <font>
        <b/>
        <i/>
        <strike/>
        <color rgb="FFFF0000"/>
      </font>
    </dxf>
    <dxf>
      <font>
        <b/>
        <i/>
        <u/>
        <color rgb="FF000080"/>
      </font>
    </dxf>
    <dxf>
      <font>
        <b/>
        <i/>
        <strike/>
        <color rgb="FFFF0000"/>
      </font>
    </dxf>
    <dxf>
      <font>
        <b/>
        <i/>
        <u/>
        <color rgb="FF000080"/>
      </font>
    </dxf>
    <dxf>
      <font>
        <b/>
        <i/>
        <strike/>
        <color rgb="FFFF0000"/>
      </font>
    </dxf>
    <dxf>
      <font>
        <b/>
        <i/>
        <u/>
        <color rgb="FF000080"/>
      </font>
    </dxf>
    <dxf>
      <font>
        <b/>
        <i/>
        <strike/>
        <color rgb="FFFF0000"/>
      </font>
    </dxf>
    <dxf>
      <font>
        <b/>
        <i/>
        <u/>
        <color rgb="FF000080"/>
      </font>
    </dxf>
    <dxf>
      <font>
        <b/>
        <i/>
        <strike/>
        <color rgb="FFFF0000"/>
      </font>
    </dxf>
    <dxf>
      <font>
        <b/>
        <i/>
        <u/>
        <color rgb="FF000080"/>
      </font>
    </dxf>
    <dxf>
      <font>
        <b/>
        <strike/>
        <color rgb="FFFF0000"/>
      </font>
    </dxf>
    <dxf>
      <font>
        <b/>
        <u/>
        <color rgb="FF000080"/>
      </font>
    </dxf>
    <dxf>
      <font>
        <b/>
        <u/>
        <color rgb="FF000080"/>
      </font>
    </dxf>
    <dxf>
      <font>
        <b/>
        <strike/>
        <color rgb="FFFF0000"/>
      </font>
    </dxf>
    <dxf>
      <font>
        <b/>
        <u/>
        <color rgb="FF000080"/>
      </font>
    </dxf>
    <dxf>
      <font>
        <b/>
        <strike/>
        <color rgb="FFFF0000"/>
      </font>
    </dxf>
    <dxf>
      <font>
        <b/>
        <i/>
        <strike/>
        <color rgb="FFFF0000"/>
      </font>
    </dxf>
    <dxf>
      <font>
        <b/>
        <i/>
        <u/>
        <color rgb="FF000080"/>
      </font>
    </dxf>
    <dxf>
      <font>
        <b/>
        <i/>
        <strike/>
        <color rgb="FFFF0000"/>
      </font>
    </dxf>
    <dxf>
      <font>
        <b/>
        <i/>
        <u/>
        <color rgb="FF000080"/>
      </font>
    </dxf>
    <dxf>
      <font>
        <b/>
        <i/>
        <strike/>
        <color rgb="FFFF0000"/>
      </font>
    </dxf>
    <dxf>
      <font>
        <b/>
        <i/>
        <u/>
        <color rgb="FF000080"/>
      </font>
    </dxf>
    <dxf>
      <font>
        <b/>
        <i/>
        <u/>
        <color rgb="FF000080"/>
      </font>
    </dxf>
    <dxf>
      <font>
        <b/>
        <i/>
        <strike/>
        <color rgb="FFFF0000"/>
      </font>
    </dxf>
    <dxf>
      <font>
        <b/>
        <i/>
        <u/>
        <color rgb="FF000080"/>
      </font>
    </dxf>
    <dxf>
      <font>
        <b/>
        <i/>
        <strike/>
        <color rgb="FFFF0000"/>
      </font>
    </dxf>
    <dxf>
      <font>
        <b/>
        <i/>
        <u/>
        <color rgb="FF000080"/>
      </font>
    </dxf>
    <dxf>
      <font>
        <b/>
        <i/>
        <strike/>
        <color rgb="FFFF0000"/>
      </font>
    </dxf>
    <dxf>
      <font>
        <b/>
        <i/>
        <strike/>
        <color rgb="FFFF0000"/>
      </font>
    </dxf>
    <dxf>
      <font>
        <b/>
        <i/>
        <u/>
        <color rgb="FF000080"/>
      </font>
    </dxf>
    <dxf>
      <font>
        <b/>
        <i/>
        <strike/>
        <color rgb="FFFF0000"/>
      </font>
    </dxf>
    <dxf>
      <font>
        <b/>
        <i/>
        <u/>
        <color rgb="FF000080"/>
      </font>
    </dxf>
    <dxf>
      <font>
        <b/>
        <i/>
        <strike/>
        <color rgb="FFFF0000"/>
      </font>
    </dxf>
    <dxf>
      <font>
        <b/>
        <i/>
        <u/>
        <color rgb="FF000080"/>
      </font>
    </dxf>
    <dxf>
      <font>
        <b/>
        <i/>
        <strike/>
        <color rgb="FFFF0000"/>
      </font>
    </dxf>
    <dxf>
      <font>
        <b/>
        <i/>
        <u/>
        <color rgb="FF000080"/>
      </font>
    </dxf>
    <dxf>
      <font>
        <b/>
        <i/>
        <strike/>
        <color rgb="FFFF0000"/>
      </font>
    </dxf>
    <dxf>
      <font>
        <b/>
        <i/>
        <u/>
        <color rgb="FF000080"/>
      </font>
    </dxf>
    <dxf>
      <font>
        <b/>
        <i/>
        <strike/>
        <color rgb="FFFF0000"/>
      </font>
    </dxf>
    <dxf>
      <font>
        <b/>
        <i/>
        <u/>
        <color rgb="FF000080"/>
      </font>
    </dxf>
    <dxf>
      <font>
        <b/>
        <strike/>
        <color rgb="FFFF0000"/>
      </font>
    </dxf>
    <dxf>
      <font>
        <b/>
        <u/>
        <color rgb="FF000080"/>
      </font>
    </dxf>
    <dxf>
      <font>
        <b/>
        <u/>
        <color rgb="FF000080"/>
      </font>
    </dxf>
    <dxf>
      <font>
        <b/>
        <strike/>
        <color rgb="FFFF0000"/>
      </font>
    </dxf>
    <dxf>
      <font>
        <b/>
        <u/>
        <color rgb="FF000080"/>
      </font>
    </dxf>
    <dxf>
      <font>
        <b/>
        <strike/>
        <color rgb="FFFF0000"/>
      </font>
    </dxf>
    <dxf>
      <font>
        <b/>
        <i/>
        <strike/>
        <color rgb="FFFF0000"/>
      </font>
    </dxf>
    <dxf>
      <font>
        <b/>
        <i/>
        <u/>
        <color rgb="FF000080"/>
      </font>
    </dxf>
    <dxf>
      <font>
        <b/>
        <i/>
        <strike/>
        <color rgb="FFFF0000"/>
      </font>
    </dxf>
    <dxf>
      <font>
        <b/>
        <i/>
        <u/>
        <color rgb="FF000080"/>
      </font>
    </dxf>
    <dxf>
      <font>
        <b/>
        <i/>
        <strike/>
        <color rgb="FFFF0000"/>
      </font>
    </dxf>
    <dxf>
      <font>
        <b/>
        <i/>
        <u/>
        <color rgb="FF000080"/>
      </font>
    </dxf>
    <dxf>
      <font>
        <b/>
        <i/>
        <u/>
        <color rgb="FF000080"/>
      </font>
    </dxf>
    <dxf>
      <font>
        <b/>
        <i/>
        <strike/>
        <color rgb="FFFF0000"/>
      </font>
    </dxf>
    <dxf>
      <font>
        <b/>
        <i/>
        <u/>
        <color rgb="FF000080"/>
      </font>
    </dxf>
    <dxf>
      <font>
        <b/>
        <i/>
        <strike/>
        <color rgb="FFFF0000"/>
      </font>
    </dxf>
    <dxf>
      <font>
        <b/>
        <i/>
        <u/>
        <color rgb="FF000080"/>
      </font>
    </dxf>
    <dxf>
      <font>
        <b/>
        <i/>
        <strike/>
        <color rgb="FFFF0000"/>
      </font>
    </dxf>
    <dxf>
      <font>
        <b/>
        <i/>
        <strike/>
        <color rgb="FFFF0000"/>
      </font>
    </dxf>
    <dxf>
      <font>
        <b/>
        <i/>
        <u/>
        <color rgb="FF000080"/>
      </font>
    </dxf>
    <dxf>
      <font>
        <b/>
        <i/>
        <strike/>
        <color rgb="FFFF0000"/>
      </font>
    </dxf>
    <dxf>
      <font>
        <b/>
        <i/>
        <u/>
        <color rgb="FF000080"/>
      </font>
    </dxf>
    <dxf>
      <font>
        <b/>
        <i/>
        <strike/>
        <color rgb="FFFF0000"/>
      </font>
    </dxf>
    <dxf>
      <font>
        <b/>
        <i/>
        <u/>
        <color rgb="FF000080"/>
      </font>
    </dxf>
    <dxf>
      <font>
        <b/>
        <i/>
        <strike/>
        <color rgb="FFFF0000"/>
      </font>
    </dxf>
    <dxf>
      <font>
        <b/>
        <i/>
        <u/>
        <color rgb="FF000080"/>
      </font>
    </dxf>
    <dxf>
      <font>
        <b/>
        <i/>
        <strike/>
        <color rgb="FFFF0000"/>
      </font>
    </dxf>
    <dxf>
      <font>
        <b/>
        <i/>
        <u/>
        <color rgb="FF000080"/>
      </font>
    </dxf>
    <dxf>
      <font>
        <b/>
        <i/>
        <strike/>
        <color rgb="FFFF0000"/>
      </font>
    </dxf>
    <dxf>
      <font>
        <b/>
        <i/>
        <u/>
        <color rgb="FF000080"/>
      </font>
    </dxf>
    <dxf>
      <font>
        <b/>
        <strike/>
        <color rgb="FFFF0000"/>
      </font>
    </dxf>
    <dxf>
      <font>
        <b/>
        <u/>
        <color rgb="FF000080"/>
      </font>
    </dxf>
    <dxf>
      <font>
        <b/>
        <u/>
        <color rgb="FF000080"/>
      </font>
    </dxf>
    <dxf>
      <font>
        <b/>
        <strike/>
        <color rgb="FFFF0000"/>
      </font>
    </dxf>
    <dxf>
      <font>
        <b/>
        <u/>
        <color rgb="FF000080"/>
      </font>
    </dxf>
    <dxf>
      <font>
        <b/>
        <strike/>
        <color rgb="FFFF0000"/>
      </font>
    </dxf>
    <dxf>
      <font>
        <b/>
        <i/>
        <strike/>
        <color rgb="FFFF0000"/>
      </font>
    </dxf>
    <dxf>
      <font>
        <b/>
        <i/>
        <u/>
        <color rgb="FF000080"/>
      </font>
    </dxf>
    <dxf>
      <font>
        <b/>
        <i/>
        <strike/>
        <color rgb="FFFF0000"/>
      </font>
    </dxf>
    <dxf>
      <font>
        <b/>
        <i/>
        <u/>
        <color rgb="FF000080"/>
      </font>
    </dxf>
    <dxf>
      <font>
        <b/>
        <i/>
        <strike/>
        <color rgb="FFFF0000"/>
      </font>
    </dxf>
    <dxf>
      <font>
        <b/>
        <i/>
        <u/>
        <color rgb="FF000080"/>
      </font>
    </dxf>
    <dxf>
      <font>
        <b/>
        <i/>
        <u/>
        <color rgb="FF000080"/>
      </font>
    </dxf>
    <dxf>
      <font>
        <b/>
        <i/>
        <strike/>
        <color rgb="FFFF0000"/>
      </font>
    </dxf>
    <dxf>
      <font>
        <b/>
        <i/>
        <u/>
        <color rgb="FF000080"/>
      </font>
    </dxf>
    <dxf>
      <font>
        <b/>
        <i/>
        <strike/>
        <color rgb="FFFF0000"/>
      </font>
    </dxf>
    <dxf>
      <font>
        <b/>
        <i/>
        <u/>
        <color rgb="FF000080"/>
      </font>
    </dxf>
    <dxf>
      <font>
        <b/>
        <i/>
        <strike/>
        <color rgb="FFFF0000"/>
      </font>
    </dxf>
    <dxf>
      <font>
        <b/>
        <i/>
        <strike/>
        <color rgb="FFFF0000"/>
      </font>
    </dxf>
    <dxf>
      <font>
        <b/>
        <i/>
        <u/>
        <color rgb="FF000080"/>
      </font>
    </dxf>
    <dxf>
      <font>
        <b/>
        <i/>
        <strike/>
        <color rgb="FFFF0000"/>
      </font>
    </dxf>
    <dxf>
      <font>
        <b/>
        <i/>
        <u/>
        <color rgb="FF000080"/>
      </font>
    </dxf>
    <dxf>
      <font>
        <b/>
        <i/>
        <strike/>
        <color rgb="FFFF0000"/>
      </font>
    </dxf>
    <dxf>
      <font>
        <b/>
        <i/>
        <u/>
        <color rgb="FF000080"/>
      </font>
    </dxf>
    <dxf>
      <font>
        <b/>
        <i/>
        <strike/>
        <color rgb="FFFF0000"/>
      </font>
    </dxf>
    <dxf>
      <font>
        <b/>
        <i/>
        <u/>
        <color rgb="FF000080"/>
      </font>
    </dxf>
    <dxf>
      <font>
        <b/>
        <i/>
        <strike/>
        <color rgb="FFFF0000"/>
      </font>
    </dxf>
    <dxf>
      <font>
        <b/>
        <i/>
        <u/>
        <color rgb="FF000080"/>
      </font>
    </dxf>
    <dxf>
      <font>
        <b/>
        <i/>
        <strike/>
        <color rgb="FFFF0000"/>
      </font>
    </dxf>
    <dxf>
      <font>
        <b/>
        <i/>
        <u/>
        <color rgb="FF000080"/>
      </font>
    </dxf>
    <dxf>
      <font>
        <b/>
        <strike/>
        <color rgb="FFFF0000"/>
      </font>
    </dxf>
    <dxf>
      <font>
        <b/>
        <u/>
        <color rgb="FF000080"/>
      </font>
    </dxf>
    <dxf>
      <font>
        <b/>
        <u/>
        <color rgb="FF000080"/>
      </font>
    </dxf>
    <dxf>
      <font>
        <b/>
        <strike/>
        <color rgb="FFFF0000"/>
      </font>
    </dxf>
    <dxf>
      <font>
        <b/>
        <u/>
        <color rgb="FF000080"/>
      </font>
    </dxf>
    <dxf>
      <font>
        <b/>
        <strike/>
        <color rgb="FFFF0000"/>
      </font>
    </dxf>
    <dxf>
      <font>
        <b/>
        <i/>
        <strike/>
        <color rgb="FFFF0000"/>
      </font>
    </dxf>
    <dxf>
      <font>
        <b/>
        <i/>
        <u/>
        <color rgb="FF000080"/>
      </font>
    </dxf>
    <dxf>
      <font>
        <b/>
        <i/>
        <strike/>
        <color rgb="FFFF0000"/>
      </font>
    </dxf>
    <dxf>
      <font>
        <b/>
        <i/>
        <u/>
        <color rgb="FF000080"/>
      </font>
    </dxf>
    <dxf>
      <font>
        <b/>
        <i/>
        <strike/>
        <color rgb="FFFF0000"/>
      </font>
    </dxf>
    <dxf>
      <font>
        <b/>
        <i/>
        <u/>
        <color rgb="FF000080"/>
      </font>
    </dxf>
    <dxf>
      <font>
        <b/>
        <i/>
        <strike/>
        <color rgb="FFFF0000"/>
      </font>
    </dxf>
    <dxf>
      <font>
        <b/>
        <i/>
        <u/>
        <color rgb="FF000080"/>
      </font>
    </dxf>
    <dxf>
      <font>
        <b/>
        <i/>
        <u/>
        <color rgb="FF000080"/>
      </font>
    </dxf>
    <dxf>
      <font>
        <b/>
        <i/>
        <strike/>
        <color rgb="FFFF0000"/>
      </font>
    </dxf>
    <dxf>
      <font>
        <b/>
        <i/>
        <u/>
        <color rgb="FF000080"/>
      </font>
    </dxf>
    <dxf>
      <font>
        <b/>
        <i/>
        <strike/>
        <color rgb="FFFF0000"/>
      </font>
    </dxf>
    <dxf>
      <font>
        <b/>
        <i/>
        <u/>
        <color rgb="FF000080"/>
      </font>
    </dxf>
    <dxf>
      <font>
        <b/>
        <i/>
        <strike/>
        <color rgb="FFFF0000"/>
      </font>
    </dxf>
    <dxf>
      <font>
        <b/>
        <i/>
        <u/>
        <color rgb="FF000080"/>
      </font>
    </dxf>
    <dxf>
      <font>
        <b/>
        <i/>
        <strike/>
        <color rgb="FFFF0000"/>
      </font>
    </dxf>
    <dxf>
      <font>
        <b/>
        <i/>
        <strike/>
        <color rgb="FFFF0000"/>
      </font>
    </dxf>
    <dxf>
      <font>
        <b/>
        <i/>
        <u/>
        <color rgb="FF000080"/>
      </font>
    </dxf>
    <dxf>
      <font>
        <b/>
        <i/>
        <strike/>
        <color rgb="FFFF0000"/>
      </font>
    </dxf>
    <dxf>
      <font>
        <b/>
        <i/>
        <u/>
        <color rgb="FF000080"/>
      </font>
    </dxf>
    <dxf>
      <font>
        <b/>
        <i/>
        <strike/>
        <color rgb="FFFF0000"/>
      </font>
    </dxf>
    <dxf>
      <font>
        <b/>
        <i/>
        <u/>
        <color rgb="FF000080"/>
      </font>
    </dxf>
    <dxf>
      <font>
        <b/>
        <i/>
        <strike/>
        <color rgb="FFFF0000"/>
      </font>
    </dxf>
    <dxf>
      <font>
        <b/>
        <i/>
        <u/>
        <color rgb="FF000080"/>
      </font>
    </dxf>
    <dxf>
      <font>
        <b/>
        <u/>
        <color rgb="FF000080"/>
      </font>
    </dxf>
    <dxf>
      <font>
        <b/>
        <strike/>
        <color rgb="FFFF0000"/>
      </font>
    </dxf>
    <dxf>
      <font>
        <b/>
        <u/>
        <color rgb="FF000080"/>
      </font>
    </dxf>
    <dxf>
      <font>
        <b/>
        <strike/>
        <color rgb="FFFF0000"/>
      </font>
    </dxf>
    <dxf>
      <font>
        <b/>
        <u/>
        <color rgb="FF000080"/>
      </font>
    </dxf>
    <dxf>
      <font>
        <b/>
        <strike/>
        <color rgb="FFFF0000"/>
      </font>
    </dxf>
  </dxfs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2F2F2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4F81BD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81360</xdr:colOff>
      <xdr:row>0</xdr:row>
      <xdr:rowOff>180360</xdr:rowOff>
    </xdr:from>
    <xdr:to>
      <xdr:col>2</xdr:col>
      <xdr:colOff>253440</xdr:colOff>
      <xdr:row>2</xdr:row>
      <xdr:rowOff>217800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91320" y="180360"/>
          <a:ext cx="891000" cy="1227960"/>
        </a:xfrm>
        <a:prstGeom prst="rect">
          <a:avLst/>
        </a:prstGeom>
        <a:noFill/>
        <a:ln w="0">
          <a:noFill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81360</xdr:colOff>
      <xdr:row>0</xdr:row>
      <xdr:rowOff>180360</xdr:rowOff>
    </xdr:from>
    <xdr:to>
      <xdr:col>2</xdr:col>
      <xdr:colOff>253440</xdr:colOff>
      <xdr:row>2</xdr:row>
      <xdr:rowOff>217800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91320" y="180360"/>
          <a:ext cx="891000" cy="1227960"/>
        </a:xfrm>
        <a:prstGeom prst="rect">
          <a:avLst/>
        </a:prstGeom>
        <a:noFill/>
        <a:ln w="0">
          <a:noFill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81360</xdr:colOff>
      <xdr:row>0</xdr:row>
      <xdr:rowOff>180360</xdr:rowOff>
    </xdr:from>
    <xdr:to>
      <xdr:col>2</xdr:col>
      <xdr:colOff>253440</xdr:colOff>
      <xdr:row>2</xdr:row>
      <xdr:rowOff>217800</xdr:rowOff>
    </xdr:to>
    <xdr:pic>
      <xdr:nvPicPr>
        <xdr:cNvPr id="3" name="Picture 1">
          <a:extLst>
            <a:ext uri="{FF2B5EF4-FFF2-40B4-BE49-F238E27FC236}">
              <a16:creationId xmlns:a16="http://schemas.microsoft.com/office/drawing/2014/main" id="{00000000-0008-0000-0400-000003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91320" y="180360"/>
          <a:ext cx="891000" cy="1227960"/>
        </a:xfrm>
        <a:prstGeom prst="rect">
          <a:avLst/>
        </a:prstGeom>
        <a:noFill/>
        <a:ln w="0">
          <a:noFill/>
        </a:ln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81360</xdr:colOff>
      <xdr:row>0</xdr:row>
      <xdr:rowOff>180360</xdr:rowOff>
    </xdr:from>
    <xdr:to>
      <xdr:col>2</xdr:col>
      <xdr:colOff>253440</xdr:colOff>
      <xdr:row>2</xdr:row>
      <xdr:rowOff>217800</xdr:rowOff>
    </xdr:to>
    <xdr:pic>
      <xdr:nvPicPr>
        <xdr:cNvPr id="4" name="Picture 1">
          <a:extLst>
            <a:ext uri="{FF2B5EF4-FFF2-40B4-BE49-F238E27FC236}">
              <a16:creationId xmlns:a16="http://schemas.microsoft.com/office/drawing/2014/main" id="{00000000-0008-0000-0500-000004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91320" y="180360"/>
          <a:ext cx="891000" cy="1227960"/>
        </a:xfrm>
        <a:prstGeom prst="rect">
          <a:avLst/>
        </a:prstGeom>
        <a:noFill/>
        <a:ln w="0">
          <a:noFill/>
        </a:ln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81360</xdr:colOff>
      <xdr:row>0</xdr:row>
      <xdr:rowOff>180360</xdr:rowOff>
    </xdr:from>
    <xdr:to>
      <xdr:col>2</xdr:col>
      <xdr:colOff>253440</xdr:colOff>
      <xdr:row>2</xdr:row>
      <xdr:rowOff>217800</xdr:rowOff>
    </xdr:to>
    <xdr:pic>
      <xdr:nvPicPr>
        <xdr:cNvPr id="5" name="Picture 1">
          <a:extLst>
            <a:ext uri="{FF2B5EF4-FFF2-40B4-BE49-F238E27FC236}">
              <a16:creationId xmlns:a16="http://schemas.microsoft.com/office/drawing/2014/main" id="{00000000-0008-0000-0600-000005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91320" y="180360"/>
          <a:ext cx="891000" cy="1227960"/>
        </a:xfrm>
        <a:prstGeom prst="rect">
          <a:avLst/>
        </a:prstGeom>
        <a:noFill/>
        <a:ln w="0">
          <a:noFill/>
        </a:ln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81360</xdr:colOff>
      <xdr:row>0</xdr:row>
      <xdr:rowOff>180360</xdr:rowOff>
    </xdr:from>
    <xdr:to>
      <xdr:col>2</xdr:col>
      <xdr:colOff>253440</xdr:colOff>
      <xdr:row>2</xdr:row>
      <xdr:rowOff>217800</xdr:rowOff>
    </xdr:to>
    <xdr:pic>
      <xdr:nvPicPr>
        <xdr:cNvPr id="6" name="Picture 1">
          <a:extLst>
            <a:ext uri="{FF2B5EF4-FFF2-40B4-BE49-F238E27FC236}">
              <a16:creationId xmlns:a16="http://schemas.microsoft.com/office/drawing/2014/main" id="{00000000-0008-0000-0700-000006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91320" y="180360"/>
          <a:ext cx="891000" cy="1227960"/>
        </a:xfrm>
        <a:prstGeom prst="rect">
          <a:avLst/>
        </a:prstGeom>
        <a:noFill/>
        <a:ln w="0">
          <a:noFill/>
        </a:ln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81360</xdr:colOff>
      <xdr:row>0</xdr:row>
      <xdr:rowOff>180360</xdr:rowOff>
    </xdr:from>
    <xdr:to>
      <xdr:col>2</xdr:col>
      <xdr:colOff>253440</xdr:colOff>
      <xdr:row>2</xdr:row>
      <xdr:rowOff>217800</xdr:rowOff>
    </xdr:to>
    <xdr:pic>
      <xdr:nvPicPr>
        <xdr:cNvPr id="7" name="Picture 1">
          <a:extLst>
            <a:ext uri="{FF2B5EF4-FFF2-40B4-BE49-F238E27FC236}">
              <a16:creationId xmlns:a16="http://schemas.microsoft.com/office/drawing/2014/main" id="{00000000-0008-0000-0800-000007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91320" y="180360"/>
          <a:ext cx="891000" cy="1227960"/>
        </a:xfrm>
        <a:prstGeom prst="rect">
          <a:avLst/>
        </a:prstGeom>
        <a:noFill/>
        <a:ln w="0">
          <a:noFill/>
        </a:ln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81360</xdr:colOff>
      <xdr:row>0</xdr:row>
      <xdr:rowOff>180360</xdr:rowOff>
    </xdr:from>
    <xdr:to>
      <xdr:col>2</xdr:col>
      <xdr:colOff>253440</xdr:colOff>
      <xdr:row>2</xdr:row>
      <xdr:rowOff>217800</xdr:rowOff>
    </xdr:to>
    <xdr:pic>
      <xdr:nvPicPr>
        <xdr:cNvPr id="8" name="Picture 1">
          <a:extLst>
            <a:ext uri="{FF2B5EF4-FFF2-40B4-BE49-F238E27FC236}">
              <a16:creationId xmlns:a16="http://schemas.microsoft.com/office/drawing/2014/main" id="{00000000-0008-0000-0900-000008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91320" y="180360"/>
          <a:ext cx="891000" cy="1227960"/>
        </a:xfrm>
        <a:prstGeom prst="rect">
          <a:avLst/>
        </a:prstGeom>
        <a:noFill/>
        <a:ln w="0">
          <a:noFill/>
        </a:ln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81360</xdr:colOff>
      <xdr:row>0</xdr:row>
      <xdr:rowOff>180360</xdr:rowOff>
    </xdr:from>
    <xdr:to>
      <xdr:col>2</xdr:col>
      <xdr:colOff>253440</xdr:colOff>
      <xdr:row>2</xdr:row>
      <xdr:rowOff>217800</xdr:rowOff>
    </xdr:to>
    <xdr:pic>
      <xdr:nvPicPr>
        <xdr:cNvPr id="9" name="Picture 1">
          <a:extLst>
            <a:ext uri="{FF2B5EF4-FFF2-40B4-BE49-F238E27FC236}">
              <a16:creationId xmlns:a16="http://schemas.microsoft.com/office/drawing/2014/main" id="{00000000-0008-0000-0A00-000009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91320" y="180360"/>
          <a:ext cx="891000" cy="1227960"/>
        </a:xfrm>
        <a:prstGeom prst="rect">
          <a:avLst/>
        </a:prstGeom>
        <a:noFill/>
        <a:ln w="0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1.xml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comments" Target="../comments8.xml"/><Relationship Id="rId2" Type="http://schemas.openxmlformats.org/officeDocument/2006/relationships/vmlDrawing" Target="../drawings/vmlDrawing8.vml"/><Relationship Id="rId1" Type="http://schemas.openxmlformats.org/officeDocument/2006/relationships/drawing" Target="../drawings/drawing8.xml"/></Relationships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comments" Target="../comments9.xml"/><Relationship Id="rId2" Type="http://schemas.openxmlformats.org/officeDocument/2006/relationships/vmlDrawing" Target="../drawings/vmlDrawing9.vml"/><Relationship Id="rId1" Type="http://schemas.openxmlformats.org/officeDocument/2006/relationships/drawing" Target="../drawings/drawing9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drawing" Target="../drawings/drawing2.xml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comments" Target="../comments3.xml"/><Relationship Id="rId2" Type="http://schemas.openxmlformats.org/officeDocument/2006/relationships/vmlDrawing" Target="../drawings/vmlDrawing3.vml"/><Relationship Id="rId1" Type="http://schemas.openxmlformats.org/officeDocument/2006/relationships/drawing" Target="../drawings/drawing3.xml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comments" Target="../comments4.xml"/><Relationship Id="rId2" Type="http://schemas.openxmlformats.org/officeDocument/2006/relationships/vmlDrawing" Target="../drawings/vmlDrawing4.vml"/><Relationship Id="rId1" Type="http://schemas.openxmlformats.org/officeDocument/2006/relationships/drawing" Target="../drawings/drawing4.xml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comments" Target="../comments5.xml"/><Relationship Id="rId2" Type="http://schemas.openxmlformats.org/officeDocument/2006/relationships/vmlDrawing" Target="../drawings/vmlDrawing5.vml"/><Relationship Id="rId1" Type="http://schemas.openxmlformats.org/officeDocument/2006/relationships/drawing" Target="../drawings/drawing5.xml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comments" Target="../comments6.xml"/><Relationship Id="rId2" Type="http://schemas.openxmlformats.org/officeDocument/2006/relationships/vmlDrawing" Target="../drawings/vmlDrawing6.vml"/><Relationship Id="rId1" Type="http://schemas.openxmlformats.org/officeDocument/2006/relationships/drawing" Target="../drawings/drawing6.xml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comments" Target="../comments7.xml"/><Relationship Id="rId2" Type="http://schemas.openxmlformats.org/officeDocument/2006/relationships/vmlDrawing" Target="../drawings/vmlDrawing7.vml"/><Relationship Id="rId1" Type="http://schemas.openxmlformats.org/officeDocument/2006/relationships/drawing" Target="../drawings/drawing7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J80"/>
  <sheetViews>
    <sheetView zoomScaleNormal="100" workbookViewId="0">
      <selection activeCell="G1" sqref="G1:G1048576"/>
    </sheetView>
  </sheetViews>
  <sheetFormatPr baseColWidth="10" defaultColWidth="9.1640625" defaultRowHeight="12.75" customHeight="1"/>
  <cols>
    <col min="1" max="1" width="4.33203125" style="5" customWidth="1"/>
    <col min="2" max="2" width="10.1640625" style="5" customWidth="1"/>
    <col min="3" max="3" width="6.33203125" style="6" customWidth="1"/>
    <col min="4" max="4" width="8.6640625" style="6" customWidth="1"/>
    <col min="5" max="5" width="6.33203125" style="7" customWidth="1"/>
    <col min="6" max="6" width="6.83203125" style="7" customWidth="1"/>
    <col min="7" max="7" width="10.6640625" style="6" hidden="1" customWidth="1"/>
    <col min="8" max="8" width="3.83203125" style="6" customWidth="1"/>
    <col min="9" max="9" width="27.83203125" style="8" customWidth="1"/>
    <col min="10" max="10" width="21" style="8" customWidth="1"/>
    <col min="11" max="11" width="6.83203125" style="6" customWidth="1"/>
    <col min="12" max="12" width="6.83203125" style="9" customWidth="1"/>
    <col min="13" max="13" width="6.83203125" style="6" customWidth="1"/>
    <col min="14" max="14" width="8.83203125" style="6" customWidth="1"/>
    <col min="15" max="19" width="6.83203125" style="6" customWidth="1"/>
    <col min="20" max="23" width="8" style="10" customWidth="1"/>
    <col min="24" max="24" width="9" style="10" customWidth="1"/>
    <col min="25" max="26" width="8" style="10" customWidth="1"/>
    <col min="27" max="27" width="4.33203125" style="10" customWidth="1"/>
    <col min="28" max="28" width="5.6640625" style="10" customWidth="1"/>
    <col min="29" max="29" width="9.6640625" style="5" hidden="1" customWidth="1"/>
    <col min="30" max="31" width="9.1640625" style="5" hidden="1"/>
    <col min="32" max="32" width="7.83203125" style="5" hidden="1" customWidth="1"/>
    <col min="33" max="33" width="9.1640625" style="5" hidden="1"/>
    <col min="34" max="35" width="9.1640625" style="11" hidden="1"/>
    <col min="36" max="36" width="9.1640625" style="5" hidden="1"/>
    <col min="37" max="16384" width="9.1640625" style="5"/>
  </cols>
  <sheetData>
    <row r="1" spans="1:36" ht="18.75" customHeight="1">
      <c r="A1" s="12"/>
      <c r="B1" s="12"/>
      <c r="C1" s="12"/>
      <c r="D1" s="12"/>
      <c r="E1" s="12"/>
      <c r="F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  <c r="T1" s="12"/>
      <c r="U1" s="12"/>
      <c r="V1" s="12"/>
      <c r="W1" s="12"/>
      <c r="X1" s="12"/>
      <c r="Y1" s="12"/>
    </row>
    <row r="2" spans="1:36" ht="75" customHeight="1">
      <c r="A2" s="12"/>
      <c r="B2" s="12"/>
      <c r="C2" s="12"/>
      <c r="D2" s="12"/>
      <c r="E2" s="12"/>
      <c r="F2" s="12"/>
      <c r="G2" s="174" t="s">
        <v>0</v>
      </c>
      <c r="H2" s="174"/>
      <c r="I2" s="174"/>
      <c r="J2" s="174"/>
      <c r="K2" s="174"/>
      <c r="L2" s="174"/>
      <c r="M2" s="174"/>
      <c r="N2" s="174"/>
      <c r="O2" s="174"/>
      <c r="P2" s="174"/>
      <c r="Q2" s="174"/>
      <c r="R2" s="174"/>
      <c r="S2" s="12"/>
      <c r="T2" s="12"/>
      <c r="U2" s="13" t="s">
        <v>1</v>
      </c>
      <c r="V2" s="12"/>
      <c r="W2" s="12"/>
      <c r="X2" s="12"/>
      <c r="Y2" s="12"/>
    </row>
    <row r="3" spans="1:36" ht="21.75" customHeight="1">
      <c r="A3" s="12"/>
      <c r="B3" s="12"/>
      <c r="C3" s="12"/>
      <c r="D3" s="12"/>
      <c r="E3" s="14"/>
      <c r="F3" s="12"/>
      <c r="G3" s="175" t="s">
        <v>2</v>
      </c>
      <c r="H3" s="175"/>
      <c r="I3" s="175"/>
      <c r="J3" s="175"/>
      <c r="K3" s="175"/>
      <c r="L3" s="175"/>
      <c r="M3" s="175"/>
      <c r="N3" s="175"/>
      <c r="O3" s="175"/>
      <c r="P3" s="175"/>
      <c r="Q3" s="175"/>
      <c r="R3" s="175"/>
      <c r="S3" s="15" t="s">
        <v>3</v>
      </c>
      <c r="T3" s="15"/>
      <c r="U3" s="15"/>
      <c r="V3" s="15"/>
      <c r="W3" s="15"/>
      <c r="X3" s="15"/>
      <c r="Y3" s="15"/>
      <c r="Z3" s="15"/>
    </row>
    <row r="4" spans="1:36" ht="12.75" customHeight="1">
      <c r="A4" s="12"/>
      <c r="B4" s="12"/>
      <c r="C4" s="12"/>
      <c r="D4" s="12"/>
      <c r="E4" s="12"/>
      <c r="F4" s="12"/>
      <c r="H4" s="12"/>
      <c r="I4" s="12"/>
      <c r="J4" s="12"/>
      <c r="K4" s="12"/>
      <c r="L4" s="12"/>
      <c r="M4" s="12"/>
      <c r="N4" s="12"/>
      <c r="O4" s="12"/>
      <c r="P4" s="12"/>
      <c r="Q4" s="12"/>
      <c r="R4" s="12"/>
      <c r="S4" s="12"/>
      <c r="T4" s="12"/>
      <c r="U4" s="12"/>
      <c r="V4" s="12"/>
      <c r="W4" s="12"/>
      <c r="X4" s="12"/>
      <c r="Y4" s="12"/>
    </row>
    <row r="5" spans="1:36" s="16" customFormat="1" ht="15" customHeight="1">
      <c r="C5" s="17" t="s">
        <v>4</v>
      </c>
      <c r="D5" s="176" t="s">
        <v>5</v>
      </c>
      <c r="E5" s="176"/>
      <c r="F5" s="176"/>
      <c r="G5" s="176"/>
      <c r="H5" s="176"/>
      <c r="I5" s="176"/>
      <c r="J5" s="17" t="s">
        <v>6</v>
      </c>
      <c r="K5" s="176" t="s">
        <v>7</v>
      </c>
      <c r="L5" s="176"/>
      <c r="M5" s="176"/>
      <c r="N5" s="176"/>
      <c r="O5" s="17" t="s">
        <v>8</v>
      </c>
      <c r="P5" s="177" t="s">
        <v>9</v>
      </c>
      <c r="Q5" s="177"/>
      <c r="R5" s="177"/>
      <c r="S5" s="177"/>
      <c r="T5" s="17" t="s">
        <v>10</v>
      </c>
      <c r="U5" s="177">
        <v>46263</v>
      </c>
      <c r="V5" s="177"/>
      <c r="W5" s="18"/>
      <c r="X5" s="18"/>
      <c r="Y5" s="18"/>
      <c r="Z5" s="19" t="s">
        <v>11</v>
      </c>
      <c r="AA5" s="19"/>
      <c r="AB5" s="20">
        <v>1</v>
      </c>
      <c r="AH5" s="21"/>
      <c r="AI5" s="21"/>
    </row>
    <row r="6" spans="1:36" ht="12.75" customHeight="1">
      <c r="AG6" s="22" t="s">
        <v>12</v>
      </c>
      <c r="AH6" s="22" t="s">
        <v>12</v>
      </c>
      <c r="AI6" s="22" t="s">
        <v>12</v>
      </c>
      <c r="AJ6" s="178" t="s">
        <v>13</v>
      </c>
    </row>
    <row r="7" spans="1:36" s="23" customFormat="1" ht="12.75" customHeight="1">
      <c r="B7" s="179" t="s">
        <v>14</v>
      </c>
      <c r="C7" s="180" t="s">
        <v>15</v>
      </c>
      <c r="D7" s="180" t="s">
        <v>16</v>
      </c>
      <c r="E7" s="181" t="s">
        <v>17</v>
      </c>
      <c r="F7" s="182" t="s">
        <v>18</v>
      </c>
      <c r="G7" s="24" t="s">
        <v>19</v>
      </c>
      <c r="H7" s="24" t="s">
        <v>20</v>
      </c>
      <c r="I7" s="24" t="s">
        <v>21</v>
      </c>
      <c r="J7" s="24" t="s">
        <v>22</v>
      </c>
      <c r="K7" s="25"/>
      <c r="L7" s="26" t="s">
        <v>23</v>
      </c>
      <c r="M7" s="24"/>
      <c r="N7" s="24"/>
      <c r="O7" s="27" t="s">
        <v>24</v>
      </c>
      <c r="P7" s="24"/>
      <c r="Q7" s="28" t="s">
        <v>25</v>
      </c>
      <c r="R7" s="24"/>
      <c r="S7" s="24" t="s">
        <v>26</v>
      </c>
      <c r="T7" s="29" t="s">
        <v>27</v>
      </c>
      <c r="U7" s="30" t="s">
        <v>27</v>
      </c>
      <c r="V7" s="31" t="s">
        <v>28</v>
      </c>
      <c r="W7" s="31" t="s">
        <v>29</v>
      </c>
      <c r="X7" s="31" t="s">
        <v>30</v>
      </c>
      <c r="Y7" s="32" t="s">
        <v>31</v>
      </c>
      <c r="Z7" s="33" t="s">
        <v>32</v>
      </c>
      <c r="AA7" s="34" t="s">
        <v>33</v>
      </c>
      <c r="AB7" s="29" t="s">
        <v>34</v>
      </c>
      <c r="AC7" s="11"/>
      <c r="AG7" s="35" t="s">
        <v>35</v>
      </c>
      <c r="AH7" s="35" t="s">
        <v>35</v>
      </c>
      <c r="AI7" s="35" t="s">
        <v>35</v>
      </c>
      <c r="AJ7" s="178"/>
    </row>
    <row r="8" spans="1:36" s="23" customFormat="1" ht="12.75" customHeight="1">
      <c r="B8" s="179"/>
      <c r="C8" s="180"/>
      <c r="D8" s="180"/>
      <c r="E8" s="181"/>
      <c r="F8" s="182"/>
      <c r="G8" s="36" t="s">
        <v>36</v>
      </c>
      <c r="H8" s="36" t="s">
        <v>37</v>
      </c>
      <c r="I8" s="36"/>
      <c r="J8" s="36"/>
      <c r="K8" s="37">
        <v>1</v>
      </c>
      <c r="L8" s="37">
        <v>2</v>
      </c>
      <c r="M8" s="38">
        <v>3</v>
      </c>
      <c r="N8" s="38">
        <v>1</v>
      </c>
      <c r="O8" s="37">
        <v>2</v>
      </c>
      <c r="P8" s="38">
        <v>3</v>
      </c>
      <c r="Q8" s="39" t="s">
        <v>38</v>
      </c>
      <c r="R8" s="36"/>
      <c r="S8" s="36" t="s">
        <v>39</v>
      </c>
      <c r="T8" s="40"/>
      <c r="U8" s="41" t="s">
        <v>40</v>
      </c>
      <c r="V8" s="31" t="s">
        <v>27</v>
      </c>
      <c r="W8" s="31" t="s">
        <v>27</v>
      </c>
      <c r="X8" s="31" t="s">
        <v>27</v>
      </c>
      <c r="Y8" s="42" t="s">
        <v>41</v>
      </c>
      <c r="Z8" s="43" t="s">
        <v>42</v>
      </c>
      <c r="AA8" s="43"/>
      <c r="AB8" s="40"/>
      <c r="AD8" s="6" t="s">
        <v>43</v>
      </c>
      <c r="AE8" s="6" t="s">
        <v>44</v>
      </c>
      <c r="AF8" s="11" t="s">
        <v>40</v>
      </c>
      <c r="AG8" s="35" t="s">
        <v>45</v>
      </c>
      <c r="AH8" s="35" t="s">
        <v>46</v>
      </c>
      <c r="AI8" s="35" t="s">
        <v>47</v>
      </c>
    </row>
    <row r="9" spans="1:36" s="44" customFormat="1" ht="19.5" customHeight="1">
      <c r="B9" s="45" t="s">
        <v>48</v>
      </c>
      <c r="C9" s="46" t="s">
        <v>49</v>
      </c>
      <c r="D9" s="47">
        <v>49.63</v>
      </c>
      <c r="E9" s="46" t="s">
        <v>50</v>
      </c>
      <c r="F9" s="46" t="s">
        <v>51</v>
      </c>
      <c r="G9" s="48">
        <v>41055</v>
      </c>
      <c r="H9" s="46" t="s">
        <v>52</v>
      </c>
      <c r="I9" s="49" t="s">
        <v>53</v>
      </c>
      <c r="J9" s="50" t="s">
        <v>54</v>
      </c>
      <c r="K9" s="51">
        <v>40</v>
      </c>
      <c r="L9" s="51">
        <v>42</v>
      </c>
      <c r="M9" s="51">
        <v>44</v>
      </c>
      <c r="N9" s="51">
        <v>54</v>
      </c>
      <c r="O9" s="52">
        <v>56</v>
      </c>
      <c r="P9" s="52">
        <v>58</v>
      </c>
      <c r="Q9" s="53">
        <f>IF(MAX(K9:M9)&gt;0,IF(MAX(K9:M9)&lt;0,0,TRUNC(MAX(K9:M9)/1)*1),"")</f>
        <v>44</v>
      </c>
      <c r="R9" s="54">
        <f>IF(MAX(N9:P9)&gt;0,IF(MAX(N9:P9)&lt;0,0,TRUNC(MAX(N9:P9)/1)*1),"")</f>
        <v>58</v>
      </c>
      <c r="S9" s="54">
        <f>IF(Q9="","",IF(R9="","",IF(SUM(Q9:R9)=0,"",SUM(Q9:R9))))</f>
        <v>102</v>
      </c>
      <c r="T9" s="55">
        <f>IF(S9="","",IF(D9="","",IF((AD9="k"),IF(D9&gt;153.757,S9,IF(D9&lt;28,10^(0.0787004341*LOG10(28/153.757)^2)*S9,10^(0.787004341*LOG10(D9/153.757)^2)*S9)),IF(D9&gt;193.609,S9,IF(D9&lt;32,10^(0.722762521*LOG10(32/193.609)^2)*S9,10^(0.722762521*LOG10(D9/193.609)^2)*S9)))))</f>
        <v>157.90722721113852</v>
      </c>
      <c r="U9" s="56" t="str">
        <f>IF(AF9=1,T9*AI9,"")</f>
        <v/>
      </c>
      <c r="V9" s="57">
        <v>6.38</v>
      </c>
      <c r="W9" s="57">
        <v>9.27</v>
      </c>
      <c r="X9" s="57">
        <v>7.64</v>
      </c>
      <c r="Y9" s="55"/>
      <c r="Z9" s="56"/>
      <c r="AA9" s="56">
        <v>1</v>
      </c>
      <c r="AB9" s="58"/>
      <c r="AC9" s="59">
        <f>U5</f>
        <v>46263</v>
      </c>
      <c r="AD9" s="60" t="str">
        <f>IF(ISNUMBER(FIND("M",E9)),"m",IF(ISNUMBER(FIND("K",E9)),"k"))</f>
        <v>k</v>
      </c>
      <c r="AE9" s="61">
        <f>IF(OR(G9="",AC9=""),0,(YEAR(AC9)-YEAR(G9)))</f>
        <v>14</v>
      </c>
      <c r="AF9" s="62">
        <f>IF(AE9&gt;34,1,0)</f>
        <v>0</v>
      </c>
      <c r="AG9" s="44" t="b">
        <f>IF(AF9=1,LOOKUP(AE9,'Meltzer-Faber'!A3:A63,'Meltzer-Faber'!B3:B63))</f>
        <v>0</v>
      </c>
      <c r="AH9" s="63" t="b">
        <f>IF(AF9=1,LOOKUP(AE9,'Meltzer-Faber'!A3:A63,'Meltzer-Faber'!C3:C63))</f>
        <v>0</v>
      </c>
      <c r="AI9" s="63" t="b">
        <f>IF(AD9="m",AG9,IF(AD9="k",AH9,""))</f>
        <v>0</v>
      </c>
      <c r="AJ9" s="64">
        <f>IF(D9="","",IF(D9&gt;193.609,1,IF(D9&lt;32,10^(0.722762521*LOG10(32/193.609)^2),10^(0.722762521*LOG10(D9/193.609)^2))))</f>
        <v>1.7889660418798621</v>
      </c>
    </row>
    <row r="10" spans="1:36" s="44" customFormat="1" ht="19.5" customHeight="1">
      <c r="B10" s="65"/>
      <c r="C10" s="3"/>
      <c r="D10" s="3"/>
      <c r="E10" s="3"/>
      <c r="F10" s="66"/>
      <c r="G10" s="67"/>
      <c r="H10" s="68"/>
      <c r="I10" s="69"/>
      <c r="J10" s="69"/>
      <c r="K10" s="173"/>
      <c r="L10" s="173"/>
      <c r="M10" s="173"/>
      <c r="N10" s="172"/>
      <c r="O10" s="172"/>
      <c r="P10" s="172"/>
      <c r="Q10" s="70"/>
      <c r="R10" s="3"/>
      <c r="S10" s="173">
        <f>IF(T9="","",T9*1.2)</f>
        <v>189.48867265336622</v>
      </c>
      <c r="T10" s="173"/>
      <c r="U10" s="3"/>
      <c r="V10" s="3">
        <f>IF(V9&gt;0,V9*20,"")</f>
        <v>127.6</v>
      </c>
      <c r="W10" s="3">
        <f>IF(W9="","",(W9*10)*AJ9)</f>
        <v>165.8371520822632</v>
      </c>
      <c r="X10" s="3">
        <f>IF(ROUNDUP(X9,1)&gt;0,IF((80+(8-ROUNDUP(X9,1))*40)&lt;0,0,80+(8-ROUNDUP(X9,1))*40),"")</f>
        <v>92.000000000000028</v>
      </c>
      <c r="Y10" s="4">
        <f>IF(SUM(V10,W10,X10)&gt;0,SUM(V10,W10,X10),"")</f>
        <v>385.4371520822632</v>
      </c>
      <c r="Z10" s="3">
        <f>IF(AE9&gt;34,(IF(OR(S10="",V10="",W10="",X10=""),"",SUM(S10,V10,W10,X10))*AI9),IF(OR(S10="",V10="",W10="",X10=""),"", SUM(S10,V10,W10,X10)))</f>
        <v>574.92582473562936</v>
      </c>
      <c r="AA10" s="3"/>
      <c r="AB10" s="66"/>
      <c r="AC10" s="71"/>
      <c r="AD10" s="6"/>
      <c r="AE10" s="61"/>
      <c r="AF10" s="72"/>
      <c r="AH10" s="63"/>
      <c r="AI10" s="63"/>
      <c r="AJ10" s="64"/>
    </row>
    <row r="11" spans="1:36" s="44" customFormat="1" ht="19.5" customHeight="1">
      <c r="B11" s="73" t="s">
        <v>55</v>
      </c>
      <c r="C11" s="46" t="s">
        <v>49</v>
      </c>
      <c r="D11" s="47">
        <v>51.39</v>
      </c>
      <c r="E11" s="46" t="s">
        <v>50</v>
      </c>
      <c r="F11" s="46" t="s">
        <v>51</v>
      </c>
      <c r="G11" s="48">
        <v>41111</v>
      </c>
      <c r="H11" s="46" t="s">
        <v>56</v>
      </c>
      <c r="I11" s="49" t="s">
        <v>57</v>
      </c>
      <c r="J11" s="50" t="s">
        <v>58</v>
      </c>
      <c r="K11" s="51">
        <v>38</v>
      </c>
      <c r="L11" s="51">
        <v>41</v>
      </c>
      <c r="M11" s="51">
        <v>43</v>
      </c>
      <c r="N11" s="51">
        <v>44</v>
      </c>
      <c r="O11" s="74">
        <v>47</v>
      </c>
      <c r="P11" s="74">
        <v>50</v>
      </c>
      <c r="Q11" s="75">
        <f>IF(MAX(K11:M11)&gt;0,IF(MAX(K11:M11)&lt;0,0,TRUNC(MAX(K11:M11)/1)*1),"")</f>
        <v>43</v>
      </c>
      <c r="R11" s="76">
        <f>IF(MAX(N11:P11)&gt;0,IF(MAX(N11:P11)&lt;0,0,TRUNC(MAX(N11:P11)/1)*1),"")</f>
        <v>50</v>
      </c>
      <c r="S11" s="76">
        <f>IF(Q11="","",IF(R11="","",IF(SUM(Q11:R11)=0,"",SUM(Q11:R11))))</f>
        <v>93</v>
      </c>
      <c r="T11" s="77">
        <f>IF(S11="","",IF(D11="","",IF((AD11="k"),IF(D11&gt;153.757,S11,IF(D11&lt;28,10^(0.0787004341*LOG10(28/153.757)^2)*S11,10^(0.787004341*LOG10(D11/153.757)^2)*S11)),IF(D11&gt;193.609,S11,IF(D11&lt;32,10^(0.722762521*LOG10(32/193.609)^2)*S11,10^(0.722762521*LOG10(D11/193.609)^2)*S11)))))</f>
        <v>140.20596428502637</v>
      </c>
      <c r="U11" s="78" t="str">
        <f>IF(AF11=1,T11*AI11,"")</f>
        <v/>
      </c>
      <c r="V11" s="79">
        <v>5.67</v>
      </c>
      <c r="W11" s="79">
        <v>7.4</v>
      </c>
      <c r="X11" s="79">
        <v>7.96</v>
      </c>
      <c r="Y11" s="80"/>
      <c r="Z11" s="78"/>
      <c r="AA11" s="78">
        <v>2</v>
      </c>
      <c r="AB11" s="81"/>
      <c r="AC11" s="71">
        <f>U5</f>
        <v>46263</v>
      </c>
      <c r="AD11" s="60" t="str">
        <f>IF(ISNUMBER(FIND("M",E11)),"m",IF(ISNUMBER(FIND("K",E11)),"k"))</f>
        <v>k</v>
      </c>
      <c r="AE11" s="61">
        <f>IF(OR(G11="",AC11=""),0,(YEAR(AC11)-YEAR(G11)))</f>
        <v>14</v>
      </c>
      <c r="AF11" s="62">
        <f>IF(AE11&gt;34,1,0)</f>
        <v>0</v>
      </c>
      <c r="AG11" s="44" t="b">
        <f>IF(AF11=1,LOOKUP(AE11,'Meltzer-Faber'!A3:A63,'Meltzer-Faber'!B3:B63))</f>
        <v>0</v>
      </c>
      <c r="AH11" s="63" t="b">
        <f>IF(AF11=1,LOOKUP(AE11,'Meltzer-Faber'!A3:A63,'Meltzer-Faber'!C3:C63))</f>
        <v>0</v>
      </c>
      <c r="AI11" s="63" t="b">
        <f>IF(AD11="m",AG11,IF(AD11="k",AH11,""))</f>
        <v>0</v>
      </c>
      <c r="AJ11" s="64">
        <f>IF(D11="","",IF(D11&gt;193.609,1,IF(D11&lt;32,10^(0.722762521*LOG10(32/193.609)^2),10^(0.722762521*LOG10(D11/193.609)^2))))</f>
        <v>1.7371380369152107</v>
      </c>
    </row>
    <row r="12" spans="1:36" s="44" customFormat="1" ht="19.5" customHeight="1">
      <c r="B12" s="82"/>
      <c r="C12" s="3"/>
      <c r="D12" s="3"/>
      <c r="E12" s="3"/>
      <c r="F12" s="66"/>
      <c r="G12" s="67"/>
      <c r="H12" s="68"/>
      <c r="I12" s="69"/>
      <c r="J12" s="69"/>
      <c r="K12" s="173"/>
      <c r="L12" s="173"/>
      <c r="M12" s="173"/>
      <c r="N12" s="172"/>
      <c r="O12" s="172"/>
      <c r="P12" s="172"/>
      <c r="Q12" s="70"/>
      <c r="R12" s="3"/>
      <c r="S12" s="173">
        <f>IF(T11="","",T11*1.2)</f>
        <v>168.24715714203163</v>
      </c>
      <c r="T12" s="173"/>
      <c r="U12" s="3"/>
      <c r="V12" s="3">
        <f>IF(V11&gt;0,V11*20,"")</f>
        <v>113.4</v>
      </c>
      <c r="W12" s="3">
        <f>IF(W11="","",(W11*10)*AJ11)</f>
        <v>128.54821473172561</v>
      </c>
      <c r="X12" s="3">
        <f>IF(ROUNDUP(X11,1)&gt;0,IF((80+(8-ROUNDUP(X11,1))*40)&lt;0,0,80+(8-ROUNDUP(X11,1))*40),"")</f>
        <v>80</v>
      </c>
      <c r="Y12" s="4">
        <f>IF(SUM(V12,W12,X12)&gt;0,SUM(V12,W12,X12),"")</f>
        <v>321.94821473172561</v>
      </c>
      <c r="Z12" s="3">
        <f>IF(AE11&gt;34,(IF(OR(S12="",V12="",W12="",X12=""),"",SUM(S12,V12,W12,X12))*AI11),IF(OR(S12="",V12="",W12="",X12=""),"", SUM(S12,V12,W12,X12)))</f>
        <v>490.19537187375727</v>
      </c>
      <c r="AA12" s="3"/>
      <c r="AB12" s="66"/>
      <c r="AC12" s="71"/>
      <c r="AD12" s="6"/>
      <c r="AE12" s="61"/>
      <c r="AF12" s="62"/>
      <c r="AH12" s="63"/>
      <c r="AI12" s="63"/>
      <c r="AJ12" s="64"/>
    </row>
    <row r="13" spans="1:36" s="44" customFormat="1" ht="19.5" customHeight="1">
      <c r="B13" s="83" t="s">
        <v>59</v>
      </c>
      <c r="C13" s="84" t="s">
        <v>49</v>
      </c>
      <c r="D13" s="78">
        <v>49.23</v>
      </c>
      <c r="E13" s="84" t="s">
        <v>50</v>
      </c>
      <c r="F13" s="84" t="s">
        <v>51</v>
      </c>
      <c r="G13" s="85">
        <v>41457</v>
      </c>
      <c r="H13" s="84" t="s">
        <v>60</v>
      </c>
      <c r="I13" s="86" t="s">
        <v>61</v>
      </c>
      <c r="J13" s="87" t="s">
        <v>7</v>
      </c>
      <c r="K13" s="74">
        <v>25</v>
      </c>
      <c r="L13" s="74">
        <v>28</v>
      </c>
      <c r="M13" s="74">
        <v>-30</v>
      </c>
      <c r="N13" s="74">
        <v>33</v>
      </c>
      <c r="O13" s="74">
        <v>36</v>
      </c>
      <c r="P13" s="74">
        <v>-38</v>
      </c>
      <c r="Q13" s="75">
        <f>IF(MAX(K13:M13)&gt;0,IF(MAX(K13:M13)&lt;0,0,TRUNC(MAX(K13:M13)/1)*1),"")</f>
        <v>28</v>
      </c>
      <c r="R13" s="76">
        <f>IF(MAX(N13:P13)&gt;0,IF(MAX(N13:P13)&lt;0,0,TRUNC(MAX(N13:P13)/1)*1),"")</f>
        <v>36</v>
      </c>
      <c r="S13" s="76">
        <f>IF(Q13="","",IF(R13="","",IF(SUM(Q13:R13)=0,"",SUM(Q13:R13))))</f>
        <v>64</v>
      </c>
      <c r="T13" s="77">
        <f>IF(S13="","",IF(D13="","",IF((AD13="k"),IF(D13&gt;153.757,S13,IF(D13&lt;28,10^(0.0787004341*LOG10(28/153.757)^2)*S13,10^(0.787004341*LOG10(D13/153.757)^2)*S13)),IF(D13&gt;193.609,S13,IF(D13&lt;32,10^(0.722762521*LOG10(32/193.609)^2)*S13,10^(0.722762521*LOG10(D13/193.609)^2)*S13)))))</f>
        <v>99.702976744886243</v>
      </c>
      <c r="U13" s="78" t="str">
        <f>IF(AF13=1,T13*AI13,"")</f>
        <v/>
      </c>
      <c r="V13" s="79">
        <v>5</v>
      </c>
      <c r="W13" s="79">
        <v>9.4700000000000006</v>
      </c>
      <c r="X13" s="79">
        <v>8.09</v>
      </c>
      <c r="Y13" s="88"/>
      <c r="Z13" s="78"/>
      <c r="AA13" s="78">
        <v>3</v>
      </c>
      <c r="AB13" s="81"/>
      <c r="AC13" s="71">
        <f>U5</f>
        <v>46263</v>
      </c>
      <c r="AD13" s="60" t="str">
        <f>IF(ISNUMBER(FIND("M",E13)),"m",IF(ISNUMBER(FIND("K",E13)),"k"))</f>
        <v>k</v>
      </c>
      <c r="AE13" s="61">
        <f>IF(OR(G13="",AC13=""),0,(YEAR(AC13)-YEAR(G13)))</f>
        <v>13</v>
      </c>
      <c r="AF13" s="62">
        <f>IF(AE13&gt;34,1,0)</f>
        <v>0</v>
      </c>
      <c r="AG13" s="44" t="b">
        <f>IF(AF13=1,LOOKUP(AE13,'Meltzer-Faber'!A3:A63,'Meltzer-Faber'!B3:B63))</f>
        <v>0</v>
      </c>
      <c r="AH13" s="63" t="b">
        <f>IF(AF13=1,LOOKUP(AE13,'Meltzer-Faber'!A3:A63,'Meltzer-Faber'!C3:C63))</f>
        <v>0</v>
      </c>
      <c r="AI13" s="63" t="b">
        <f>IF(AD13="m",AG13,IF(AD13="k",AH13,""))</f>
        <v>0</v>
      </c>
      <c r="AJ13" s="64">
        <f>IF(D13="","",IF(D13&gt;193.609,1,IF(D13&lt;32,10^(0.722762521*LOG10(32/193.609)^2),10^(0.722762521*LOG10(D13/193.609)^2))))</f>
        <v>1.801417382227823</v>
      </c>
    </row>
    <row r="14" spans="1:36" s="44" customFormat="1" ht="19.5" customHeight="1">
      <c r="B14" s="82"/>
      <c r="C14" s="3"/>
      <c r="D14" s="3"/>
      <c r="E14" s="3"/>
      <c r="F14" s="66"/>
      <c r="G14" s="67"/>
      <c r="H14" s="68"/>
      <c r="I14" s="69"/>
      <c r="J14" s="69"/>
      <c r="K14" s="173"/>
      <c r="L14" s="173"/>
      <c r="M14" s="173"/>
      <c r="N14" s="172"/>
      <c r="O14" s="172"/>
      <c r="P14" s="172"/>
      <c r="Q14" s="70"/>
      <c r="R14" s="3"/>
      <c r="S14" s="173">
        <f>IF(T13="","",T13*1.2)</f>
        <v>119.64357209386348</v>
      </c>
      <c r="T14" s="173"/>
      <c r="U14" s="3"/>
      <c r="V14" s="3">
        <f>IF(V13&gt;0,V13*20,"")</f>
        <v>100</v>
      </c>
      <c r="W14" s="3">
        <f>IF(W13="","",(W13*10)*AJ13)</f>
        <v>170.59422609697484</v>
      </c>
      <c r="X14" s="3">
        <f>IF(ROUNDUP(X13,1)&gt;0,IF((80+(8-ROUNDUP(X13,1))*40)&lt;0,0,80+(8-ROUNDUP(X13,1))*40),"")</f>
        <v>76.000000000000014</v>
      </c>
      <c r="Y14" s="4">
        <f>IF(SUM(V14,W14,X14)&gt;0,SUM(V14,W14,X14),"")</f>
        <v>346.59422609697481</v>
      </c>
      <c r="Z14" s="3">
        <f>IF(AE13&gt;34,(IF(OR(S14="",V14="",W14="",X14=""),"",SUM(S14,V14,W14,X14))*AI13),IF(OR(S14="",V14="",W14="",X14=""),"", SUM(S14,V14,W14,X14)))</f>
        <v>466.23779819083836</v>
      </c>
      <c r="AA14" s="3"/>
      <c r="AB14" s="66"/>
      <c r="AC14" s="71"/>
      <c r="AD14" s="6"/>
      <c r="AE14" s="61"/>
      <c r="AF14" s="62"/>
      <c r="AH14" s="63"/>
      <c r="AI14" s="63"/>
      <c r="AJ14" s="64"/>
    </row>
    <row r="15" spans="1:36" s="44" customFormat="1" ht="19.5" customHeight="1">
      <c r="B15" s="83" t="s">
        <v>62</v>
      </c>
      <c r="C15" s="84" t="s">
        <v>63</v>
      </c>
      <c r="D15" s="78">
        <v>60.47</v>
      </c>
      <c r="E15" s="84" t="s">
        <v>50</v>
      </c>
      <c r="F15" s="84" t="s">
        <v>51</v>
      </c>
      <c r="G15" s="85">
        <v>40976</v>
      </c>
      <c r="H15" s="84" t="s">
        <v>64</v>
      </c>
      <c r="I15" s="86" t="s">
        <v>65</v>
      </c>
      <c r="J15" s="87" t="s">
        <v>7</v>
      </c>
      <c r="K15" s="74">
        <v>35</v>
      </c>
      <c r="L15" s="74">
        <v>-38</v>
      </c>
      <c r="M15" s="74">
        <v>38</v>
      </c>
      <c r="N15" s="74">
        <v>42</v>
      </c>
      <c r="O15" s="74">
        <v>46</v>
      </c>
      <c r="P15" s="74">
        <v>48</v>
      </c>
      <c r="Q15" s="75">
        <f>IF(MAX(K15:M15)&gt;0,IF(MAX(K15:M15)&lt;0,0,TRUNC(MAX(K15:M15)/1)*1),"")</f>
        <v>38</v>
      </c>
      <c r="R15" s="76">
        <f>IF(MAX(N15:P15)&gt;0,IF(MAX(N15:P15)&lt;0,0,TRUNC(MAX(N15:P15)/1)*1),"")</f>
        <v>48</v>
      </c>
      <c r="S15" s="76">
        <f>IF(Q15="","",IF(R15="","",IF(SUM(Q15:R15)=0,"",SUM(Q15:R15))))</f>
        <v>86</v>
      </c>
      <c r="T15" s="77">
        <f>IF(S15="","",IF(D15="","",IF((AD15="k"),IF(D15&gt;153.757,S15,IF(D15&lt;28,10^(0.0787004341*LOG10(28/153.757)^2)*S15,10^(0.787004341*LOG10(D15/153.757)^2)*S15)),IF(D15&gt;193.609,S15,IF(D15&lt;32,10^(0.722762521*LOG10(32/193.609)^2)*S15,10^(0.722762521*LOG10(D15/193.609)^2)*S15)))))</f>
        <v>115.81769453246066</v>
      </c>
      <c r="U15" s="78" t="str">
        <f>IF(AF15=1,T15*AI15,"")</f>
        <v/>
      </c>
      <c r="V15" s="79">
        <v>5.19</v>
      </c>
      <c r="W15" s="79">
        <v>8.33</v>
      </c>
      <c r="X15" s="79">
        <v>7.95</v>
      </c>
      <c r="Y15" s="80"/>
      <c r="Z15" s="78"/>
      <c r="AA15" s="78">
        <v>4</v>
      </c>
      <c r="AB15" s="81"/>
      <c r="AC15" s="71">
        <f>U5</f>
        <v>46263</v>
      </c>
      <c r="AD15" s="60" t="str">
        <f>IF(ISNUMBER(FIND("M",E15)),"m",IF(ISNUMBER(FIND("K",E15)),"k"))</f>
        <v>k</v>
      </c>
      <c r="AE15" s="61">
        <f>IF(OR(G15="",AC15=""),0,(YEAR(AC15)-YEAR(G15)))</f>
        <v>14</v>
      </c>
      <c r="AF15" s="62">
        <f>IF(AE15&gt;34,1,0)</f>
        <v>0</v>
      </c>
      <c r="AG15" s="44" t="b">
        <f>IF(AF15=1,LOOKUP(AE15,'Meltzer-Faber'!A3:A63,'Meltzer-Faber'!B3:B63))</f>
        <v>0</v>
      </c>
      <c r="AH15" s="63" t="b">
        <f>IF(AF15=1,LOOKUP(AE15,'Meltzer-Faber'!A3:A63,'Meltzer-Faber'!C3:C63))</f>
        <v>0</v>
      </c>
      <c r="AI15" s="63" t="b">
        <f>IF(AD15="m",AG15,IF(AD15="k",AH15,""))</f>
        <v>0</v>
      </c>
      <c r="AJ15" s="64">
        <f>IF(D15="","",IF(D15&gt;193.609,1,IF(D15&lt;32,10^(0.722762521*LOG10(32/193.609)^2),10^(0.722762521*LOG10(D15/193.609)^2))))</f>
        <v>1.5296923120544459</v>
      </c>
    </row>
    <row r="16" spans="1:36" s="44" customFormat="1" ht="19.5" customHeight="1">
      <c r="B16" s="82"/>
      <c r="C16" s="3"/>
      <c r="D16" s="3"/>
      <c r="E16" s="3"/>
      <c r="F16" s="66"/>
      <c r="G16" s="67"/>
      <c r="H16" s="68"/>
      <c r="I16" s="69"/>
      <c r="J16" s="69"/>
      <c r="K16" s="173"/>
      <c r="L16" s="173"/>
      <c r="M16" s="173"/>
      <c r="N16" s="172"/>
      <c r="O16" s="172"/>
      <c r="P16" s="172"/>
      <c r="Q16" s="89"/>
      <c r="R16" s="90"/>
      <c r="S16" s="173">
        <f>IF(T15="","",T15*1.2)</f>
        <v>138.98123343895278</v>
      </c>
      <c r="T16" s="173"/>
      <c r="U16" s="3"/>
      <c r="V16" s="3">
        <f>IF(V15&gt;0,V15*20,"")</f>
        <v>103.80000000000001</v>
      </c>
      <c r="W16" s="3">
        <f>IF(W15="","",(W15*10)*AJ15)</f>
        <v>127.42336959413534</v>
      </c>
      <c r="X16" s="3">
        <f>IF(ROUNDUP(X15,1)&gt;0,IF((80+(8-ROUNDUP(X15,1))*40)&lt;0,0,80+(8-ROUNDUP(X15,1))*40),"")</f>
        <v>80</v>
      </c>
      <c r="Y16" s="4">
        <f>IF(SUM(V16,W16,X16)&gt;0,SUM(V16,W16,X16),"")</f>
        <v>311.22336959413536</v>
      </c>
      <c r="Z16" s="3">
        <f>IF(AE15&gt;34,(IF(OR(S16="",V16="",W16="",X16=""),"",SUM(S16,V16,W16,X16))*AI15),IF(OR(S16="",V16="",W16="",X16=""),"", SUM(S16,V16,W16,X16)))</f>
        <v>450.20460303308812</v>
      </c>
      <c r="AA16" s="3"/>
      <c r="AB16" s="66"/>
      <c r="AC16" s="71"/>
      <c r="AD16" s="6"/>
      <c r="AE16" s="61"/>
      <c r="AF16" s="62"/>
      <c r="AH16" s="63"/>
      <c r="AI16" s="63"/>
      <c r="AJ16" s="64"/>
    </row>
    <row r="17" spans="2:36" s="44" customFormat="1" ht="19.5" customHeight="1">
      <c r="B17" s="83" t="s">
        <v>66</v>
      </c>
      <c r="C17" s="84" t="s">
        <v>67</v>
      </c>
      <c r="D17" s="78">
        <v>70.87</v>
      </c>
      <c r="E17" s="84" t="s">
        <v>50</v>
      </c>
      <c r="F17" s="84" t="s">
        <v>51</v>
      </c>
      <c r="G17" s="85">
        <v>41200</v>
      </c>
      <c r="H17" s="84" t="s">
        <v>68</v>
      </c>
      <c r="I17" s="91" t="s">
        <v>69</v>
      </c>
      <c r="J17" s="87" t="s">
        <v>70</v>
      </c>
      <c r="K17" s="74">
        <v>33</v>
      </c>
      <c r="L17" s="74">
        <v>-36</v>
      </c>
      <c r="M17" s="74">
        <v>36</v>
      </c>
      <c r="N17" s="74">
        <v>37</v>
      </c>
      <c r="O17" s="74">
        <v>40</v>
      </c>
      <c r="P17" s="74">
        <v>-43</v>
      </c>
      <c r="Q17" s="75">
        <f>IF(MAX(K17:M17)&gt;0,IF(MAX(K17:M17)&lt;0,0,TRUNC(MAX(K17:M17)/1)*1),"")</f>
        <v>36</v>
      </c>
      <c r="R17" s="76">
        <f>IF(MAX(N17:P17)&gt;0,IF(MAX(N17:P17)&lt;0,0,TRUNC(MAX(N17:P17)/1)*1),"")</f>
        <v>40</v>
      </c>
      <c r="S17" s="74">
        <f>IF(Q17="","",IF(R17="","",IF(SUM(Q17:R17)=0,"",SUM(Q17:R17))))</f>
        <v>76</v>
      </c>
      <c r="T17" s="77">
        <f>IF(S17="","",IF(D17="","",IF((AD17="k"),IF(D17&gt;153.757,S17,IF(D17&lt;28,10^(0.0787004341*LOG10(28/153.757)^2)*S17,10^(0.787004341*LOG10(D17/153.757)^2)*S17)),IF(D17&gt;193.609,S17,IF(D17&lt;32,10^(0.722762521*LOG10(32/193.609)^2)*S17,10^(0.722762521*LOG10(D17/193.609)^2)*S17)))))</f>
        <v>93.295420702025254</v>
      </c>
      <c r="U17" s="78" t="str">
        <f>IF(AF17=1,T17*AI17,"")</f>
        <v/>
      </c>
      <c r="V17" s="79">
        <v>5.22</v>
      </c>
      <c r="W17" s="79">
        <v>10.24</v>
      </c>
      <c r="X17" s="79">
        <v>8.56</v>
      </c>
      <c r="Y17" s="80"/>
      <c r="Z17" s="78"/>
      <c r="AA17" s="78">
        <v>5</v>
      </c>
      <c r="AB17" s="81"/>
      <c r="AC17" s="71">
        <f>U5</f>
        <v>46263</v>
      </c>
      <c r="AD17" s="60" t="str">
        <f>IF(ISNUMBER(FIND("M",E17)),"m",IF(ISNUMBER(FIND("K",E17)),"k"))</f>
        <v>k</v>
      </c>
      <c r="AE17" s="61">
        <f>IF(OR(G17="",AC17=""),0,(YEAR(AC17)-YEAR(G17)))</f>
        <v>14</v>
      </c>
      <c r="AF17" s="62">
        <f>IF(AE17&gt;34,1,0)</f>
        <v>0</v>
      </c>
      <c r="AG17" s="44" t="b">
        <f>IF(AF17=1,LOOKUP(AE17,'Meltzer-Faber'!A3:A63,'Meltzer-Faber'!B3:B63))</f>
        <v>0</v>
      </c>
      <c r="AH17" s="63" t="b">
        <f>IF(AF17=1,LOOKUP(AE17,'Meltzer-Faber'!A3:A63,'Meltzer-Faber'!C3:C63))</f>
        <v>0</v>
      </c>
      <c r="AI17" s="63" t="b">
        <f>IF(AD17="m",AG17,IF(AD17="k",AH17,""))</f>
        <v>0</v>
      </c>
      <c r="AJ17" s="64">
        <f>IF(D17="","",IF(D17&gt;193.609,1,IF(D17&lt;32,10^(0.722762521*LOG10(32/193.609)^2),10^(0.722762521*LOG10(D17/193.609)^2))))</f>
        <v>1.3730498125244568</v>
      </c>
    </row>
    <row r="18" spans="2:36" s="44" customFormat="1" ht="19.5" customHeight="1">
      <c r="B18" s="82"/>
      <c r="C18" s="3"/>
      <c r="D18" s="3"/>
      <c r="E18" s="3"/>
      <c r="F18" s="66"/>
      <c r="G18" s="67"/>
      <c r="H18" s="68"/>
      <c r="I18" s="69"/>
      <c r="J18" s="69"/>
      <c r="K18" s="173"/>
      <c r="L18" s="173"/>
      <c r="M18" s="173"/>
      <c r="N18" s="172"/>
      <c r="O18" s="172"/>
      <c r="P18" s="172"/>
      <c r="Q18" s="70"/>
      <c r="R18" s="3"/>
      <c r="S18" s="173">
        <f>IF(T17="","",T17*1.2)</f>
        <v>111.9545048424303</v>
      </c>
      <c r="T18" s="173"/>
      <c r="U18" s="3"/>
      <c r="V18" s="3">
        <f>IF(V17&gt;0,V17*20,"")</f>
        <v>104.39999999999999</v>
      </c>
      <c r="W18" s="3">
        <f>IF(W17="","",(W17*10)*AJ17)</f>
        <v>140.60030080250439</v>
      </c>
      <c r="X18" s="3">
        <f>IF(ROUNDUP(X17,1)&gt;0,IF((80+(8-ROUNDUP(X17,1))*40)&lt;0,0,80+(8-ROUNDUP(X17,1))*40),"")</f>
        <v>56.000000000000014</v>
      </c>
      <c r="Y18" s="4">
        <f>IF(SUM(V18,W18,X18)&gt;0,SUM(V18,W18,X18),"")</f>
        <v>301.0003008025044</v>
      </c>
      <c r="Z18" s="3">
        <f>IF(AE17&gt;34,(IF(OR(S18="",V18="",W18="",X18=""),"",SUM(S18,V18,W18,X18))*AI17),IF(OR(S18="",V18="",W18="",X18=""),"", SUM(S18,V18,W18,X18)))</f>
        <v>412.95480564493471</v>
      </c>
      <c r="AA18" s="3"/>
      <c r="AB18" s="66"/>
      <c r="AC18" s="71"/>
      <c r="AD18" s="6"/>
      <c r="AE18" s="61"/>
      <c r="AF18" s="62"/>
      <c r="AH18" s="63"/>
      <c r="AI18" s="63"/>
      <c r="AJ18" s="64"/>
    </row>
    <row r="19" spans="2:36" s="44" customFormat="1" ht="19.5" customHeight="1">
      <c r="B19" s="83" t="s">
        <v>71</v>
      </c>
      <c r="C19" s="84" t="s">
        <v>49</v>
      </c>
      <c r="D19" s="78">
        <v>51.67</v>
      </c>
      <c r="E19" s="84" t="s">
        <v>50</v>
      </c>
      <c r="F19" s="84" t="s">
        <v>51</v>
      </c>
      <c r="G19" s="85">
        <v>41537</v>
      </c>
      <c r="H19" s="84" t="s">
        <v>72</v>
      </c>
      <c r="I19" s="91" t="s">
        <v>73</v>
      </c>
      <c r="J19" s="87" t="s">
        <v>7</v>
      </c>
      <c r="K19" s="74">
        <v>25</v>
      </c>
      <c r="L19" s="74">
        <v>27</v>
      </c>
      <c r="M19" s="74">
        <v>29</v>
      </c>
      <c r="N19" s="74">
        <v>32</v>
      </c>
      <c r="O19" s="74">
        <v>35</v>
      </c>
      <c r="P19" s="74">
        <v>-37</v>
      </c>
      <c r="Q19" s="75">
        <f>IF(MAX(K19:M19)&gt;0,IF(MAX(K19:M19)&lt;0,0,TRUNC(MAX(K19:M19)/1)*1),"")</f>
        <v>29</v>
      </c>
      <c r="R19" s="76">
        <f>IF(MAX(N19:P19)&gt;0,IF(MAX(N19:P19)&lt;0,0,TRUNC(MAX(N19:P19)/1)*1),"")</f>
        <v>35</v>
      </c>
      <c r="S19" s="74">
        <f>IF(Q19="","",IF(R19="","",IF(SUM(Q19:R19)=0,"",SUM(Q19:R19))))</f>
        <v>64</v>
      </c>
      <c r="T19" s="77">
        <f>IF(S19="","",IF(D19="","",IF((AD19="k"),IF(D19&gt;153.757,S19,IF(D19&lt;28,10^(0.0787004341*LOG10(28/153.757)^2)*S19,10^(0.787004341*LOG10(D19/153.757)^2)*S19)),IF(D19&gt;193.609,S19,IF(D19&lt;32,10^(0.722762521*LOG10(32/193.609)^2)*S19,10^(0.722762521*LOG10(D19/193.609)^2)*S19)))))</f>
        <v>96.094824468566884</v>
      </c>
      <c r="U19" s="78" t="str">
        <f>IF(AF19=1,T19*AI19,"")</f>
        <v/>
      </c>
      <c r="V19" s="79">
        <v>4.46</v>
      </c>
      <c r="W19" s="79">
        <v>8.48</v>
      </c>
      <c r="X19" s="79">
        <v>8.7799999999999994</v>
      </c>
      <c r="Y19" s="80"/>
      <c r="Z19" s="78"/>
      <c r="AA19" s="78">
        <v>6</v>
      </c>
      <c r="AB19" s="81"/>
      <c r="AC19" s="71">
        <f>U5</f>
        <v>46263</v>
      </c>
      <c r="AD19" s="60" t="str">
        <f>IF(ISNUMBER(FIND("M",E19)),"m",IF(ISNUMBER(FIND("K",E19)),"k"))</f>
        <v>k</v>
      </c>
      <c r="AE19" s="61">
        <f>IF(OR(G19="",AC19=""),0,(YEAR(AC19)-YEAR(G19)))</f>
        <v>13</v>
      </c>
      <c r="AF19" s="62">
        <f>IF(AE19&gt;34,1,0)</f>
        <v>0</v>
      </c>
      <c r="AG19" s="44" t="b">
        <f>IF(AF19=1,LOOKUP(AE19,'Meltzer-Faber'!A3:A63,'Meltzer-Faber'!B3:B63))</f>
        <v>0</v>
      </c>
      <c r="AH19" s="63" t="b">
        <f>IF(AF19=1,LOOKUP(AE19,'Meltzer-Faber'!A3:A63,'Meltzer-Faber'!C3:C63))</f>
        <v>0</v>
      </c>
      <c r="AI19" s="63" t="b">
        <f>IF(AD19="m",AG19,IF(AD19="k",AH19,""))</f>
        <v>0</v>
      </c>
      <c r="AJ19" s="64">
        <f>IF(D19="","",IF(D19&gt;193.609,1,IF(D19&lt;32,10^(0.722762521*LOG10(32/193.609)^2),10^(0.722762521*LOG10(D19/193.609)^2))))</f>
        <v>1.7293119231019263</v>
      </c>
    </row>
    <row r="20" spans="2:36" s="44" customFormat="1" ht="19.5" customHeight="1">
      <c r="B20" s="82"/>
      <c r="C20" s="3"/>
      <c r="D20" s="3"/>
      <c r="E20" s="3"/>
      <c r="F20" s="66"/>
      <c r="G20" s="67"/>
      <c r="H20" s="68"/>
      <c r="I20" s="69"/>
      <c r="J20" s="69"/>
      <c r="K20" s="173"/>
      <c r="L20" s="173"/>
      <c r="M20" s="173"/>
      <c r="N20" s="172"/>
      <c r="O20" s="172"/>
      <c r="P20" s="172"/>
      <c r="Q20" s="70"/>
      <c r="R20" s="3"/>
      <c r="S20" s="173">
        <f>IF(T19="","",T19*1.2)</f>
        <v>115.31378936228026</v>
      </c>
      <c r="T20" s="173"/>
      <c r="U20" s="3"/>
      <c r="V20" s="3">
        <f>IF(V19&gt;0,V19*20,"")</f>
        <v>89.2</v>
      </c>
      <c r="W20" s="3">
        <f>IF(W19="","",(W19*10)*AJ19)</f>
        <v>146.64565107904338</v>
      </c>
      <c r="X20" s="3">
        <f>IF(ROUNDUP(X19,1)&gt;0,IF((80+(8-ROUNDUP(X19,1))*40)&lt;0,0,80+(8-ROUNDUP(X19,1))*40),"")</f>
        <v>48.000000000000043</v>
      </c>
      <c r="Y20" s="4">
        <f>IF(SUM(V20,W20,X20)&gt;0,SUM(V20,W20,X20),"")</f>
        <v>283.84565107904342</v>
      </c>
      <c r="Z20" s="3">
        <f>IF(AE19&gt;34,(IF(OR(S20="",V20="",W20="",X20=""),"",SUM(S20,V20,W20,X20))*AI19),IF(OR(S20="",V20="",W20="",X20=""),"", SUM(S20,V20,W20,X20)))</f>
        <v>399.15944044132368</v>
      </c>
      <c r="AA20" s="3"/>
      <c r="AB20" s="66"/>
      <c r="AC20" s="71"/>
      <c r="AD20" s="6"/>
      <c r="AE20" s="61"/>
      <c r="AF20" s="62"/>
      <c r="AH20" s="63"/>
      <c r="AI20" s="63"/>
      <c r="AJ20" s="64"/>
    </row>
    <row r="21" spans="2:36" s="44" customFormat="1" ht="19.5" customHeight="1">
      <c r="B21" s="83" t="s">
        <v>74</v>
      </c>
      <c r="C21" s="84" t="s">
        <v>75</v>
      </c>
      <c r="D21" s="78">
        <v>61.69</v>
      </c>
      <c r="E21" s="84" t="s">
        <v>50</v>
      </c>
      <c r="F21" s="84" t="s">
        <v>76</v>
      </c>
      <c r="G21" s="85">
        <v>40263</v>
      </c>
      <c r="H21" s="84" t="s">
        <v>77</v>
      </c>
      <c r="I21" s="86" t="s">
        <v>78</v>
      </c>
      <c r="J21" s="87" t="s">
        <v>79</v>
      </c>
      <c r="K21" s="74">
        <v>65</v>
      </c>
      <c r="L21" s="74">
        <v>68</v>
      </c>
      <c r="M21" s="74">
        <v>71</v>
      </c>
      <c r="N21" s="74">
        <v>77</v>
      </c>
      <c r="O21" s="74">
        <v>82</v>
      </c>
      <c r="P21" s="74">
        <v>86</v>
      </c>
      <c r="Q21" s="75">
        <f>IF(MAX(K21:M21)&gt;0,IF(MAX(K21:M21)&lt;0,0,TRUNC(MAX(K21:M21)/1)*1),"")</f>
        <v>71</v>
      </c>
      <c r="R21" s="76">
        <f>IF(MAX(N21:P21)&gt;0,IF(MAX(N21:P21)&lt;0,0,TRUNC(MAX(N21:P21)/1)*1),"")</f>
        <v>86</v>
      </c>
      <c r="S21" s="74">
        <f>IF(Q21="","",IF(R21="","",IF(SUM(Q21:R21)=0,"",SUM(Q21:R21))))</f>
        <v>157</v>
      </c>
      <c r="T21" s="77">
        <f>IF(S21="","",IF(D21="","",IF((AD21="k"),IF(D21&gt;153.757,S21,IF(D21&lt;28,10^(0.0787004341*LOG10(28/153.757)^2)*S21,10^(0.787004341*LOG10(D21/153.757)^2)*S21)),IF(D21&gt;193.609,S21,IF(D21&lt;32,10^(0.722762521*LOG10(32/193.609)^2)*S21,10^(0.722762521*LOG10(D21/193.609)^2)*S21)))))</f>
        <v>208.785991956944</v>
      </c>
      <c r="U21" s="78" t="str">
        <f>IF(AF21=1,T21*AI21,"")</f>
        <v/>
      </c>
      <c r="V21" s="79">
        <v>5.92</v>
      </c>
      <c r="W21" s="79">
        <v>8.5500000000000007</v>
      </c>
      <c r="X21" s="79">
        <v>7.63</v>
      </c>
      <c r="Y21" s="80"/>
      <c r="Z21" s="78"/>
      <c r="AA21" s="78">
        <v>1</v>
      </c>
      <c r="AB21" s="81"/>
      <c r="AC21" s="71">
        <f>U5</f>
        <v>46263</v>
      </c>
      <c r="AD21" s="60" t="str">
        <f>IF(ISNUMBER(FIND("M",E21)),"m",IF(ISNUMBER(FIND("K",E21)),"k"))</f>
        <v>k</v>
      </c>
      <c r="AE21" s="61">
        <f>IF(OR(G21="",AC21=""),0,(YEAR(AC21)-YEAR(G21)))</f>
        <v>16</v>
      </c>
      <c r="AF21" s="62">
        <f>IF(AE21&gt;34,1,0)</f>
        <v>0</v>
      </c>
      <c r="AG21" s="44" t="b">
        <f>IF(AF21=1,LOOKUP(AE21,'Meltzer-Faber'!A3:A63,'Meltzer-Faber'!B3:B63))</f>
        <v>0</v>
      </c>
      <c r="AH21" s="63" t="b">
        <f>IF(AF21=1,LOOKUP(AE21,'Meltzer-Faber'!A3:A63,'Meltzer-Faber'!C3:C63))</f>
        <v>0</v>
      </c>
      <c r="AI21" s="63" t="b">
        <f>IF(AD21="m",AG21,IF(AD21="k",AH21,""))</f>
        <v>0</v>
      </c>
      <c r="AJ21" s="64">
        <f>IF(D21="","",IF(D21&gt;193.609,1,IF(D21&lt;32,10^(0.722762521*LOG10(32/193.609)^2),10^(0.722762521*LOG10(D21/193.609)^2))))</f>
        <v>1.5077214684681319</v>
      </c>
    </row>
    <row r="22" spans="2:36" s="44" customFormat="1" ht="19.5" customHeight="1">
      <c r="B22" s="82"/>
      <c r="C22" s="3"/>
      <c r="D22" s="3"/>
      <c r="E22" s="3"/>
      <c r="F22" s="66"/>
      <c r="G22" s="67"/>
      <c r="H22" s="68"/>
      <c r="I22" s="69"/>
      <c r="J22" s="69"/>
      <c r="K22" s="173"/>
      <c r="L22" s="173"/>
      <c r="M22" s="173"/>
      <c r="N22" s="172"/>
      <c r="O22" s="172"/>
      <c r="P22" s="172"/>
      <c r="Q22" s="70"/>
      <c r="R22" s="3"/>
      <c r="S22" s="173">
        <f>IF(T21="","",T21*1.2)</f>
        <v>250.54319034833279</v>
      </c>
      <c r="T22" s="173"/>
      <c r="U22" s="3"/>
      <c r="V22" s="3">
        <f>IF(V21&gt;0,V21*20,"")</f>
        <v>118.4</v>
      </c>
      <c r="W22" s="3">
        <f>IF(W21="","",(W21*10)*AJ21)</f>
        <v>128.91018555402528</v>
      </c>
      <c r="X22" s="3">
        <f>IF(ROUNDUP(X21,1)&gt;0,IF((80+(8-ROUNDUP(X21,1))*40)&lt;0,0,80+(8-ROUNDUP(X21,1))*40),"")</f>
        <v>92.000000000000028</v>
      </c>
      <c r="Y22" s="4">
        <f>IF(SUM(V22,W22,X22)&gt;0,SUM(V22,W22,X22),"")</f>
        <v>339.31018555402534</v>
      </c>
      <c r="Z22" s="3">
        <f>IF(AE21&gt;34,(IF(OR(S22="",V22="",W22="",X22=""),"",SUM(S22,V22,W22,X22))*AI21),IF(OR(S22="",V22="",W22="",X22=""),"", SUM(S22,V22,W22,X22)))</f>
        <v>589.85337590235804</v>
      </c>
      <c r="AA22" s="3"/>
      <c r="AB22" s="66"/>
      <c r="AC22" s="71"/>
      <c r="AD22" s="6"/>
      <c r="AE22" s="61"/>
      <c r="AF22" s="62"/>
      <c r="AH22" s="63"/>
      <c r="AI22" s="63"/>
      <c r="AJ22" s="64"/>
    </row>
    <row r="23" spans="2:36" s="44" customFormat="1" ht="19.5" customHeight="1">
      <c r="B23" s="83" t="s">
        <v>80</v>
      </c>
      <c r="C23" s="84" t="s">
        <v>81</v>
      </c>
      <c r="D23" s="78">
        <v>47.49</v>
      </c>
      <c r="E23" s="84" t="s">
        <v>50</v>
      </c>
      <c r="F23" s="84" t="s">
        <v>76</v>
      </c>
      <c r="G23" s="85">
        <v>40848</v>
      </c>
      <c r="H23" s="84" t="s">
        <v>82</v>
      </c>
      <c r="I23" s="86" t="s">
        <v>83</v>
      </c>
      <c r="J23" s="87" t="s">
        <v>79</v>
      </c>
      <c r="K23" s="74">
        <v>47</v>
      </c>
      <c r="L23" s="74">
        <v>49</v>
      </c>
      <c r="M23" s="74">
        <v>-51</v>
      </c>
      <c r="N23" s="74">
        <v>59</v>
      </c>
      <c r="O23" s="74">
        <v>62</v>
      </c>
      <c r="P23" s="74">
        <v>65</v>
      </c>
      <c r="Q23" s="75">
        <f>IF(MAX(K23:M23)&gt;0,IF(MAX(K23:M23)&lt;0,0,TRUNC(MAX(K23:M23)/1)*1),"")</f>
        <v>49</v>
      </c>
      <c r="R23" s="76">
        <f>IF(MAX(N23:P23)&gt;0,IF(MAX(N23:P23)&lt;0,0,TRUNC(MAX(N23:P23)/1)*1),"")</f>
        <v>65</v>
      </c>
      <c r="S23" s="74">
        <f>IF(Q23="","",IF(R23="","",IF(SUM(Q23:R23)=0,"",SUM(Q23:R23))))</f>
        <v>114</v>
      </c>
      <c r="T23" s="77">
        <f>IF(S23="","",IF(D23="","",IF((AD23="k"),IF(D23&gt;153.757,S23,IF(C23&lt;28,10^(0.0787004341*LOG10(28/153.757)^2)*S23,10^(0.787004341*LOG10(D23/153.757)^2)*S23)),IF(D23&gt;193.609,S23,IF(D23&lt;32,10^(0.722762521*LOG10(32/193.609)^2)*S23,10^(0.722762521*LOG10(D23/193.609)^2)*S23)))))</f>
        <v>182.7222959000799</v>
      </c>
      <c r="U23" s="78" t="str">
        <f>IF(AF23=1,T23*AI23,"")</f>
        <v/>
      </c>
      <c r="V23" s="79">
        <v>6.39</v>
      </c>
      <c r="W23" s="79">
        <v>7.74</v>
      </c>
      <c r="X23" s="79">
        <v>7.62</v>
      </c>
      <c r="Y23" s="80"/>
      <c r="Z23" s="78"/>
      <c r="AA23" s="78">
        <v>2</v>
      </c>
      <c r="AB23" s="81"/>
      <c r="AC23" s="71">
        <f>U5</f>
        <v>46263</v>
      </c>
      <c r="AD23" s="60" t="str">
        <f>IF(ISNUMBER(FIND("M",E23)),"m",IF(ISNUMBER(FIND("K",E23)),"k"))</f>
        <v>k</v>
      </c>
      <c r="AE23" s="92">
        <f>IF(OR(G23="",AC23=""),0,(YEAR(AC23)-YEAR(G23)))</f>
        <v>15</v>
      </c>
      <c r="AF23" s="62">
        <f>IF(AE23&gt;34,1,0)</f>
        <v>0</v>
      </c>
      <c r="AG23" s="44" t="b">
        <f>IF(AF23=1,LOOKUP(AE23,'Meltzer-Faber'!A3:A63,'Meltzer-Faber'!B3:B63))</f>
        <v>0</v>
      </c>
      <c r="AH23" s="63" t="b">
        <f>IF(AF23=1,LOOKUP(AE23,'Meltzer-Faber'!A3:A63,'Meltzer-Faber'!C3:C63))</f>
        <v>0</v>
      </c>
      <c r="AI23" s="63" t="b">
        <f>IF(AD23="m",AG23,IF(AD23="k",AH23,""))</f>
        <v>0</v>
      </c>
      <c r="AJ23" s="64">
        <f>IF(D23="","",IF(D23&gt;193.609,1,IF(D23&lt;32,10^(0.722762521*LOG10(32/193.609)^2),10^(0.722762521*LOG10(D23/193.609)^2))))</f>
        <v>1.8587678394077782</v>
      </c>
    </row>
    <row r="24" spans="2:36" s="44" customFormat="1" ht="19.5" customHeight="1">
      <c r="B24" s="82"/>
      <c r="C24" s="3"/>
      <c r="D24" s="3"/>
      <c r="E24" s="3"/>
      <c r="F24" s="66"/>
      <c r="G24" s="67"/>
      <c r="H24" s="68"/>
      <c r="I24" s="69"/>
      <c r="J24" s="69"/>
      <c r="K24" s="173"/>
      <c r="L24" s="173"/>
      <c r="M24" s="173"/>
      <c r="N24" s="172"/>
      <c r="O24" s="172"/>
      <c r="P24" s="172"/>
      <c r="Q24" s="70"/>
      <c r="R24" s="3"/>
      <c r="S24" s="173">
        <f>IF(T23="","",T23*1.2)</f>
        <v>219.26675508009586</v>
      </c>
      <c r="T24" s="173"/>
      <c r="U24" s="3"/>
      <c r="V24" s="3">
        <f>IF(V23&gt;0,V23*20,"")</f>
        <v>127.8</v>
      </c>
      <c r="W24" s="3">
        <f>IF(W23="","",(W23*10)*AJ23)</f>
        <v>143.86863077016204</v>
      </c>
      <c r="X24" s="3">
        <f>IF(ROUNDUP(X23,1)&gt;0,IF((80+(8-ROUNDUP(X23,1))*40)&lt;0,0,80+(8-ROUNDUP(X23,1))*40),"")</f>
        <v>92.000000000000028</v>
      </c>
      <c r="Y24" s="4">
        <f>IF(SUM(V24,W24,X24)&gt;0,SUM(V24,W24,X24),"")</f>
        <v>363.66863077016205</v>
      </c>
      <c r="Z24" s="3">
        <f>IF(AE23&gt;34,(IF(OR(S24="",V24="",W24="",X24=""),"",SUM(S24,V24,W24,X24))*AI23),IF(OR(S24="",V24="",W24="",X24=""),"", SUM(S24,V24,W24,X24)))</f>
        <v>582.93538585025794</v>
      </c>
      <c r="AA24" s="3"/>
      <c r="AB24" s="66"/>
      <c r="AC24" s="71"/>
      <c r="AD24" s="6"/>
      <c r="AE24" s="61"/>
      <c r="AF24" s="62"/>
      <c r="AH24" s="63"/>
      <c r="AI24" s="63"/>
      <c r="AJ24" s="64"/>
    </row>
    <row r="25" spans="2:36" s="44" customFormat="1" ht="19.5" customHeight="1">
      <c r="B25" s="83" t="s">
        <v>84</v>
      </c>
      <c r="C25" s="84" t="s">
        <v>85</v>
      </c>
      <c r="D25" s="78">
        <v>42.95</v>
      </c>
      <c r="E25" s="84" t="s">
        <v>50</v>
      </c>
      <c r="F25" s="84" t="s">
        <v>76</v>
      </c>
      <c r="G25" s="85">
        <v>40877</v>
      </c>
      <c r="H25" s="84" t="s">
        <v>86</v>
      </c>
      <c r="I25" s="86" t="s">
        <v>87</v>
      </c>
      <c r="J25" s="87" t="s">
        <v>54</v>
      </c>
      <c r="K25" s="74">
        <v>30</v>
      </c>
      <c r="L25" s="74">
        <v>-33</v>
      </c>
      <c r="M25" s="74">
        <v>33</v>
      </c>
      <c r="N25" s="74">
        <v>40</v>
      </c>
      <c r="O25" s="74">
        <v>-43</v>
      </c>
      <c r="P25" s="74">
        <v>43</v>
      </c>
      <c r="Q25" s="75">
        <f>IF(MAX(K25:M25)&gt;0,IF(MAX(K25:M25)&lt;0,0,TRUNC(MAX(K25:M25)/1)*1),"")</f>
        <v>33</v>
      </c>
      <c r="R25" s="76">
        <f>IF(MAX(N25:P25)&gt;0,IF(MAX(N25:P25)&lt;0,0,TRUNC(MAX(N25:P25)/1)*1),"")</f>
        <v>43</v>
      </c>
      <c r="S25" s="74">
        <f>IF(Q25="","",IF(R25="","",IF(SUM(Q25:R25)=0,"",SUM(Q25:R25))))</f>
        <v>76</v>
      </c>
      <c r="T25" s="77">
        <f>IF(S25="","",IF(D25="","",IF((AD25="k"),IF(D25&gt;153.757,S25,IF(C25&lt;28,10^(0.0787004341*LOG10(28/153.757)^2)*S25,10^(0.787004341*LOG10(D25/153.757)^2)*S25)),IF(D25&gt;193.609,S25,IF(D25&lt;32,10^(0.722762521*LOG10(32/193.609)^2)*S25,10^(0.722762521*LOG10(D25/193.609)^2)*S25)))))</f>
        <v>132.50918314658429</v>
      </c>
      <c r="U25" s="78" t="str">
        <f>IF(AF25=1,T25*AI25,"")</f>
        <v/>
      </c>
      <c r="V25" s="79">
        <v>7.01</v>
      </c>
      <c r="W25" s="79">
        <v>8.2100000000000009</v>
      </c>
      <c r="X25" s="79">
        <v>7.36</v>
      </c>
      <c r="Y25" s="80"/>
      <c r="Z25" s="78"/>
      <c r="AA25" s="78">
        <v>3</v>
      </c>
      <c r="AB25" s="81"/>
      <c r="AC25" s="71">
        <f>U5</f>
        <v>46263</v>
      </c>
      <c r="AD25" s="60" t="str">
        <f>IF(ISNUMBER(FIND("M",E25)),"m",IF(ISNUMBER(FIND("K",E25)),"k"))</f>
        <v>k</v>
      </c>
      <c r="AE25" s="92">
        <f>IF(OR(G25="",AC25=""),0,(YEAR(AC25)-YEAR(G25)))</f>
        <v>15</v>
      </c>
      <c r="AF25" s="62">
        <f>IF(AE25&gt;34,1,0)</f>
        <v>0</v>
      </c>
      <c r="AG25" s="44" t="b">
        <f>IF(AF25=1,LOOKUP(AE25,'Meltzer-Faber'!A3:A63,'Meltzer-Faber'!B3:B63))</f>
        <v>0</v>
      </c>
      <c r="AH25" s="63" t="b">
        <f>IF(AF25=1,LOOKUP(AE25,'Meltzer-Faber'!A3:A63,'Meltzer-Faber'!C3:C63))</f>
        <v>0</v>
      </c>
      <c r="AI25" s="63" t="b">
        <f>IF(AD25="m",AG25,IF(AD25="k",AH25,""))</f>
        <v>0</v>
      </c>
      <c r="AJ25" s="64">
        <f>IF(D25="","",IF(D25&gt;193.609,1,IF(D25&lt;32,10^(0.722762521*LOG10(32/193.609)^2),10^(0.722762521*LOG10(D25/193.609)^2))))</f>
        <v>2.0375183302591942</v>
      </c>
    </row>
    <row r="26" spans="2:36" s="44" customFormat="1" ht="19.5" customHeight="1">
      <c r="B26" s="82"/>
      <c r="C26" s="3"/>
      <c r="D26" s="3"/>
      <c r="E26" s="3"/>
      <c r="F26" s="66"/>
      <c r="G26" s="67"/>
      <c r="H26" s="68"/>
      <c r="I26" s="69"/>
      <c r="J26" s="69"/>
      <c r="K26" s="173"/>
      <c r="L26" s="173"/>
      <c r="M26" s="173"/>
      <c r="N26" s="172"/>
      <c r="O26" s="172"/>
      <c r="P26" s="172"/>
      <c r="Q26" s="70"/>
      <c r="R26" s="3"/>
      <c r="S26" s="173">
        <f>IF(T25="","",T25*1.2)</f>
        <v>159.01101977590113</v>
      </c>
      <c r="T26" s="173"/>
      <c r="U26" s="3"/>
      <c r="V26" s="3">
        <f>IF(V25&gt;0,V25*20,"")</f>
        <v>140.19999999999999</v>
      </c>
      <c r="W26" s="3">
        <f>IF(W25="","",(W25*10)*AJ25)</f>
        <v>167.28025491427985</v>
      </c>
      <c r="X26" s="3">
        <f>IF(ROUNDUP(X25,1)&gt;0,IF((80+(8-ROUNDUP(X25,1))*40)&lt;0,0,80+(8-ROUNDUP(X25,1))*40),"")</f>
        <v>104.00000000000003</v>
      </c>
      <c r="Y26" s="4">
        <f>IF(SUM(V26,W26,X26)&gt;0,SUM(V26,W26,X26),"")</f>
        <v>411.48025491427984</v>
      </c>
      <c r="Z26" s="3">
        <f>IF(AE25&gt;34,(IF(OR(S26="",V26="",W26="",X26=""),"",SUM(S26,V26,W26,X26))*AI25),IF(OR(S26="",V26="",W26="",X26=""),"", SUM(S26,V26,W26,X26)))</f>
        <v>570.49127469018106</v>
      </c>
      <c r="AA26" s="3"/>
      <c r="AB26" s="66"/>
      <c r="AC26" s="71"/>
      <c r="AD26" s="6"/>
      <c r="AE26" s="61"/>
      <c r="AF26" s="62"/>
      <c r="AH26" s="63"/>
      <c r="AI26" s="63"/>
      <c r="AJ26" s="64"/>
    </row>
    <row r="27" spans="2:36" s="44" customFormat="1" ht="19.5" customHeight="1">
      <c r="B27" s="83" t="s">
        <v>88</v>
      </c>
      <c r="C27" s="93" t="s">
        <v>85</v>
      </c>
      <c r="D27" s="78">
        <v>43.21</v>
      </c>
      <c r="E27" s="94" t="s">
        <v>50</v>
      </c>
      <c r="F27" s="95" t="s">
        <v>89</v>
      </c>
      <c r="G27" s="85">
        <v>39944</v>
      </c>
      <c r="H27" s="84" t="s">
        <v>90</v>
      </c>
      <c r="I27" s="87" t="s">
        <v>91</v>
      </c>
      <c r="J27" s="87" t="s">
        <v>92</v>
      </c>
      <c r="K27" s="96">
        <v>-40</v>
      </c>
      <c r="L27" s="97">
        <v>40</v>
      </c>
      <c r="M27" s="97">
        <v>-44</v>
      </c>
      <c r="N27" s="97">
        <v>55</v>
      </c>
      <c r="O27" s="98">
        <v>58</v>
      </c>
      <c r="P27" s="98">
        <v>-60</v>
      </c>
      <c r="Q27" s="75">
        <f>IF(MAX(K27:M27)&gt;0,IF(MAX(K27:M27)&lt;0,0,TRUNC(MAX(K27:M27)/1)*1),"")</f>
        <v>40</v>
      </c>
      <c r="R27" s="76">
        <f>IF(MAX(N27:P27)&gt;0,IF(MAX(N27:P27)&lt;0,0,TRUNC(MAX(N27:P27)/1)*1),"")</f>
        <v>58</v>
      </c>
      <c r="S27" s="74">
        <f>IF(Q27="","",IF(R27="","",IF(SUM(Q27:R27)=0,"",SUM(Q27:R27))))</f>
        <v>98</v>
      </c>
      <c r="T27" s="77">
        <f>IF(S27="","",IF(D27="","",IF((AD27="k"),IF(D27&gt;153.757,S27,IF(C27&lt;28,10^(0.0787004341*LOG10(28/153.757)^2)*S27,10^(0.787004341*LOG10(D27/153.757)^2)*S27)),IF(D27&gt;193.609,S27,IF(D27&lt;32,10^(0.722762521*LOG10(32/193.609)^2)*S27,10^(0.722762521*LOG10(D27/193.609)^2)*S27)))))</f>
        <v>169.97255258145086</v>
      </c>
      <c r="U27" s="78" t="str">
        <f>IF(AF27=1,T27*AI27,"")</f>
        <v/>
      </c>
      <c r="V27" s="79">
        <v>7.06</v>
      </c>
      <c r="W27" s="79">
        <v>9.0500000000000007</v>
      </c>
      <c r="X27" s="79">
        <v>7</v>
      </c>
      <c r="Y27" s="80"/>
      <c r="Z27" s="78"/>
      <c r="AA27" s="78">
        <v>1</v>
      </c>
      <c r="AB27" s="81"/>
      <c r="AC27" s="71">
        <f>U5</f>
        <v>46263</v>
      </c>
      <c r="AD27" s="60" t="str">
        <f>IF(ISNUMBER(FIND("M",E27)),"m",IF(ISNUMBER(FIND("K",E27)),"k"))</f>
        <v>k</v>
      </c>
      <c r="AE27" s="92">
        <f>IF(OR(G27="",AC27=""),0,(YEAR(AC27)-YEAR(G27)))</f>
        <v>17</v>
      </c>
      <c r="AF27" s="62">
        <f>IF(AE27&gt;34,1,0)</f>
        <v>0</v>
      </c>
      <c r="AG27" s="44" t="b">
        <f>IF(AF27=1,LOOKUP(AE27,'Meltzer-Faber'!A3:A63,'Meltzer-Faber'!B3:B63))</f>
        <v>0</v>
      </c>
      <c r="AH27" s="63" t="b">
        <f>IF(AF27=1,LOOKUP(AE27,'Meltzer-Faber'!A3:A63,'Meltzer-Faber'!C3:C63))</f>
        <v>0</v>
      </c>
      <c r="AI27" s="63" t="b">
        <f>IF(AD27="m",AG27,IF(AD27="k",AH27,""))</f>
        <v>0</v>
      </c>
      <c r="AJ27" s="64">
        <f>IF(D27="","",IF(D27&gt;193.609,1,IF(D27&lt;32,10^(0.722762521*LOG10(32/193.609)^2),10^(0.722762521*LOG10(D27/193.609)^2))))</f>
        <v>2.025949968670552</v>
      </c>
    </row>
    <row r="28" spans="2:36" s="44" customFormat="1" ht="19.5" customHeight="1">
      <c r="B28" s="82"/>
      <c r="C28" s="99"/>
      <c r="D28" s="3"/>
      <c r="E28" s="66"/>
      <c r="F28" s="66"/>
      <c r="G28" s="67"/>
      <c r="H28" s="67"/>
      <c r="I28" s="69"/>
      <c r="J28" s="69"/>
      <c r="K28" s="172"/>
      <c r="L28" s="172"/>
      <c r="M28" s="172"/>
      <c r="N28" s="172"/>
      <c r="O28" s="172"/>
      <c r="P28" s="172"/>
      <c r="Q28" s="70"/>
      <c r="R28" s="3"/>
      <c r="S28" s="173">
        <f>IF(T27="","",T27*1.2)</f>
        <v>203.96706309774103</v>
      </c>
      <c r="T28" s="173"/>
      <c r="U28" s="3"/>
      <c r="V28" s="3">
        <f>IF(V27&gt;0,V27*20,"")</f>
        <v>141.19999999999999</v>
      </c>
      <c r="W28" s="3">
        <f>IF(W27="","",(W27*10)*AJ27)</f>
        <v>183.34847216468495</v>
      </c>
      <c r="X28" s="3">
        <f>IF(ROUNDUP(X27,1)&gt;0,IF((80+(8-ROUNDUP(X27,1))*40)&lt;0,0,80+(8-ROUNDUP(X27,1))*40),"")</f>
        <v>120</v>
      </c>
      <c r="Y28" s="4">
        <f>IF(SUM(V28,W28,X28)&gt;0,SUM(V28,W28,X28),"")</f>
        <v>444.54847216468494</v>
      </c>
      <c r="Z28" s="3">
        <f>IF(AE27&gt;34,(IF(OR(S28="",V28="",W28="",X28=""),"",SUM(S28,V28,W28,X28))*AI27),IF(OR(S28="",V28="",W28="",X28=""),"", SUM(S28,V28,W28,X28)))</f>
        <v>648.51553526242594</v>
      </c>
      <c r="AA28" s="3"/>
      <c r="AB28" s="66"/>
      <c r="AC28" s="71"/>
      <c r="AD28" s="6"/>
      <c r="AE28" s="61"/>
      <c r="AF28" s="62"/>
      <c r="AH28" s="63"/>
      <c r="AI28" s="63"/>
      <c r="AJ28" s="64"/>
    </row>
    <row r="29" spans="2:36" s="44" customFormat="1" ht="19.5" customHeight="1">
      <c r="B29" s="83" t="s">
        <v>93</v>
      </c>
      <c r="C29" s="100" t="s">
        <v>75</v>
      </c>
      <c r="D29" s="101">
        <v>63.83</v>
      </c>
      <c r="E29" s="102" t="s">
        <v>50</v>
      </c>
      <c r="F29" s="103" t="s">
        <v>89</v>
      </c>
      <c r="G29" s="104">
        <v>39927</v>
      </c>
      <c r="H29" s="103" t="s">
        <v>94</v>
      </c>
      <c r="I29" s="105" t="s">
        <v>95</v>
      </c>
      <c r="J29" s="106" t="s">
        <v>96</v>
      </c>
      <c r="K29" s="96">
        <v>60</v>
      </c>
      <c r="L29" s="97">
        <v>-64</v>
      </c>
      <c r="M29" s="97">
        <v>-66</v>
      </c>
      <c r="N29" s="97">
        <v>70</v>
      </c>
      <c r="O29" s="98" t="s">
        <v>97</v>
      </c>
      <c r="P29" s="98" t="s">
        <v>97</v>
      </c>
      <c r="Q29" s="75">
        <f>IF(MAX(K29:M29)&gt;0,IF(MAX(K29:M29)&lt;0,0,TRUNC(MAX(K29:M29)/1)*1),"")</f>
        <v>60</v>
      </c>
      <c r="R29" s="76">
        <f>IF(MAX(N29:P29)&gt;0,IF(MAX(N29:P29)&lt;0,0,TRUNC(MAX(N29:P29)/1)*1),"")</f>
        <v>70</v>
      </c>
      <c r="S29" s="74">
        <f>IF(Q29="","",IF(R29="","",IF(SUM(Q29:R29)=0,"",SUM(Q29:R29))))</f>
        <v>130</v>
      </c>
      <c r="T29" s="77">
        <f>IF(S29="","",IF(D29="","",IF((AD29="k"),IF(D29&gt;153.757,S29,IF(C29&lt;28,10^(0.0787004341*LOG10(28/153.757)^2)*S29,10^(0.787004341*LOG10(D29/153.757)^2)*S29)),IF(D29&gt;193.609,S29,IF(D29&lt;32,10^(0.722762521*LOG10(32/193.609)^2)*S29,10^(0.722762521*LOG10(D29/193.609)^2)*S29)))))</f>
        <v>169.30586075492778</v>
      </c>
      <c r="U29" s="78" t="str">
        <f>IF(AF29=1,T29*AI29,"")</f>
        <v/>
      </c>
      <c r="V29" s="79">
        <v>6.72</v>
      </c>
      <c r="W29" s="79">
        <v>11.12</v>
      </c>
      <c r="X29" s="79">
        <v>7.27</v>
      </c>
      <c r="Y29" s="80"/>
      <c r="Z29" s="78"/>
      <c r="AA29" s="78">
        <v>2</v>
      </c>
      <c r="AB29" s="81"/>
      <c r="AC29" s="71">
        <f>U5</f>
        <v>46263</v>
      </c>
      <c r="AD29" s="60" t="str">
        <f>IF(ISNUMBER(FIND("M",E29)),"m",IF(ISNUMBER(FIND("K",E29)),"k"))</f>
        <v>k</v>
      </c>
      <c r="AE29" s="92">
        <f>IF(OR(G29="",AC29=""),0,(YEAR(AC29)-YEAR(G29)))</f>
        <v>17</v>
      </c>
      <c r="AF29" s="62">
        <f>IF(AE29&gt;34,1,0)</f>
        <v>0</v>
      </c>
      <c r="AG29" s="44" t="b">
        <f>IF(AF29=1,LOOKUP(AE29,'Meltzer-Faber'!A3:A63,'Meltzer-Faber'!B3:B63))</f>
        <v>0</v>
      </c>
      <c r="AH29" s="63" t="b">
        <f>IF(AF29=1,LOOKUP(AE29,'Meltzer-Faber'!A3:A63,'Meltzer-Faber'!C3:C63))</f>
        <v>0</v>
      </c>
      <c r="AI29" s="63" t="b">
        <f>IF(AD29="m",AG29,IF(AD29="k",AH29,""))</f>
        <v>0</v>
      </c>
      <c r="AJ29" s="64">
        <f>IF(D29="","",IF(D29&gt;193.609,1,IF(D29&lt;32,10^(0.722762521*LOG10(32/193.609)^2),10^(0.722762521*LOG10(D29/193.609)^2))))</f>
        <v>1.4717901722815654</v>
      </c>
    </row>
    <row r="30" spans="2:36" s="44" customFormat="1" ht="19.5" customHeight="1">
      <c r="B30" s="82"/>
      <c r="C30" s="107"/>
      <c r="D30" s="108"/>
      <c r="E30" s="109"/>
      <c r="F30" s="110"/>
      <c r="G30" s="111"/>
      <c r="H30" s="112"/>
      <c r="I30" s="113"/>
      <c r="J30" s="113"/>
      <c r="K30" s="172"/>
      <c r="L30" s="172"/>
      <c r="M30" s="172"/>
      <c r="N30" s="172"/>
      <c r="O30" s="172"/>
      <c r="P30" s="172"/>
      <c r="Q30" s="70"/>
      <c r="R30" s="3"/>
      <c r="S30" s="173">
        <f>IF(T29="","",T29*1.2)</f>
        <v>203.16703290591332</v>
      </c>
      <c r="T30" s="173"/>
      <c r="U30" s="3"/>
      <c r="V30" s="3">
        <f>IF(V29&gt;0,V29*20,"")</f>
        <v>134.4</v>
      </c>
      <c r="W30" s="3">
        <f>IF(W29="","",(W29*10)*AJ29)</f>
        <v>163.66306715771006</v>
      </c>
      <c r="X30" s="3">
        <f>IF(ROUNDUP(X29,1)&gt;0,IF((80+(8-ROUNDUP(X29,1))*40)&lt;0,0,80+(8-ROUNDUP(X29,1))*40),"")</f>
        <v>108</v>
      </c>
      <c r="Y30" s="4">
        <f>IF(SUM(V30,W30,X30)&gt;0,SUM(V30,W30,X30),"")</f>
        <v>406.06306715771007</v>
      </c>
      <c r="Z30" s="3">
        <f>IF(AE29&gt;34,(IF(OR(S30="",V30="",W30="",X30=""),"",SUM(S30,V30,W30,X30))*AI29),IF(OR(S30="",V30="",W30="",X30=""),"", SUM(S30,V30,W30,X30)))</f>
        <v>609.23010006362335</v>
      </c>
      <c r="AA30" s="3"/>
      <c r="AB30" s="66"/>
      <c r="AC30" s="71"/>
      <c r="AD30" s="6"/>
      <c r="AE30" s="61"/>
      <c r="AF30" s="62"/>
      <c r="AH30" s="63"/>
      <c r="AI30" s="63"/>
      <c r="AJ30" s="64"/>
    </row>
    <row r="31" spans="2:36" s="44" customFormat="1" ht="19.5" customHeight="1">
      <c r="B31" s="83" t="s">
        <v>98</v>
      </c>
      <c r="C31" s="100" t="s">
        <v>75</v>
      </c>
      <c r="D31" s="101">
        <v>64.73</v>
      </c>
      <c r="E31" s="102" t="s">
        <v>50</v>
      </c>
      <c r="F31" s="102" t="s">
        <v>89</v>
      </c>
      <c r="G31" s="104">
        <v>40152</v>
      </c>
      <c r="H31" s="103" t="s">
        <v>99</v>
      </c>
      <c r="I31" s="105" t="s">
        <v>100</v>
      </c>
      <c r="J31" s="106" t="s">
        <v>54</v>
      </c>
      <c r="K31" s="96">
        <v>47</v>
      </c>
      <c r="L31" s="97">
        <v>50</v>
      </c>
      <c r="M31" s="97">
        <v>-52</v>
      </c>
      <c r="N31" s="97">
        <v>53</v>
      </c>
      <c r="O31" s="98">
        <v>-56</v>
      </c>
      <c r="P31" s="98">
        <v>-56</v>
      </c>
      <c r="Q31" s="75">
        <f>IF(MAX(K31:M31)&gt;0,IF(MAX(K31:M31)&lt;0,0,TRUNC(MAX(K31:M31)/1)*1),"")</f>
        <v>50</v>
      </c>
      <c r="R31" s="76">
        <f>IF(MAX(N31:P31)&gt;0,IF(MAX(N31:P31)&lt;0,0,TRUNC(MAX(N31:P31)/1)*1),"")</f>
        <v>53</v>
      </c>
      <c r="S31" s="74">
        <f>IF(Q31="","",IF(R31="","",IF(SUM(Q31:R31)=0,"",SUM(Q31:R31))))</f>
        <v>103</v>
      </c>
      <c r="T31" s="77">
        <f>IF(S31="","",IF(D31="","",IF((AD31="k"),IF(D31&gt;153.757,S31,IF(C31&lt;28,10^(0.0787004341*LOG10(28/153.757)^2)*S31,10^(0.787004341*LOG10(D31/153.757)^2)*S31)),IF(D31&gt;193.609,S31,IF(D31&lt;32,10^(0.722762521*LOG10(32/193.609)^2)*S31,10^(0.722762521*LOG10(D31/193.609)^2)*S31)))))</f>
        <v>133.02724422228692</v>
      </c>
      <c r="U31" s="78" t="str">
        <f>IF(AF31=1,T31*AI31,"")</f>
        <v/>
      </c>
      <c r="V31" s="79">
        <v>5.79</v>
      </c>
      <c r="W31" s="79">
        <v>8.6999999999999993</v>
      </c>
      <c r="X31" s="79">
        <v>7.83</v>
      </c>
      <c r="Y31" s="80"/>
      <c r="Z31" s="78"/>
      <c r="AA31" s="78">
        <v>3</v>
      </c>
      <c r="AB31" s="81"/>
      <c r="AC31" s="71">
        <f>U5</f>
        <v>46263</v>
      </c>
      <c r="AD31" s="60" t="str">
        <f>IF(ISNUMBER(FIND("M",E31)),"m",IF(ISNUMBER(FIND("K",E31)),"k"))</f>
        <v>k</v>
      </c>
      <c r="AE31" s="92">
        <f>IF(OR(G31="",AC31=""),0,(YEAR(AC31)-YEAR(G31)))</f>
        <v>17</v>
      </c>
      <c r="AF31" s="62">
        <f>IF(AE31&gt;34,1,0)</f>
        <v>0</v>
      </c>
      <c r="AG31" s="44" t="b">
        <f>IF(AF31=1,LOOKUP(AE31,'Meltzer-Faber'!A3:A63,'Meltzer-Faber'!B3:B63))</f>
        <v>0</v>
      </c>
      <c r="AH31" s="63" t="b">
        <f>IF(AF31=1,LOOKUP(AE31,'Meltzer-Faber'!A3:A63,'Meltzer-Faber'!C3:C63))</f>
        <v>0</v>
      </c>
      <c r="AI31" s="63" t="b">
        <f>IF(AD31="m",AG31,IF(AD31="k",AH31,""))</f>
        <v>0</v>
      </c>
      <c r="AJ31" s="64">
        <f>IF(D31="","",IF(D31&gt;193.609,1,IF(D31&lt;32,10^(0.722762521*LOG10(32/193.609)^2),10^(0.722762521*LOG10(D31/193.609)^2))))</f>
        <v>1.4575946545548286</v>
      </c>
    </row>
    <row r="32" spans="2:36" s="44" customFormat="1" ht="19.5" customHeight="1">
      <c r="B32" s="82"/>
      <c r="C32" s="107"/>
      <c r="D32" s="108"/>
      <c r="E32" s="109"/>
      <c r="F32" s="110"/>
      <c r="G32" s="111"/>
      <c r="H32" s="112"/>
      <c r="I32" s="113"/>
      <c r="J32" s="113"/>
      <c r="K32" s="172"/>
      <c r="L32" s="172"/>
      <c r="M32" s="172"/>
      <c r="N32" s="172"/>
      <c r="O32" s="172"/>
      <c r="P32" s="172"/>
      <c r="Q32" s="70"/>
      <c r="R32" s="3"/>
      <c r="S32" s="173">
        <f>IF(T31="","",T31*1.2)</f>
        <v>159.63269306674431</v>
      </c>
      <c r="T32" s="173"/>
      <c r="U32" s="3"/>
      <c r="V32" s="3">
        <f>IF(V31&gt;0,V31*20,"")</f>
        <v>115.8</v>
      </c>
      <c r="W32" s="3">
        <f>IF(W31="","",(W31*10)*AJ31)</f>
        <v>126.81073494627009</v>
      </c>
      <c r="X32" s="3">
        <f>IF(ROUNDUP(X31,1)&gt;0,IF((80+(8-ROUNDUP(X31,1))*40)&lt;0,0,80+(8-ROUNDUP(X31,1))*40),"")</f>
        <v>84.000000000000028</v>
      </c>
      <c r="Y32" s="4">
        <f>IF(SUM(V32,W32,X32)&gt;0,SUM(V32,W32,X32),"")</f>
        <v>326.6107349462701</v>
      </c>
      <c r="Z32" s="3">
        <f>IF(AE31&gt;34,(IF(OR(S32="",V32="",W32="",X32=""),"",SUM(S32,V32,W32,X32))*AI31),IF(OR(S32="",V32="",W32="",X32=""),"", SUM(S32,V32,W32,X32)))</f>
        <v>486.24342801301441</v>
      </c>
      <c r="AA32" s="3"/>
      <c r="AB32" s="66"/>
      <c r="AC32" s="71"/>
      <c r="AD32" s="6"/>
      <c r="AE32" s="61"/>
      <c r="AF32" s="62"/>
      <c r="AH32" s="63"/>
      <c r="AI32" s="63"/>
      <c r="AJ32" s="64"/>
    </row>
    <row r="33" spans="2:35" s="114" customFormat="1" ht="18.75" customHeight="1">
      <c r="D33" s="115"/>
      <c r="E33" s="116"/>
      <c r="F33" s="116"/>
      <c r="G33" s="116"/>
      <c r="H33" s="117"/>
      <c r="K33" s="118"/>
      <c r="L33" s="119"/>
      <c r="M33" s="118"/>
      <c r="N33" s="118" t="s">
        <v>101</v>
      </c>
      <c r="O33" s="118"/>
      <c r="P33" s="118"/>
      <c r="Q33" s="116"/>
      <c r="R33" s="116"/>
      <c r="S33" s="116"/>
      <c r="T33" s="120"/>
      <c r="U33" s="120"/>
      <c r="V33" s="120"/>
      <c r="W33" s="120"/>
      <c r="X33" s="120"/>
      <c r="Y33" s="120"/>
      <c r="Z33" s="120"/>
      <c r="AA33" s="120"/>
      <c r="AB33" s="120"/>
      <c r="AC33" s="6"/>
      <c r="AD33" s="121"/>
      <c r="AE33" s="122">
        <f>(YEAR(AC33)-YEAR(G33))</f>
        <v>0</v>
      </c>
      <c r="AF33" s="62">
        <f>IF(AE35&gt;34,1,0)</f>
        <v>0</v>
      </c>
      <c r="AH33" s="117"/>
      <c r="AI33" s="117"/>
    </row>
    <row r="34" spans="2:35" s="114" customFormat="1" ht="21" customHeight="1">
      <c r="D34" s="115"/>
      <c r="E34" s="116"/>
      <c r="F34" s="116"/>
      <c r="G34" s="116"/>
      <c r="H34" s="117"/>
      <c r="K34" s="118"/>
      <c r="L34" s="119"/>
      <c r="M34" s="118"/>
      <c r="N34" s="118"/>
      <c r="O34" s="118"/>
      <c r="P34" s="118"/>
      <c r="Q34" s="116"/>
      <c r="R34" s="116"/>
      <c r="S34" s="116"/>
      <c r="T34" s="120"/>
      <c r="U34" s="120"/>
      <c r="V34" s="120"/>
      <c r="W34" s="120"/>
      <c r="X34" s="120"/>
      <c r="Y34" s="120"/>
      <c r="Z34" s="120"/>
      <c r="AA34" s="120"/>
      <c r="AB34" s="120"/>
      <c r="AC34" s="6"/>
      <c r="AD34" s="121"/>
      <c r="AE34" s="122"/>
      <c r="AF34" s="62"/>
      <c r="AH34" s="117"/>
      <c r="AI34" s="117"/>
    </row>
    <row r="35" spans="2:35" ht="22.5" customHeight="1">
      <c r="B35" s="166" t="s">
        <v>102</v>
      </c>
      <c r="C35" s="166"/>
      <c r="D35" s="123" t="s">
        <v>14</v>
      </c>
      <c r="E35" s="166" t="s">
        <v>21</v>
      </c>
      <c r="F35" s="166"/>
      <c r="G35" s="166"/>
      <c r="H35" s="166"/>
      <c r="I35" s="2" t="s">
        <v>103</v>
      </c>
      <c r="J35" s="124"/>
      <c r="K35" s="166" t="s">
        <v>102</v>
      </c>
      <c r="L35" s="166"/>
      <c r="M35" s="166"/>
      <c r="N35" s="1" t="s">
        <v>14</v>
      </c>
      <c r="O35" s="167" t="s">
        <v>21</v>
      </c>
      <c r="P35" s="167"/>
      <c r="Q35" s="167"/>
      <c r="R35" s="167"/>
      <c r="S35" s="167" t="s">
        <v>103</v>
      </c>
      <c r="T35" s="167"/>
      <c r="U35" s="12"/>
      <c r="V35" s="12"/>
      <c r="W35" s="12"/>
      <c r="X35" s="12"/>
      <c r="Y35" s="12"/>
      <c r="Z35" s="12"/>
      <c r="AA35" s="12"/>
      <c r="AB35" s="12"/>
      <c r="AF35" s="6"/>
      <c r="AH35" s="125"/>
      <c r="AI35" s="125"/>
    </row>
    <row r="36" spans="2:35" s="16" customFormat="1" ht="19.5" customHeight="1">
      <c r="B36" s="168" t="s">
        <v>104</v>
      </c>
      <c r="C36" s="168"/>
      <c r="D36" s="126" t="s">
        <v>105</v>
      </c>
      <c r="E36" s="169" t="s">
        <v>106</v>
      </c>
      <c r="F36" s="169"/>
      <c r="G36" s="169"/>
      <c r="H36" s="169"/>
      <c r="I36" s="127" t="s">
        <v>107</v>
      </c>
      <c r="J36" s="8"/>
      <c r="K36" s="168" t="s">
        <v>108</v>
      </c>
      <c r="L36" s="168"/>
      <c r="M36" s="168"/>
      <c r="N36" s="128" t="s">
        <v>109</v>
      </c>
      <c r="O36" s="170" t="s">
        <v>110</v>
      </c>
      <c r="P36" s="170"/>
      <c r="Q36" s="170"/>
      <c r="R36" s="170"/>
      <c r="S36" s="171" t="s">
        <v>96</v>
      </c>
      <c r="T36" s="171"/>
      <c r="AF36" s="6"/>
      <c r="AH36" s="21"/>
      <c r="AI36" s="21"/>
    </row>
    <row r="37" spans="2:35" s="16" customFormat="1" ht="21" customHeight="1">
      <c r="B37" s="162" t="s">
        <v>111</v>
      </c>
      <c r="C37" s="162"/>
      <c r="D37" s="129" t="s">
        <v>112</v>
      </c>
      <c r="E37" s="163" t="s">
        <v>113</v>
      </c>
      <c r="F37" s="163"/>
      <c r="G37" s="163"/>
      <c r="H37" s="163"/>
      <c r="I37" s="130" t="s">
        <v>114</v>
      </c>
      <c r="J37" s="8"/>
      <c r="K37" s="162" t="s">
        <v>115</v>
      </c>
      <c r="L37" s="162"/>
      <c r="M37" s="162"/>
      <c r="N37" s="131" t="s">
        <v>116</v>
      </c>
      <c r="O37" s="164" t="s">
        <v>117</v>
      </c>
      <c r="P37" s="164"/>
      <c r="Q37" s="164"/>
      <c r="R37" s="164"/>
      <c r="S37" s="165" t="s">
        <v>54</v>
      </c>
      <c r="T37" s="165"/>
      <c r="AH37" s="21"/>
      <c r="AI37" s="21"/>
    </row>
    <row r="38" spans="2:35" s="16" customFormat="1" ht="18.75" customHeight="1">
      <c r="B38" s="162" t="s">
        <v>111</v>
      </c>
      <c r="C38" s="162"/>
      <c r="D38" s="129" t="s">
        <v>118</v>
      </c>
      <c r="E38" s="163" t="s">
        <v>119</v>
      </c>
      <c r="F38" s="163"/>
      <c r="G38" s="163"/>
      <c r="H38" s="163"/>
      <c r="I38" s="130" t="s">
        <v>96</v>
      </c>
      <c r="J38" s="8"/>
      <c r="K38" s="162" t="s">
        <v>120</v>
      </c>
      <c r="L38" s="162"/>
      <c r="M38" s="162"/>
      <c r="N38" s="131"/>
      <c r="O38" s="164"/>
      <c r="P38" s="164"/>
      <c r="Q38" s="164"/>
      <c r="R38" s="164"/>
      <c r="S38" s="165"/>
      <c r="T38" s="165"/>
      <c r="V38" s="16" t="s">
        <v>121</v>
      </c>
      <c r="AH38" s="21"/>
      <c r="AI38" s="21"/>
    </row>
    <row r="39" spans="2:35" s="16" customFormat="1" ht="21" customHeight="1">
      <c r="B39" s="162" t="s">
        <v>111</v>
      </c>
      <c r="C39" s="162"/>
      <c r="D39" s="129" t="s">
        <v>122</v>
      </c>
      <c r="E39" s="163" t="s">
        <v>123</v>
      </c>
      <c r="F39" s="163"/>
      <c r="G39" s="163"/>
      <c r="H39" s="163"/>
      <c r="I39" s="130" t="s">
        <v>124</v>
      </c>
      <c r="J39" s="8"/>
      <c r="K39" s="162" t="s">
        <v>125</v>
      </c>
      <c r="L39" s="162"/>
      <c r="M39" s="162"/>
      <c r="N39" s="131"/>
      <c r="O39" s="164"/>
      <c r="P39" s="164"/>
      <c r="Q39" s="164"/>
      <c r="R39" s="164"/>
      <c r="S39" s="165"/>
      <c r="T39" s="165"/>
      <c r="AD39" s="16" t="s">
        <v>101</v>
      </c>
      <c r="AH39" s="21"/>
      <c r="AI39" s="21"/>
    </row>
    <row r="40" spans="2:35" s="16" customFormat="1" ht="19.5" customHeight="1">
      <c r="B40" s="162" t="s">
        <v>111</v>
      </c>
      <c r="C40" s="162"/>
      <c r="D40" s="129"/>
      <c r="E40" s="163"/>
      <c r="F40" s="163"/>
      <c r="G40" s="163"/>
      <c r="H40" s="163"/>
      <c r="I40" s="130"/>
      <c r="J40" s="8"/>
      <c r="K40" s="162" t="s">
        <v>126</v>
      </c>
      <c r="L40" s="162"/>
      <c r="M40" s="162"/>
      <c r="N40" s="131"/>
      <c r="O40" s="164"/>
      <c r="P40" s="164"/>
      <c r="Q40" s="164"/>
      <c r="R40" s="164"/>
      <c r="S40" s="165"/>
      <c r="T40" s="165"/>
      <c r="AH40" s="21"/>
      <c r="AI40" s="21"/>
    </row>
    <row r="41" spans="2:35" ht="18.75" customHeight="1">
      <c r="B41" s="162" t="s">
        <v>111</v>
      </c>
      <c r="C41" s="162"/>
      <c r="D41" s="129"/>
      <c r="E41" s="163"/>
      <c r="F41" s="163"/>
      <c r="G41" s="163"/>
      <c r="H41" s="163"/>
      <c r="I41" s="130"/>
      <c r="J41" s="5"/>
      <c r="K41" s="162" t="s">
        <v>126</v>
      </c>
      <c r="L41" s="162"/>
      <c r="M41" s="162"/>
      <c r="N41" s="131"/>
      <c r="O41" s="164"/>
      <c r="P41" s="164"/>
      <c r="Q41" s="164"/>
      <c r="R41" s="164"/>
      <c r="S41" s="165"/>
      <c r="T41" s="165"/>
      <c r="U41" s="5"/>
      <c r="V41" s="5"/>
      <c r="W41" s="5"/>
      <c r="X41" s="5"/>
      <c r="Y41" s="5"/>
      <c r="Z41" s="5"/>
      <c r="AA41" s="5"/>
      <c r="AB41" s="5"/>
    </row>
    <row r="42" spans="2:35" ht="19.5" customHeight="1">
      <c r="B42" s="162" t="s">
        <v>127</v>
      </c>
      <c r="C42" s="162"/>
      <c r="D42" s="129" t="s">
        <v>128</v>
      </c>
      <c r="E42" s="163" t="s">
        <v>129</v>
      </c>
      <c r="F42" s="163"/>
      <c r="G42" s="163"/>
      <c r="H42" s="163"/>
      <c r="I42" s="130" t="s">
        <v>92</v>
      </c>
      <c r="J42" s="5"/>
      <c r="K42" s="162" t="s">
        <v>126</v>
      </c>
      <c r="L42" s="162"/>
      <c r="M42" s="162"/>
      <c r="N42" s="131"/>
      <c r="O42" s="164"/>
      <c r="P42" s="164"/>
      <c r="Q42" s="164"/>
      <c r="R42" s="164"/>
      <c r="S42" s="165"/>
      <c r="T42" s="165"/>
      <c r="U42" s="5"/>
      <c r="V42" s="5"/>
      <c r="W42" s="5"/>
      <c r="X42" s="5"/>
      <c r="Y42" s="5"/>
      <c r="Z42" s="5"/>
      <c r="AA42" s="5"/>
      <c r="AB42" s="5"/>
    </row>
    <row r="43" spans="2:35" ht="19.5" customHeight="1">
      <c r="B43" s="156"/>
      <c r="C43" s="156"/>
      <c r="D43" s="132"/>
      <c r="E43" s="157"/>
      <c r="F43" s="157"/>
      <c r="G43" s="157"/>
      <c r="H43" s="157"/>
      <c r="I43" s="133"/>
      <c r="J43" s="5"/>
      <c r="K43" s="156" t="s">
        <v>126</v>
      </c>
      <c r="L43" s="156"/>
      <c r="M43" s="156"/>
      <c r="N43" s="134"/>
      <c r="O43" s="158"/>
      <c r="P43" s="158"/>
      <c r="Q43" s="158"/>
      <c r="R43" s="158"/>
      <c r="S43" s="159"/>
      <c r="T43" s="159"/>
      <c r="U43" s="5"/>
      <c r="V43" s="5"/>
      <c r="W43" s="5"/>
      <c r="X43" s="5"/>
      <c r="Y43" s="5"/>
      <c r="Z43" s="5"/>
      <c r="AA43" s="5"/>
      <c r="AB43" s="5"/>
    </row>
    <row r="44" spans="2:35" ht="18.75" customHeight="1">
      <c r="B44" s="160"/>
      <c r="C44" s="160"/>
      <c r="D44" s="161"/>
      <c r="E44" s="161"/>
      <c r="F44" s="135"/>
      <c r="G44" s="161"/>
      <c r="H44" s="161"/>
      <c r="I44" s="161"/>
      <c r="J44" s="5"/>
      <c r="K44" s="161"/>
      <c r="L44" s="161"/>
      <c r="M44" s="161"/>
      <c r="N44" s="161"/>
      <c r="O44" s="161"/>
      <c r="P44" s="161"/>
      <c r="Q44" s="161"/>
      <c r="R44" s="161"/>
      <c r="S44" s="161"/>
      <c r="T44" s="161"/>
      <c r="U44" s="5"/>
      <c r="V44" s="5"/>
      <c r="W44" s="5"/>
      <c r="X44" s="5"/>
      <c r="Y44" s="5"/>
      <c r="Z44" s="5"/>
      <c r="AA44" s="5"/>
      <c r="AB44" s="5"/>
    </row>
    <row r="45" spans="2:35" ht="18" customHeight="1">
      <c r="B45" s="153" t="s">
        <v>130</v>
      </c>
      <c r="C45" s="153"/>
      <c r="D45" s="153"/>
      <c r="E45" s="153"/>
      <c r="F45" s="153"/>
      <c r="G45" s="153"/>
      <c r="H45" s="153"/>
      <c r="I45" s="153"/>
      <c r="J45" s="153"/>
      <c r="K45" s="153"/>
      <c r="L45" s="153"/>
      <c r="M45" s="153"/>
      <c r="N45" s="153"/>
      <c r="O45" s="153"/>
      <c r="P45" s="153"/>
      <c r="Q45" s="153"/>
      <c r="R45" s="153"/>
      <c r="S45" s="153"/>
      <c r="T45" s="153"/>
      <c r="U45" s="5"/>
      <c r="V45" s="5"/>
      <c r="W45" s="5"/>
      <c r="X45" s="5"/>
      <c r="Y45" s="5"/>
      <c r="Z45" s="5"/>
      <c r="AA45" s="5"/>
      <c r="AB45" s="5"/>
    </row>
    <row r="46" spans="2:35" ht="18" customHeight="1">
      <c r="B46" s="154"/>
      <c r="C46" s="154"/>
      <c r="D46" s="154"/>
      <c r="E46" s="154"/>
      <c r="F46" s="154"/>
      <c r="G46" s="154"/>
      <c r="H46" s="154"/>
      <c r="I46" s="154"/>
      <c r="J46" s="154"/>
      <c r="K46" s="154"/>
      <c r="L46" s="154"/>
      <c r="M46" s="154"/>
      <c r="N46" s="154"/>
      <c r="O46" s="154"/>
      <c r="P46" s="154"/>
      <c r="Q46" s="154"/>
      <c r="R46" s="154"/>
      <c r="S46" s="154"/>
      <c r="T46" s="154"/>
      <c r="U46" s="5"/>
      <c r="V46" s="5"/>
      <c r="W46" s="5"/>
      <c r="X46" s="5"/>
      <c r="Y46" s="5"/>
      <c r="Z46" s="5"/>
      <c r="AA46" s="5"/>
      <c r="AB46" s="5"/>
    </row>
    <row r="47" spans="2:35" ht="13.5" customHeight="1">
      <c r="B47" s="6"/>
      <c r="D47" s="136"/>
      <c r="E47" s="16"/>
      <c r="F47" s="16"/>
      <c r="G47" s="136"/>
      <c r="H47" s="16"/>
      <c r="I47" s="124"/>
      <c r="J47" s="16"/>
      <c r="K47" s="16"/>
      <c r="L47" s="16"/>
      <c r="M47" s="16"/>
      <c r="N47" s="16"/>
      <c r="O47" s="16"/>
      <c r="P47" s="16"/>
      <c r="Q47" s="16"/>
      <c r="R47" s="16"/>
      <c r="S47" s="16"/>
      <c r="T47" s="16"/>
      <c r="U47" s="16"/>
      <c r="V47" s="16"/>
      <c r="W47" s="16"/>
      <c r="X47" s="16"/>
      <c r="Y47" s="16"/>
      <c r="Z47" s="16"/>
      <c r="AA47" s="16"/>
    </row>
    <row r="48" spans="2:35" ht="13.5" customHeight="1">
      <c r="B48" s="137"/>
      <c r="C48" s="137"/>
      <c r="D48" s="138"/>
      <c r="E48" s="139"/>
      <c r="F48" s="139"/>
      <c r="G48" s="140"/>
      <c r="H48" s="141"/>
      <c r="I48" s="5"/>
      <c r="J48" s="16"/>
      <c r="K48" s="16"/>
      <c r="L48" s="16"/>
      <c r="M48" s="16"/>
      <c r="N48" s="16"/>
      <c r="O48" s="16"/>
      <c r="P48" s="16"/>
      <c r="Q48" s="16"/>
      <c r="R48" s="16"/>
      <c r="S48" s="16"/>
      <c r="T48" s="16"/>
      <c r="U48" s="16"/>
      <c r="V48" s="16"/>
      <c r="W48" s="16"/>
      <c r="X48" s="16"/>
      <c r="Y48" s="16"/>
      <c r="Z48" s="16"/>
      <c r="AA48" s="16"/>
    </row>
    <row r="49" spans="5:7" ht="13"/>
    <row r="50" spans="5:7" ht="12.75" customHeight="1">
      <c r="E50" s="155"/>
      <c r="F50" s="155"/>
      <c r="G50" s="155"/>
    </row>
    <row r="51" spans="5:7" ht="13"/>
    <row r="52" spans="5:7" ht="13"/>
    <row r="53" spans="5:7" ht="13"/>
    <row r="54" spans="5:7" ht="13"/>
    <row r="55" spans="5:7" ht="13"/>
    <row r="56" spans="5:7" ht="13"/>
    <row r="57" spans="5:7" ht="13"/>
    <row r="58" spans="5:7" ht="13"/>
    <row r="59" spans="5:7" ht="13"/>
    <row r="60" spans="5:7" ht="13"/>
    <row r="61" spans="5:7" ht="13"/>
    <row r="62" spans="5:7" ht="13"/>
    <row r="63" spans="5:7" ht="13"/>
    <row r="64" spans="5:7" ht="13"/>
    <row r="65" ht="13"/>
    <row r="66" ht="13"/>
    <row r="67" ht="13"/>
    <row r="68" ht="13"/>
    <row r="69" ht="13"/>
    <row r="70" ht="13"/>
    <row r="71" ht="13"/>
    <row r="72" ht="13"/>
    <row r="73" ht="13"/>
    <row r="74" ht="13"/>
    <row r="75" ht="13"/>
    <row r="76" ht="13"/>
    <row r="77" ht="13"/>
    <row r="78" ht="13"/>
    <row r="79" ht="13"/>
    <row r="80" ht="13"/>
  </sheetData>
  <mergeCells count="102">
    <mergeCell ref="G2:R2"/>
    <mergeCell ref="G3:R3"/>
    <mergeCell ref="D5:I5"/>
    <mergeCell ref="K5:N5"/>
    <mergeCell ref="P5:S5"/>
    <mergeCell ref="U5:V5"/>
    <mergeCell ref="AJ6:AJ7"/>
    <mergeCell ref="B7:B8"/>
    <mergeCell ref="C7:C8"/>
    <mergeCell ref="D7:D8"/>
    <mergeCell ref="E7:E8"/>
    <mergeCell ref="F7:F8"/>
    <mergeCell ref="K10:M10"/>
    <mergeCell ref="N10:P10"/>
    <mergeCell ref="S10:T10"/>
    <mergeCell ref="K12:M12"/>
    <mergeCell ref="N12:P12"/>
    <mergeCell ref="S12:T12"/>
    <mergeCell ref="K14:M14"/>
    <mergeCell ref="N14:P14"/>
    <mergeCell ref="S14:T14"/>
    <mergeCell ref="K16:M16"/>
    <mergeCell ref="N16:P16"/>
    <mergeCell ref="S16:T16"/>
    <mergeCell ref="K18:M18"/>
    <mergeCell ref="N18:P18"/>
    <mergeCell ref="S18:T18"/>
    <mergeCell ref="K20:M20"/>
    <mergeCell ref="N20:P20"/>
    <mergeCell ref="S20:T20"/>
    <mergeCell ref="K22:M22"/>
    <mergeCell ref="N22:P22"/>
    <mergeCell ref="S22:T22"/>
    <mergeCell ref="K24:M24"/>
    <mergeCell ref="N24:P24"/>
    <mergeCell ref="S24:T24"/>
    <mergeCell ref="K26:M26"/>
    <mergeCell ref="N26:P26"/>
    <mergeCell ref="S26:T26"/>
    <mergeCell ref="K28:M28"/>
    <mergeCell ref="N28:P28"/>
    <mergeCell ref="S28:T28"/>
    <mergeCell ref="K30:M30"/>
    <mergeCell ref="N30:P30"/>
    <mergeCell ref="S30:T30"/>
    <mergeCell ref="K32:M32"/>
    <mergeCell ref="N32:P32"/>
    <mergeCell ref="S32:T32"/>
    <mergeCell ref="B35:C35"/>
    <mergeCell ref="E35:H35"/>
    <mergeCell ref="K35:M35"/>
    <mergeCell ref="O35:R35"/>
    <mergeCell ref="S35:T35"/>
    <mergeCell ref="B36:C36"/>
    <mergeCell ref="E36:H36"/>
    <mergeCell ref="K36:M36"/>
    <mergeCell ref="O36:R36"/>
    <mergeCell ref="S36:T36"/>
    <mergeCell ref="B37:C37"/>
    <mergeCell ref="E37:H37"/>
    <mergeCell ref="K37:M37"/>
    <mergeCell ref="O37:R37"/>
    <mergeCell ref="S37:T37"/>
    <mergeCell ref="B38:C38"/>
    <mergeCell ref="E38:H38"/>
    <mergeCell ref="K38:M38"/>
    <mergeCell ref="O38:R38"/>
    <mergeCell ref="S38:T38"/>
    <mergeCell ref="B39:C39"/>
    <mergeCell ref="E39:H39"/>
    <mergeCell ref="K39:M39"/>
    <mergeCell ref="O39:R39"/>
    <mergeCell ref="S39:T39"/>
    <mergeCell ref="B40:C40"/>
    <mergeCell ref="E40:H40"/>
    <mergeCell ref="K40:M40"/>
    <mergeCell ref="O40:R40"/>
    <mergeCell ref="S40:T40"/>
    <mergeCell ref="B41:C41"/>
    <mergeCell ref="E41:H41"/>
    <mergeCell ref="K41:M41"/>
    <mergeCell ref="O41:R41"/>
    <mergeCell ref="S41:T41"/>
    <mergeCell ref="B42:C42"/>
    <mergeCell ref="E42:H42"/>
    <mergeCell ref="K42:M42"/>
    <mergeCell ref="O42:R42"/>
    <mergeCell ref="S42:T42"/>
    <mergeCell ref="B45:T45"/>
    <mergeCell ref="B46:T46"/>
    <mergeCell ref="E50:G50"/>
    <mergeCell ref="B43:C43"/>
    <mergeCell ref="E43:H43"/>
    <mergeCell ref="K43:M43"/>
    <mergeCell ref="O43:R43"/>
    <mergeCell ref="S43:T43"/>
    <mergeCell ref="B44:C44"/>
    <mergeCell ref="D44:E44"/>
    <mergeCell ref="G44:I44"/>
    <mergeCell ref="K44:M44"/>
    <mergeCell ref="N44:O44"/>
    <mergeCell ref="P44:T44"/>
  </mergeCells>
  <conditionalFormatting sqref="K27">
    <cfRule type="cellIs" dxfId="269" priority="25" operator="lessThanOrEqual">
      <formula>0</formula>
    </cfRule>
    <cfRule type="cellIs" dxfId="268" priority="24" operator="between">
      <formula>1</formula>
      <formula>300</formula>
    </cfRule>
  </conditionalFormatting>
  <conditionalFormatting sqref="K29">
    <cfRule type="cellIs" dxfId="267" priority="23" operator="lessThanOrEqual">
      <formula>0</formula>
    </cfRule>
    <cfRule type="cellIs" dxfId="266" priority="22" operator="between">
      <formula>1</formula>
      <formula>300</formula>
    </cfRule>
  </conditionalFormatting>
  <conditionalFormatting sqref="K31">
    <cfRule type="cellIs" dxfId="265" priority="21" operator="lessThanOrEqual">
      <formula>0</formula>
    </cfRule>
    <cfRule type="cellIs" dxfId="264" priority="20" operator="between">
      <formula>1</formula>
      <formula>300</formula>
    </cfRule>
  </conditionalFormatting>
  <conditionalFormatting sqref="K9:P9">
    <cfRule type="cellIs" dxfId="263" priority="4" operator="between">
      <formula>1</formula>
      <formula>300</formula>
    </cfRule>
    <cfRule type="cellIs" dxfId="262" priority="5" operator="lessThanOrEqual">
      <formula>0</formula>
    </cfRule>
  </conditionalFormatting>
  <conditionalFormatting sqref="K11:P11">
    <cfRule type="cellIs" dxfId="261" priority="2" operator="between">
      <formula>1</formula>
      <formula>300</formula>
    </cfRule>
    <cfRule type="cellIs" dxfId="260" priority="3" operator="lessThanOrEqual">
      <formula>0</formula>
    </cfRule>
  </conditionalFormatting>
  <conditionalFormatting sqref="K13:P13">
    <cfRule type="cellIs" dxfId="259" priority="12" operator="between">
      <formula>1</formula>
      <formula>300</formula>
    </cfRule>
    <cfRule type="cellIs" dxfId="258" priority="13" operator="lessThanOrEqual">
      <formula>0</formula>
    </cfRule>
  </conditionalFormatting>
  <conditionalFormatting sqref="K15:P15">
    <cfRule type="cellIs" dxfId="257" priority="14" operator="between">
      <formula>1</formula>
      <formula>300</formula>
    </cfRule>
    <cfRule type="cellIs" dxfId="256" priority="15" operator="lessThanOrEqual">
      <formula>0</formula>
    </cfRule>
  </conditionalFormatting>
  <conditionalFormatting sqref="K17:P17">
    <cfRule type="cellIs" dxfId="255" priority="17" operator="lessThanOrEqual">
      <formula>0</formula>
    </cfRule>
    <cfRule type="cellIs" dxfId="254" priority="16" operator="between">
      <formula>1</formula>
      <formula>300</formula>
    </cfRule>
  </conditionalFormatting>
  <conditionalFormatting sqref="K19:P19">
    <cfRule type="cellIs" dxfId="253" priority="7" operator="lessThanOrEqual">
      <formula>0</formula>
    </cfRule>
    <cfRule type="cellIs" dxfId="252" priority="6" operator="between">
      <formula>1</formula>
      <formula>300</formula>
    </cfRule>
  </conditionalFormatting>
  <conditionalFormatting sqref="K21:P21">
    <cfRule type="cellIs" dxfId="251" priority="9" operator="lessThanOrEqual">
      <formula>0</formula>
    </cfRule>
    <cfRule type="cellIs" dxfId="250" priority="8" operator="between">
      <formula>1</formula>
      <formula>300</formula>
    </cfRule>
  </conditionalFormatting>
  <conditionalFormatting sqref="K23:P23">
    <cfRule type="cellIs" dxfId="249" priority="11" operator="lessThanOrEqual">
      <formula>0</formula>
    </cfRule>
    <cfRule type="cellIs" dxfId="248" priority="10" operator="between">
      <formula>1</formula>
      <formula>300</formula>
    </cfRule>
  </conditionalFormatting>
  <conditionalFormatting sqref="K25:P25">
    <cfRule type="cellIs" dxfId="247" priority="18" operator="between">
      <formula>1</formula>
      <formula>300</formula>
    </cfRule>
    <cfRule type="cellIs" dxfId="246" priority="19" operator="lessThanOrEqual">
      <formula>0</formula>
    </cfRule>
  </conditionalFormatting>
  <conditionalFormatting sqref="L27:N27">
    <cfRule type="cellIs" dxfId="245" priority="30" operator="between">
      <formula>1</formula>
      <formula>300</formula>
    </cfRule>
    <cfRule type="cellIs" dxfId="244" priority="31" operator="lessThanOrEqual">
      <formula>0</formula>
    </cfRule>
  </conditionalFormatting>
  <conditionalFormatting sqref="L29:N29">
    <cfRule type="cellIs" dxfId="243" priority="28" operator="between">
      <formula>1</formula>
      <formula>300</formula>
    </cfRule>
    <cfRule type="cellIs" dxfId="242" priority="29" operator="lessThanOrEqual">
      <formula>0</formula>
    </cfRule>
  </conditionalFormatting>
  <conditionalFormatting sqref="L31:N31">
    <cfRule type="cellIs" dxfId="241" priority="26" operator="between">
      <formula>1</formula>
      <formula>300</formula>
    </cfRule>
    <cfRule type="cellIs" dxfId="240" priority="27" operator="lessThanOrEqual">
      <formula>0</formula>
    </cfRule>
  </conditionalFormatting>
  <dataValidations count="6">
    <dataValidation type="list" allowBlank="1" showInputMessage="1" showErrorMessage="1" sqref="B36:C43 K36:M43" xr:uid="{00000000-0002-0000-0000-000000000000}">
      <formula1>"Dommer,Stevnets leder,Jury,Sekretær,Speaker,Teknisk kontrollør,Chief Marshall,Tidtaker"</formula1>
      <formula2>0</formula2>
    </dataValidation>
    <dataValidation type="list" allowBlank="1" showInputMessage="1" showErrorMessage="1" sqref="C11 C9 C31 C29 C27 C25 C23 C21 C19 C17 C15 C13" xr:uid="{00000000-0002-0000-0000-000001000000}">
      <formula1>"44,48,53,56,58,60,63,65,69,71,77,'+77,79,86,'+86,88,94,'+94,110,'´110"</formula1>
      <formula2>0</formula2>
    </dataValidation>
    <dataValidation type="list" allowBlank="1" showInputMessage="1" showErrorMessage="1" sqref="D5:I5" xr:uid="{00000000-0002-0000-0000-00000D000000}">
      <formula1>"Nasjonalt stevne,Seriestevne,Seriestevne 5-kamp,Klubbmesterskap,Regionsmesterskap,Landsdelsmesterskap,Norgesmesterskap Senior,Norgesmesterskap Ungdom,Norgesmesterskap Junior,Norgesmesterskap Veteran,Norgesmesterskap 5-kamp,Norgesmesterskap Lag"</formula1>
      <formula2>0</formula2>
    </dataValidation>
    <dataValidation type="list" allowBlank="1" showInputMessage="1" showErrorMessage="1" sqref="E11 F12 E9 E31 E29 E27 E25 E23 E21 E19 E17 E15 E13" xr:uid="{00000000-0002-0000-0000-00000E000000}">
      <formula1>"UM,JM,SM,UK,JK,SK,M35,M40,M45,M50,M55,M60,M65,M70,M75,M80,M85,M90,K35,K40,K45,K50,K55,K60,K65,K70,K75,K80,K85,K90"</formula1>
      <formula2>0</formula2>
    </dataValidation>
    <dataValidation type="list" allowBlank="1" showInputMessage="1" showErrorMessage="1" sqref="F11 F9 F31 F29 F27 F25 F23 F21 F19 F17 F15 F13" xr:uid="{00000000-0002-0000-0000-00001A000000}">
      <formula1>"11-12,13-14,15-16,17-18,19-23,24-34,+35"</formula1>
      <formula2>0</formula2>
    </dataValidation>
    <dataValidation type="list" allowBlank="1" showInputMessage="1" showErrorMessage="1" prompt="Feil_i_kat. 5-kamp - Feil verdi i kategori 5-kamp" sqref="G12" xr:uid="{00000000-0002-0000-0000-000027000000}">
      <formula1>"11-12,13-14,15-16,17-18,19-23,24-34,+35,35+"</formula1>
      <formula2>0</formula2>
    </dataValidation>
  </dataValidations>
  <pageMargins left="0.27569444444444402" right="0.35416666666666702" top="0.27569444444444402" bottom="0.27569444444444402" header="0.511811023622047" footer="0.511811023622047"/>
  <pageSetup paperSize="9" orientation="landscape" useFirstPageNumber="1" horizontalDpi="300" verticalDpi="300"/>
  <drawing r:id="rId1"/>
  <legacy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AK80"/>
  <sheetViews>
    <sheetView zoomScaleNormal="100" workbookViewId="0">
      <selection activeCell="G1" sqref="G1:G1048576"/>
    </sheetView>
  </sheetViews>
  <sheetFormatPr baseColWidth="10" defaultColWidth="9.1640625" defaultRowHeight="12.75" customHeight="1"/>
  <cols>
    <col min="1" max="1" width="4.33203125" style="5" customWidth="1"/>
    <col min="2" max="2" width="10.1640625" style="5" customWidth="1"/>
    <col min="3" max="3" width="6.33203125" style="6" customWidth="1"/>
    <col min="4" max="4" width="8.6640625" style="6" customWidth="1"/>
    <col min="5" max="6" width="6.33203125" style="7" customWidth="1"/>
    <col min="7" max="7" width="10.6640625" style="6" hidden="1" customWidth="1"/>
    <col min="8" max="8" width="3.83203125" style="6" customWidth="1"/>
    <col min="9" max="9" width="27.83203125" style="8" customWidth="1"/>
    <col min="10" max="10" width="21" style="8" customWidth="1"/>
    <col min="11" max="11" width="6.83203125" style="6" customWidth="1"/>
    <col min="12" max="12" width="6.83203125" style="9" customWidth="1"/>
    <col min="13" max="13" width="6.83203125" style="6" customWidth="1"/>
    <col min="14" max="14" width="8.83203125" style="6" customWidth="1"/>
    <col min="15" max="19" width="6.83203125" style="6" customWidth="1"/>
    <col min="20" max="23" width="8" style="10" customWidth="1"/>
    <col min="24" max="24" width="9" style="10" customWidth="1"/>
    <col min="25" max="26" width="8" style="10" customWidth="1"/>
    <col min="27" max="27" width="4.33203125" style="10" customWidth="1"/>
    <col min="28" max="28" width="5.6640625" style="10" customWidth="1"/>
    <col min="29" max="29" width="9.6640625" style="5" hidden="1" customWidth="1"/>
    <col min="30" max="31" width="9.1640625" style="5" hidden="1"/>
    <col min="32" max="32" width="7.83203125" style="5" hidden="1" customWidth="1"/>
    <col min="33" max="33" width="9.1640625" style="5" hidden="1"/>
    <col min="34" max="35" width="9.1640625" style="11" hidden="1"/>
    <col min="36" max="36" width="9.1640625" style="5" hidden="1"/>
    <col min="37" max="37" width="9.1640625" style="5"/>
  </cols>
  <sheetData>
    <row r="1" spans="1:37" ht="18.75" customHeight="1">
      <c r="A1" s="12"/>
      <c r="B1" s="12"/>
      <c r="C1" s="12"/>
      <c r="D1" s="12"/>
      <c r="E1" s="12"/>
      <c r="F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  <c r="T1" s="12"/>
      <c r="U1" s="12"/>
      <c r="V1" s="12"/>
      <c r="W1" s="12"/>
      <c r="X1" s="12"/>
      <c r="Y1" s="12"/>
    </row>
    <row r="2" spans="1:37" ht="75" customHeight="1">
      <c r="A2" s="12"/>
      <c r="B2" s="12"/>
      <c r="C2" s="12"/>
      <c r="D2" s="12"/>
      <c r="E2" s="12"/>
      <c r="F2" s="12"/>
      <c r="G2" s="174" t="s">
        <v>0</v>
      </c>
      <c r="H2" s="174"/>
      <c r="I2" s="174"/>
      <c r="J2" s="174"/>
      <c r="K2" s="174"/>
      <c r="L2" s="174"/>
      <c r="M2" s="174"/>
      <c r="N2" s="174"/>
      <c r="O2" s="174"/>
      <c r="P2" s="174"/>
      <c r="Q2" s="174"/>
      <c r="R2" s="174"/>
      <c r="S2" s="12"/>
      <c r="T2" s="12"/>
      <c r="U2" s="13" t="s">
        <v>1</v>
      </c>
      <c r="V2" s="12"/>
      <c r="W2" s="12"/>
      <c r="X2" s="12"/>
      <c r="Y2" s="12"/>
    </row>
    <row r="3" spans="1:37" ht="21.75" customHeight="1">
      <c r="A3" s="12"/>
      <c r="B3" s="12"/>
      <c r="C3" s="12"/>
      <c r="D3" s="12"/>
      <c r="E3" s="14"/>
      <c r="F3" s="12"/>
      <c r="G3" s="175" t="s">
        <v>2</v>
      </c>
      <c r="H3" s="175"/>
      <c r="I3" s="175"/>
      <c r="J3" s="175"/>
      <c r="K3" s="175"/>
      <c r="L3" s="175"/>
      <c r="M3" s="175"/>
      <c r="N3" s="175"/>
      <c r="O3" s="175"/>
      <c r="P3" s="175"/>
      <c r="Q3" s="175"/>
      <c r="R3" s="175"/>
      <c r="S3" s="15" t="s">
        <v>3</v>
      </c>
      <c r="T3" s="15"/>
      <c r="U3" s="15"/>
      <c r="V3" s="15"/>
      <c r="W3" s="15"/>
      <c r="X3" s="15"/>
      <c r="Y3" s="15"/>
      <c r="Z3" s="15"/>
    </row>
    <row r="4" spans="1:37" ht="12.75" customHeight="1">
      <c r="A4" s="12"/>
      <c r="B4" s="12"/>
      <c r="C4" s="12"/>
      <c r="D4" s="12"/>
      <c r="E4" s="12"/>
      <c r="F4" s="12"/>
      <c r="H4" s="12"/>
      <c r="I4" s="12"/>
      <c r="J4" s="12"/>
      <c r="K4" s="12"/>
      <c r="L4" s="12"/>
      <c r="M4" s="12"/>
      <c r="N4" s="12"/>
      <c r="O4" s="12"/>
      <c r="P4" s="12"/>
      <c r="Q4" s="12"/>
      <c r="R4" s="12"/>
      <c r="S4" s="12"/>
      <c r="T4" s="12"/>
      <c r="U4" s="12"/>
      <c r="V4" s="12"/>
      <c r="W4" s="12"/>
      <c r="X4" s="12"/>
      <c r="Y4" s="12"/>
    </row>
    <row r="5" spans="1:37" ht="15" customHeight="1">
      <c r="A5" s="16"/>
      <c r="B5" s="16"/>
      <c r="C5" s="17" t="s">
        <v>4</v>
      </c>
      <c r="D5" s="176" t="s">
        <v>5</v>
      </c>
      <c r="E5" s="176"/>
      <c r="F5" s="176"/>
      <c r="G5" s="176"/>
      <c r="H5" s="176"/>
      <c r="I5" s="176"/>
      <c r="J5" s="17" t="s">
        <v>6</v>
      </c>
      <c r="K5" s="176" t="s">
        <v>7</v>
      </c>
      <c r="L5" s="176"/>
      <c r="M5" s="176"/>
      <c r="N5" s="176"/>
      <c r="O5" s="17" t="s">
        <v>8</v>
      </c>
      <c r="P5" s="177" t="s">
        <v>9</v>
      </c>
      <c r="Q5" s="177"/>
      <c r="R5" s="177"/>
      <c r="S5" s="177"/>
      <c r="T5" s="17" t="s">
        <v>10</v>
      </c>
      <c r="U5" s="177">
        <v>46263</v>
      </c>
      <c r="V5" s="177"/>
      <c r="W5" s="18"/>
      <c r="X5" s="18"/>
      <c r="Y5" s="18"/>
      <c r="Z5" s="19" t="s">
        <v>11</v>
      </c>
      <c r="AA5" s="19"/>
      <c r="AB5" s="20">
        <v>8</v>
      </c>
      <c r="AC5" s="16"/>
      <c r="AD5" s="16"/>
      <c r="AE5" s="16"/>
      <c r="AF5" s="16"/>
      <c r="AG5" s="16"/>
      <c r="AH5" s="21"/>
      <c r="AI5" s="21"/>
      <c r="AJ5" s="16"/>
      <c r="AK5" s="16"/>
    </row>
    <row r="6" spans="1:37" ht="12.75" customHeight="1">
      <c r="AG6" s="22" t="s">
        <v>12</v>
      </c>
      <c r="AH6" s="22" t="s">
        <v>12</v>
      </c>
      <c r="AI6" s="22" t="s">
        <v>12</v>
      </c>
      <c r="AJ6" s="178" t="s">
        <v>13</v>
      </c>
    </row>
    <row r="7" spans="1:37" ht="12.75" customHeight="1">
      <c r="A7" s="6"/>
      <c r="B7" s="179" t="s">
        <v>14</v>
      </c>
      <c r="C7" s="180" t="s">
        <v>15</v>
      </c>
      <c r="D7" s="180" t="s">
        <v>16</v>
      </c>
      <c r="E7" s="181" t="s">
        <v>17</v>
      </c>
      <c r="F7" s="182" t="s">
        <v>131</v>
      </c>
      <c r="G7" s="24" t="s">
        <v>19</v>
      </c>
      <c r="H7" s="24" t="s">
        <v>20</v>
      </c>
      <c r="I7" s="24" t="s">
        <v>21</v>
      </c>
      <c r="J7" s="24" t="s">
        <v>22</v>
      </c>
      <c r="K7" s="25"/>
      <c r="L7" s="26" t="s">
        <v>23</v>
      </c>
      <c r="M7" s="24"/>
      <c r="N7" s="24"/>
      <c r="O7" s="27" t="s">
        <v>24</v>
      </c>
      <c r="P7" s="24"/>
      <c r="Q7" s="28" t="s">
        <v>25</v>
      </c>
      <c r="R7" s="24"/>
      <c r="S7" s="24" t="s">
        <v>26</v>
      </c>
      <c r="T7" s="29" t="s">
        <v>27</v>
      </c>
      <c r="U7" s="30" t="s">
        <v>27</v>
      </c>
      <c r="V7" s="31" t="s">
        <v>28</v>
      </c>
      <c r="W7" s="31" t="s">
        <v>29</v>
      </c>
      <c r="X7" s="31" t="s">
        <v>30</v>
      </c>
      <c r="Y7" s="32" t="s">
        <v>31</v>
      </c>
      <c r="Z7" s="33" t="s">
        <v>32</v>
      </c>
      <c r="AA7" s="34" t="s">
        <v>33</v>
      </c>
      <c r="AB7" s="29" t="s">
        <v>34</v>
      </c>
      <c r="AC7" s="11"/>
      <c r="AD7" s="6"/>
      <c r="AE7" s="6"/>
      <c r="AF7" s="6"/>
      <c r="AG7" s="35" t="s">
        <v>35</v>
      </c>
      <c r="AH7" s="35" t="s">
        <v>35</v>
      </c>
      <c r="AI7" s="35" t="s">
        <v>35</v>
      </c>
      <c r="AJ7" s="178"/>
      <c r="AK7" s="6"/>
    </row>
    <row r="8" spans="1:37" ht="12.75" customHeight="1">
      <c r="A8" s="6"/>
      <c r="B8" s="179"/>
      <c r="C8" s="180"/>
      <c r="D8" s="180"/>
      <c r="E8" s="181"/>
      <c r="F8" s="182"/>
      <c r="G8" s="36" t="s">
        <v>36</v>
      </c>
      <c r="H8" s="36" t="s">
        <v>37</v>
      </c>
      <c r="I8" s="36"/>
      <c r="J8" s="36"/>
      <c r="K8" s="37">
        <v>1</v>
      </c>
      <c r="L8" s="37">
        <v>2</v>
      </c>
      <c r="M8" s="38">
        <v>3</v>
      </c>
      <c r="N8" s="38">
        <v>1</v>
      </c>
      <c r="O8" s="37">
        <v>2</v>
      </c>
      <c r="P8" s="38">
        <v>3</v>
      </c>
      <c r="Q8" s="39" t="s">
        <v>38</v>
      </c>
      <c r="R8" s="36"/>
      <c r="S8" s="36" t="s">
        <v>39</v>
      </c>
      <c r="T8" s="40"/>
      <c r="U8" s="41" t="s">
        <v>40</v>
      </c>
      <c r="V8" s="31" t="s">
        <v>27</v>
      </c>
      <c r="W8" s="31" t="s">
        <v>27</v>
      </c>
      <c r="X8" s="31" t="s">
        <v>27</v>
      </c>
      <c r="Y8" s="42" t="s">
        <v>41</v>
      </c>
      <c r="Z8" s="43" t="s">
        <v>42</v>
      </c>
      <c r="AA8" s="43"/>
      <c r="AB8" s="40"/>
      <c r="AC8" s="6"/>
      <c r="AD8" s="6" t="s">
        <v>43</v>
      </c>
      <c r="AE8" s="6" t="s">
        <v>44</v>
      </c>
      <c r="AF8" s="11" t="s">
        <v>40</v>
      </c>
      <c r="AG8" s="35" t="s">
        <v>45</v>
      </c>
      <c r="AH8" s="35" t="s">
        <v>46</v>
      </c>
      <c r="AI8" s="35" t="s">
        <v>47</v>
      </c>
      <c r="AJ8" s="6"/>
      <c r="AK8" s="6"/>
    </row>
    <row r="9" spans="1:37" ht="19.5" customHeight="1">
      <c r="A9" s="44"/>
      <c r="B9" s="45" t="s">
        <v>273</v>
      </c>
      <c r="C9" s="142" t="s">
        <v>147</v>
      </c>
      <c r="D9" s="56">
        <v>86.95</v>
      </c>
      <c r="E9" s="142" t="s">
        <v>191</v>
      </c>
      <c r="F9" s="142" t="s">
        <v>224</v>
      </c>
      <c r="G9" s="143">
        <v>36505</v>
      </c>
      <c r="H9" s="142" t="s">
        <v>82</v>
      </c>
      <c r="I9" s="144" t="s">
        <v>274</v>
      </c>
      <c r="J9" s="145" t="s">
        <v>79</v>
      </c>
      <c r="K9" s="52">
        <v>120</v>
      </c>
      <c r="L9" s="52">
        <v>124</v>
      </c>
      <c r="M9" s="52">
        <v>-128</v>
      </c>
      <c r="N9" s="52">
        <v>144</v>
      </c>
      <c r="O9" s="52">
        <v>-148</v>
      </c>
      <c r="P9" s="52">
        <v>148</v>
      </c>
      <c r="Q9" s="53">
        <f>IF(MAX(K9:M9)&gt;0,IF(MAX(K9:M9)&lt;0,0,TRUNC(MAX(K9:M9)/1)*1),"")</f>
        <v>124</v>
      </c>
      <c r="R9" s="54">
        <f>IF(MAX(N9:P9)&gt;0,IF(MAX(N9:P9)&lt;0,0,TRUNC(MAX(N9:P9)/1)*1),"")</f>
        <v>148</v>
      </c>
      <c r="S9" s="54">
        <f>IF(Q9="","",IF(R9="","",IF(SUM(Q9:R9)=0,"",SUM(Q9:R9))))</f>
        <v>272</v>
      </c>
      <c r="T9" s="55">
        <f>IF(S9="","",IF(D9="","",IF((AD9="k"),IF(D9&gt;153.757,S9,IF(D9&lt;28,10^(0.0787004341*LOG10(28/153.757)^2)*S9,10^(0.787004341*LOG10(D9/153.757)^2)*S9)),IF(D9&gt;193.609,S9,IF(D9&lt;32,10^(0.722762521*LOG10(32/193.609)^2)*S9,10^(0.722762521*LOG10(D9/193.609)^2)*S9)))))</f>
        <v>332.6023802022666</v>
      </c>
      <c r="U9" s="56" t="str">
        <f>IF(AF9=1,T9*AI9,"")</f>
        <v/>
      </c>
      <c r="V9" s="57">
        <v>9.2200000000000006</v>
      </c>
      <c r="W9" s="57">
        <v>15.55</v>
      </c>
      <c r="X9" s="57">
        <v>6.28</v>
      </c>
      <c r="Y9" s="55"/>
      <c r="Z9" s="56"/>
      <c r="AA9" s="56">
        <v>1</v>
      </c>
      <c r="AB9" s="58"/>
      <c r="AC9" s="59">
        <f>U5</f>
        <v>46263</v>
      </c>
      <c r="AD9" s="60" t="str">
        <f>IF(ISNUMBER(FIND("M",E9)),"m",IF(ISNUMBER(FIND("K",E9)),"k"))</f>
        <v>m</v>
      </c>
      <c r="AE9" s="61">
        <f>IF(OR(G9="",AC9=""),0,(YEAR(AC9)-YEAR(G9)))</f>
        <v>27</v>
      </c>
      <c r="AF9" s="62">
        <f>IF(AE9&gt;34,1,0)</f>
        <v>0</v>
      </c>
      <c r="AG9" s="44" t="b">
        <f>IF(AF9=1,LOOKUP(AE9,'Meltzer-Faber'!A3:A63,'Meltzer-Faber'!B3:B63))</f>
        <v>0</v>
      </c>
      <c r="AH9" s="63" t="b">
        <f>IF(AF9=1,LOOKUP(AE9,'Meltzer-Faber'!A3:A63,'Meltzer-Faber'!C3:C63))</f>
        <v>0</v>
      </c>
      <c r="AI9" s="63" t="b">
        <f>IF(AD9="m",AG9,IF(AD9="k",AH9,""))</f>
        <v>0</v>
      </c>
      <c r="AJ9" s="64">
        <f>IF(D9="","",IF(D9&gt;193.609,1,IF(D9&lt;32,10^(0.722762521*LOG10(32/193.609)^2),10^(0.722762521*LOG10(D9/193.609)^2))))</f>
        <v>1.222802868390686</v>
      </c>
      <c r="AK9" s="44"/>
    </row>
    <row r="10" spans="1:37" ht="19.5" customHeight="1">
      <c r="A10" s="44"/>
      <c r="B10" s="65"/>
      <c r="C10" s="3"/>
      <c r="D10" s="3"/>
      <c r="E10" s="3"/>
      <c r="F10" s="66"/>
      <c r="G10" s="67"/>
      <c r="H10" s="68"/>
      <c r="I10" s="69"/>
      <c r="J10" s="69"/>
      <c r="K10" s="173"/>
      <c r="L10" s="173"/>
      <c r="M10" s="173"/>
      <c r="N10" s="172"/>
      <c r="O10" s="172"/>
      <c r="P10" s="172"/>
      <c r="Q10" s="70"/>
      <c r="R10" s="3"/>
      <c r="S10" s="173">
        <f>IF(T9="","",T9*1.2)</f>
        <v>399.12285624271993</v>
      </c>
      <c r="T10" s="173"/>
      <c r="U10" s="3"/>
      <c r="V10" s="3">
        <f>IF(V9&gt;0,V9*20,"")</f>
        <v>184.4</v>
      </c>
      <c r="W10" s="3">
        <f>IF(W9="","",(W9*10)*AJ9)</f>
        <v>190.14584603475166</v>
      </c>
      <c r="X10" s="3">
        <f>IF(ROUNDUP(X9,1)&gt;0,IF((80+(8-ROUNDUP(X9,1))*40)&lt;0,0,80+(8-ROUNDUP(X9,1))*40),"")</f>
        <v>148</v>
      </c>
      <c r="Y10" s="4">
        <f>IF(SUM(V10,W10,X10)&gt;0,SUM(V10,W10,X10),"")</f>
        <v>522.54584603475166</v>
      </c>
      <c r="Z10" s="3">
        <f>IF(AE9&gt;34,(IF(OR(S10="",V10="",W10="",X10=""),"",SUM(S10,V10,W10,X10))*AI9),IF(OR(S10="",V10="",W10="",X10=""),"", SUM(S10,V10,W10,X10)))</f>
        <v>921.66870227747165</v>
      </c>
      <c r="AA10" s="3"/>
      <c r="AB10" s="66"/>
      <c r="AC10" s="71"/>
      <c r="AD10" s="6"/>
      <c r="AE10" s="61"/>
      <c r="AF10" s="72"/>
      <c r="AG10" s="44"/>
      <c r="AH10" s="63"/>
      <c r="AI10" s="63"/>
      <c r="AJ10" s="64"/>
      <c r="AK10" s="44"/>
    </row>
    <row r="11" spans="1:37" ht="19.5" customHeight="1">
      <c r="A11" s="44"/>
      <c r="B11" s="73" t="s">
        <v>275</v>
      </c>
      <c r="C11" s="84" t="s">
        <v>147</v>
      </c>
      <c r="D11" s="78">
        <v>90.97</v>
      </c>
      <c r="E11" s="84" t="s">
        <v>191</v>
      </c>
      <c r="F11" s="84" t="s">
        <v>224</v>
      </c>
      <c r="G11" s="85">
        <v>34917</v>
      </c>
      <c r="H11" s="84" t="s">
        <v>72</v>
      </c>
      <c r="I11" s="86" t="s">
        <v>276</v>
      </c>
      <c r="J11" s="87" t="s">
        <v>79</v>
      </c>
      <c r="K11" s="74">
        <v>110</v>
      </c>
      <c r="L11" s="74">
        <v>114</v>
      </c>
      <c r="M11" s="74">
        <v>-118</v>
      </c>
      <c r="N11" s="74">
        <v>140</v>
      </c>
      <c r="O11" s="74">
        <v>-145</v>
      </c>
      <c r="P11" s="74">
        <v>148</v>
      </c>
      <c r="Q11" s="75">
        <f>IF(MAX(K11:M11)&gt;0,IF(MAX(K11:M11)&lt;0,0,TRUNC(MAX(K11:M11)/1)*1),"")</f>
        <v>114</v>
      </c>
      <c r="R11" s="76">
        <f>IF(MAX(N11:P11)&gt;0,IF(MAX(N11:P11)&lt;0,0,TRUNC(MAX(N11:P11)/1)*1),"")</f>
        <v>148</v>
      </c>
      <c r="S11" s="76">
        <f>IF(Q11="","",IF(R11="","",IF(SUM(Q11:R11)=0,"",SUM(Q11:R11))))</f>
        <v>262</v>
      </c>
      <c r="T11" s="77">
        <f>IF(S11="","",IF(D11="","",IF((AD11="k"),IF(D11&gt;153.757,S11,IF(D11&lt;28,10^(0.0787004341*LOG10(28/153.757)^2)*S11,10^(0.787004341*LOG10(D11/153.757)^2)*S11)),IF(D11&gt;193.609,S11,IF(D11&lt;32,10^(0.722762521*LOG10(32/193.609)^2)*S11,10^(0.722762521*LOG10(D11/193.609)^2)*S11)))))</f>
        <v>313.38047973898659</v>
      </c>
      <c r="U11" s="78" t="str">
        <f>IF(AF11=1,T11*AI11,"")</f>
        <v/>
      </c>
      <c r="V11" s="79">
        <v>9.58</v>
      </c>
      <c r="W11" s="79">
        <v>14.94</v>
      </c>
      <c r="X11" s="79">
        <v>5.97</v>
      </c>
      <c r="Y11" s="80"/>
      <c r="Z11" s="78"/>
      <c r="AA11" s="78">
        <v>2</v>
      </c>
      <c r="AB11" s="81"/>
      <c r="AC11" s="71">
        <f>U5</f>
        <v>46263</v>
      </c>
      <c r="AD11" s="60" t="str">
        <f>IF(ISNUMBER(FIND("M",E11)),"m",IF(ISNUMBER(FIND("K",E11)),"k"))</f>
        <v>m</v>
      </c>
      <c r="AE11" s="61">
        <f>IF(OR(G11="",AC11=""),0,(YEAR(AC11)-YEAR(G11)))</f>
        <v>31</v>
      </c>
      <c r="AF11" s="62">
        <f>IF(AE11&gt;34,1,0)</f>
        <v>0</v>
      </c>
      <c r="AG11" s="44" t="b">
        <f>IF(AF11=1,LOOKUP(AE11,'Meltzer-Faber'!A3:A63,'Meltzer-Faber'!B3:B63))</f>
        <v>0</v>
      </c>
      <c r="AH11" s="63" t="b">
        <f>IF(AF11=1,LOOKUP(AE11,'Meltzer-Faber'!A3:A63,'Meltzer-Faber'!C3:C63))</f>
        <v>0</v>
      </c>
      <c r="AI11" s="63" t="b">
        <f>IF(AD11="m",AG11,IF(AD11="k",AH11,""))</f>
        <v>0</v>
      </c>
      <c r="AJ11" s="64">
        <f>IF(D11="","",IF(D11&gt;193.609,1,IF(D11&lt;32,10^(0.722762521*LOG10(32/193.609)^2),10^(0.722762521*LOG10(D11/193.609)^2))))</f>
        <v>1.1961087012938421</v>
      </c>
      <c r="AK11" s="44"/>
    </row>
    <row r="12" spans="1:37" ht="19.5" customHeight="1">
      <c r="A12" s="44"/>
      <c r="B12" s="82"/>
      <c r="C12" s="3"/>
      <c r="D12" s="3"/>
      <c r="E12" s="3"/>
      <c r="F12" s="66"/>
      <c r="G12" s="67"/>
      <c r="H12" s="68"/>
      <c r="I12" s="69"/>
      <c r="J12" s="69"/>
      <c r="K12" s="173"/>
      <c r="L12" s="173"/>
      <c r="M12" s="173"/>
      <c r="N12" s="172"/>
      <c r="O12" s="172"/>
      <c r="P12" s="172"/>
      <c r="Q12" s="70"/>
      <c r="R12" s="3"/>
      <c r="S12" s="173">
        <f>IF(T11="","",T11*1.2)</f>
        <v>376.0565756867839</v>
      </c>
      <c r="T12" s="173"/>
      <c r="U12" s="3"/>
      <c r="V12" s="3">
        <f>IF(V11&gt;0,V11*20,"")</f>
        <v>191.6</v>
      </c>
      <c r="W12" s="3">
        <f>IF(W11="","",(W11*10)*AJ11)</f>
        <v>178.6986399733</v>
      </c>
      <c r="X12" s="3">
        <f>IF(ROUNDUP(X11,1)&gt;0,IF((80+(8-ROUNDUP(X11,1))*40)&lt;0,0,80+(8-ROUNDUP(X11,1))*40),"")</f>
        <v>160</v>
      </c>
      <c r="Y12" s="4">
        <f>IF(SUM(V12,W12,X12)&gt;0,SUM(V12,W12,X12),"")</f>
        <v>530.29863997329994</v>
      </c>
      <c r="Z12" s="3">
        <f>IF(AE11&gt;34,(IF(OR(S12="",V12="",W12="",X12=""),"",SUM(S12,V12,W12,X12))*AI11),IF(OR(S12="",V12="",W12="",X12=""),"", SUM(S12,V12,W12,X12)))</f>
        <v>906.3552156600839</v>
      </c>
      <c r="AA12" s="3"/>
      <c r="AB12" s="66"/>
      <c r="AC12" s="71"/>
      <c r="AD12" s="6"/>
      <c r="AE12" s="61"/>
      <c r="AF12" s="62"/>
      <c r="AG12" s="44"/>
      <c r="AH12" s="63"/>
      <c r="AI12" s="63"/>
      <c r="AJ12" s="64"/>
      <c r="AK12" s="44"/>
    </row>
    <row r="13" spans="1:37" ht="19.5" customHeight="1">
      <c r="A13" s="44"/>
      <c r="B13" s="83" t="s">
        <v>277</v>
      </c>
      <c r="C13" s="84" t="s">
        <v>144</v>
      </c>
      <c r="D13" s="78">
        <v>61.8</v>
      </c>
      <c r="E13" s="84" t="s">
        <v>191</v>
      </c>
      <c r="F13" s="84" t="s">
        <v>224</v>
      </c>
      <c r="G13" s="85">
        <v>36793</v>
      </c>
      <c r="H13" s="84" t="s">
        <v>90</v>
      </c>
      <c r="I13" s="86" t="s">
        <v>278</v>
      </c>
      <c r="J13" s="87" t="s">
        <v>54</v>
      </c>
      <c r="K13" s="74">
        <v>92</v>
      </c>
      <c r="L13" s="74">
        <v>95</v>
      </c>
      <c r="M13" s="74">
        <v>99</v>
      </c>
      <c r="N13" s="74">
        <v>111</v>
      </c>
      <c r="O13" s="74">
        <v>116</v>
      </c>
      <c r="P13" s="74">
        <v>121</v>
      </c>
      <c r="Q13" s="75">
        <f>IF(MAX(K13:M13)&gt;0,IF(MAX(K13:M13)&lt;0,0,TRUNC(MAX(K13:M13)/1)*1),"")</f>
        <v>99</v>
      </c>
      <c r="R13" s="76">
        <f>IF(MAX(N13:P13)&gt;0,IF(MAX(N13:P13)&lt;0,0,TRUNC(MAX(N13:P13)/1)*1),"")</f>
        <v>121</v>
      </c>
      <c r="S13" s="76">
        <f>IF(Q13="","",IF(R13="","",IF(SUM(Q13:R13)=0,"",SUM(Q13:R13))))</f>
        <v>220</v>
      </c>
      <c r="T13" s="77">
        <f>IF(S13="","",IF(D13="","",IF((AD13="k"),IF(D13&gt;153.757,S13,IF(D13&lt;28,10^(0.0787004341*LOG10(28/153.757)^2)*S13,10^(0.787004341*LOG10(D13/153.757)^2)*S13)),IF(D13&gt;193.609,S13,IF(D13&lt;32,10^(0.722762521*LOG10(32/193.609)^2)*S13,10^(0.722762521*LOG10(D13/193.609)^2)*S13)))))</f>
        <v>331.27503316166263</v>
      </c>
      <c r="U13" s="78" t="str">
        <f>IF(AF13=1,T13*AI13,"")</f>
        <v/>
      </c>
      <c r="V13" s="79">
        <v>9.1999999999999993</v>
      </c>
      <c r="W13" s="79">
        <v>12.2</v>
      </c>
      <c r="X13" s="79">
        <v>6.39</v>
      </c>
      <c r="Y13" s="88"/>
      <c r="Z13" s="78"/>
      <c r="AA13" s="78">
        <v>3</v>
      </c>
      <c r="AB13" s="81"/>
      <c r="AC13" s="71">
        <f>U5</f>
        <v>46263</v>
      </c>
      <c r="AD13" s="60" t="str">
        <f>IF(ISNUMBER(FIND("M",E13)),"m",IF(ISNUMBER(FIND("K",E13)),"k"))</f>
        <v>m</v>
      </c>
      <c r="AE13" s="61">
        <f>IF(OR(G13="",AC13=""),0,(YEAR(AC13)-YEAR(G13)))</f>
        <v>26</v>
      </c>
      <c r="AF13" s="62">
        <f>IF(AE13&gt;34,1,0)</f>
        <v>0</v>
      </c>
      <c r="AG13" s="44" t="b">
        <f>IF(AF13=1,LOOKUP(AE13,'Meltzer-Faber'!A3:A63,'Meltzer-Faber'!B3:B63))</f>
        <v>0</v>
      </c>
      <c r="AH13" s="63" t="b">
        <f>IF(AF13=1,LOOKUP(AE13,'Meltzer-Faber'!A3:A63,'Meltzer-Faber'!C3:C63))</f>
        <v>0</v>
      </c>
      <c r="AI13" s="63" t="b">
        <f>IF(AD13="m",AG13,IF(AD13="k",AH13,""))</f>
        <v>0</v>
      </c>
      <c r="AJ13" s="64">
        <f>IF(D13="","",IF(D13&gt;193.609,1,IF(D13&lt;32,10^(0.722762521*LOG10(32/193.609)^2),10^(0.722762521*LOG10(D13/193.609)^2))))</f>
        <v>1.5057956052802848</v>
      </c>
      <c r="AK13" s="44"/>
    </row>
    <row r="14" spans="1:37" ht="19.5" customHeight="1">
      <c r="A14" s="44"/>
      <c r="B14" s="82"/>
      <c r="C14" s="3"/>
      <c r="D14" s="3"/>
      <c r="E14" s="3"/>
      <c r="F14" s="66"/>
      <c r="G14" s="67"/>
      <c r="H14" s="68"/>
      <c r="I14" s="69"/>
      <c r="J14" s="69"/>
      <c r="K14" s="173"/>
      <c r="L14" s="173"/>
      <c r="M14" s="173"/>
      <c r="N14" s="172"/>
      <c r="O14" s="172"/>
      <c r="P14" s="172"/>
      <c r="Q14" s="70"/>
      <c r="R14" s="3"/>
      <c r="S14" s="173">
        <f>IF(T13="","",T13*1.2)</f>
        <v>397.53003979399517</v>
      </c>
      <c r="T14" s="173"/>
      <c r="U14" s="3"/>
      <c r="V14" s="3">
        <f>IF(V13&gt;0,V13*20,"")</f>
        <v>184</v>
      </c>
      <c r="W14" s="3">
        <f>IF(W13="","",(W13*10)*AJ13)</f>
        <v>183.70706384419475</v>
      </c>
      <c r="X14" s="3">
        <f>IF(ROUNDUP(X13,1)&gt;0,IF((80+(8-ROUNDUP(X13,1))*40)&lt;0,0,80+(8-ROUNDUP(X13,1))*40),"")</f>
        <v>144.00000000000003</v>
      </c>
      <c r="Y14" s="4">
        <f>IF(SUM(V14,W14,X14)&gt;0,SUM(V14,W14,X14),"")</f>
        <v>511.70706384419475</v>
      </c>
      <c r="Z14" s="3">
        <f>IF(AE13&gt;34,(IF(OR(S14="",V14="",W14="",X14=""),"",SUM(S14,V14,W14,X14))*AI13),IF(OR(S14="",V14="",W14="",X14=""),"", SUM(S14,V14,W14,X14)))</f>
        <v>909.23710363818998</v>
      </c>
      <c r="AA14" s="3"/>
      <c r="AB14" s="66"/>
      <c r="AC14" s="71"/>
      <c r="AD14" s="6"/>
      <c r="AE14" s="61"/>
      <c r="AF14" s="62"/>
      <c r="AG14" s="44"/>
      <c r="AH14" s="63"/>
      <c r="AI14" s="63"/>
      <c r="AJ14" s="64"/>
      <c r="AK14" s="44"/>
    </row>
    <row r="15" spans="1:37" ht="19.5" customHeight="1">
      <c r="A15" s="44"/>
      <c r="B15" s="83" t="s">
        <v>279</v>
      </c>
      <c r="C15" s="84" t="s">
        <v>178</v>
      </c>
      <c r="D15" s="78">
        <v>106.74</v>
      </c>
      <c r="E15" s="84" t="s">
        <v>191</v>
      </c>
      <c r="F15" s="84" t="s">
        <v>224</v>
      </c>
      <c r="G15" s="85">
        <v>36416</v>
      </c>
      <c r="H15" s="84" t="s">
        <v>52</v>
      </c>
      <c r="I15" s="86" t="s">
        <v>280</v>
      </c>
      <c r="J15" s="87" t="s">
        <v>79</v>
      </c>
      <c r="K15" s="74">
        <v>120</v>
      </c>
      <c r="L15" s="74">
        <v>128</v>
      </c>
      <c r="M15" s="74">
        <v>-135</v>
      </c>
      <c r="N15" s="74">
        <v>145</v>
      </c>
      <c r="O15" s="74" t="s">
        <v>97</v>
      </c>
      <c r="P15" s="74" t="s">
        <v>97</v>
      </c>
      <c r="Q15" s="75">
        <f>IF(MAX(K15:M15)&gt;0,IF(MAX(K15:M15)&lt;0,0,TRUNC(MAX(K15:M15)/1)*1),"")</f>
        <v>128</v>
      </c>
      <c r="R15" s="76">
        <f>IF(MAX(N15:P15)&gt;0,IF(MAX(N15:P15)&lt;0,0,TRUNC(MAX(N15:P15)/1)*1),"")</f>
        <v>145</v>
      </c>
      <c r="S15" s="76">
        <f>IF(Q15="","",IF(R15="","",IF(SUM(Q15:R15)=0,"",SUM(Q15:R15))))</f>
        <v>273</v>
      </c>
      <c r="T15" s="77">
        <f>IF(S15="","",IF(D15="","",IF((AD15="k"),IF(D15&gt;153.757,S15,IF(D15&lt;28,10^(0.0787004341*LOG10(28/153.757)^2)*S15,10^(0.787004341*LOG10(D15/153.757)^2)*S15)),IF(D15&gt;193.609,S15,IF(D15&lt;32,10^(0.722762521*LOG10(32/193.609)^2)*S15,10^(0.722762521*LOG10(D15/193.609)^2)*S15)))))</f>
        <v>305.13780630750909</v>
      </c>
      <c r="U15" s="78" t="str">
        <f>IF(AF15=1,T15*AI15,"")</f>
        <v/>
      </c>
      <c r="V15" s="79">
        <v>8.9</v>
      </c>
      <c r="W15" s="79">
        <v>14.4</v>
      </c>
      <c r="X15" s="79">
        <v>6.3</v>
      </c>
      <c r="Y15" s="80"/>
      <c r="Z15" s="78"/>
      <c r="AA15" s="78">
        <v>4</v>
      </c>
      <c r="AB15" s="81"/>
      <c r="AC15" s="71">
        <f>U5</f>
        <v>46263</v>
      </c>
      <c r="AD15" s="60" t="str">
        <f>IF(ISNUMBER(FIND("M",E15)),"m",IF(ISNUMBER(FIND("K",E15)),"k"))</f>
        <v>m</v>
      </c>
      <c r="AE15" s="61">
        <f>IF(OR(G15="",AC15=""),0,(YEAR(AC15)-YEAR(G15)))</f>
        <v>27</v>
      </c>
      <c r="AF15" s="62">
        <f>IF(AE15&gt;34,1,0)</f>
        <v>0</v>
      </c>
      <c r="AG15" s="44" t="b">
        <f>IF(AF15=1,LOOKUP(AE15,'Meltzer-Faber'!A3:A63,'Meltzer-Faber'!B3:B63))</f>
        <v>0</v>
      </c>
      <c r="AH15" s="63" t="b">
        <f>IF(AF15=1,LOOKUP(AE15,'Meltzer-Faber'!A3:A63,'Meltzer-Faber'!C3:C63))</f>
        <v>0</v>
      </c>
      <c r="AI15" s="63" t="b">
        <f>IF(AD15="m",AG15,IF(AD15="k",AH15,""))</f>
        <v>0</v>
      </c>
      <c r="AJ15" s="64">
        <f>IF(D15="","",IF(D15&gt;193.609,1,IF(D15&lt;32,10^(0.722762521*LOG10(32/193.609)^2),10^(0.722762521*LOG10(D15/193.609)^2))))</f>
        <v>1.1177209022253081</v>
      </c>
      <c r="AK15" s="44"/>
    </row>
    <row r="16" spans="1:37" ht="19.5" customHeight="1">
      <c r="A16" s="44"/>
      <c r="B16" s="82"/>
      <c r="C16" s="3"/>
      <c r="D16" s="3"/>
      <c r="E16" s="3"/>
      <c r="F16" s="66"/>
      <c r="G16" s="67"/>
      <c r="H16" s="68"/>
      <c r="I16" s="69"/>
      <c r="J16" s="69"/>
      <c r="K16" s="173"/>
      <c r="L16" s="173"/>
      <c r="M16" s="173"/>
      <c r="N16" s="172"/>
      <c r="O16" s="172"/>
      <c r="P16" s="172"/>
      <c r="Q16" s="89"/>
      <c r="R16" s="90"/>
      <c r="S16" s="173">
        <f>IF(T15="","",T15*1.2)</f>
        <v>366.16536756901093</v>
      </c>
      <c r="T16" s="173"/>
      <c r="U16" s="3"/>
      <c r="V16" s="3">
        <f>IF(V15&gt;0,V15*20,"")</f>
        <v>178</v>
      </c>
      <c r="W16" s="3">
        <f>IF(W15="","",(W15*10)*AJ15)</f>
        <v>160.95180992044436</v>
      </c>
      <c r="X16" s="3">
        <f>IF(ROUNDUP(X15,1)&gt;0,IF((80+(8-ROUNDUP(X15,1))*40)&lt;0,0,80+(8-ROUNDUP(X15,1))*40),"")</f>
        <v>148</v>
      </c>
      <c r="Y16" s="4">
        <f>IF(SUM(V16,W16,X16)&gt;0,SUM(V16,W16,X16),"")</f>
        <v>486.95180992044436</v>
      </c>
      <c r="Z16" s="3">
        <f>IF(AE15&gt;34,(IF(OR(S16="",V16="",W16="",X16=""),"",SUM(S16,V16,W16,X16))*AI15),IF(OR(S16="",V16="",W16="",X16=""),"", SUM(S16,V16,W16,X16)))</f>
        <v>853.11717748945523</v>
      </c>
      <c r="AA16" s="3"/>
      <c r="AB16" s="66"/>
      <c r="AC16" s="71"/>
      <c r="AD16" s="6"/>
      <c r="AE16" s="61"/>
      <c r="AF16" s="62"/>
      <c r="AG16" s="44"/>
      <c r="AH16" s="63"/>
      <c r="AI16" s="63"/>
      <c r="AJ16" s="64"/>
      <c r="AK16" s="44"/>
    </row>
    <row r="17" spans="1:37" ht="19.5" customHeight="1">
      <c r="A17" s="44"/>
      <c r="B17" s="83" t="s">
        <v>281</v>
      </c>
      <c r="C17" s="84" t="s">
        <v>147</v>
      </c>
      <c r="D17" s="78">
        <v>87.33</v>
      </c>
      <c r="E17" s="84" t="s">
        <v>191</v>
      </c>
      <c r="F17" s="84" t="s">
        <v>224</v>
      </c>
      <c r="G17" s="85">
        <v>35744</v>
      </c>
      <c r="H17" s="84" t="s">
        <v>56</v>
      </c>
      <c r="I17" s="91" t="s">
        <v>282</v>
      </c>
      <c r="J17" s="87" t="s">
        <v>54</v>
      </c>
      <c r="K17" s="74">
        <v>-125</v>
      </c>
      <c r="L17" s="74">
        <v>-127</v>
      </c>
      <c r="M17" s="74">
        <v>127</v>
      </c>
      <c r="N17" s="74">
        <v>160</v>
      </c>
      <c r="O17" s="74">
        <v>-165</v>
      </c>
      <c r="P17" s="74">
        <v>-167</v>
      </c>
      <c r="Q17" s="75">
        <f>IF(MAX(K17:M17)&gt;0,IF(MAX(K17:M17)&lt;0,0,TRUNC(MAX(K17:M17)/1)*1),"")</f>
        <v>127</v>
      </c>
      <c r="R17" s="76">
        <f>IF(MAX(N17:P17)&gt;0,IF(MAX(N17:P17)&lt;0,0,TRUNC(MAX(N17:P17)/1)*1),"")</f>
        <v>160</v>
      </c>
      <c r="S17" s="74">
        <f>IF(Q17="","",IF(R17="","",IF(SUM(Q17:R17)=0,"",SUM(Q17:R17))))</f>
        <v>287</v>
      </c>
      <c r="T17" s="77">
        <f>IF(S17="","",IF(D17="","",IF((AD17="k"),IF(D17&gt;153.757,S17,IF(D17&lt;28,10^(0.0787004341*LOG10(28/153.757)^2)*S17,10^(0.787004341*LOG10(D17/153.757)^2)*S17)),IF(D17&gt;193.609,S17,IF(D17&lt;32,10^(0.722762521*LOG10(32/193.609)^2)*S17,10^(0.722762521*LOG10(D17/193.609)^2)*S17)))))</f>
        <v>350.17825994229145</v>
      </c>
      <c r="U17" s="78" t="str">
        <f>IF(AF17=1,T17*AI17,"")</f>
        <v/>
      </c>
      <c r="V17" s="79">
        <v>8.0399999999999991</v>
      </c>
      <c r="W17" s="79">
        <v>11.54</v>
      </c>
      <c r="X17" s="79">
        <v>6.73</v>
      </c>
      <c r="Y17" s="80"/>
      <c r="Z17" s="78"/>
      <c r="AA17" s="78">
        <v>5</v>
      </c>
      <c r="AB17" s="81"/>
      <c r="AC17" s="71">
        <f>U5</f>
        <v>46263</v>
      </c>
      <c r="AD17" s="60" t="str">
        <f>IF(ISNUMBER(FIND("M",E17)),"m",IF(ISNUMBER(FIND("K",E17)),"k"))</f>
        <v>m</v>
      </c>
      <c r="AE17" s="61">
        <f>IF(OR(G17="",AC17=""),0,(YEAR(AC17)-YEAR(G17)))</f>
        <v>29</v>
      </c>
      <c r="AF17" s="62">
        <f>IF(AE17&gt;34,1,0)</f>
        <v>0</v>
      </c>
      <c r="AG17" s="44" t="b">
        <f>IF(AF17=1,LOOKUP(AE17,'Meltzer-Faber'!A3:A63,'Meltzer-Faber'!B3:B63))</f>
        <v>0</v>
      </c>
      <c r="AH17" s="63" t="b">
        <f>IF(AF17=1,LOOKUP(AE17,'Meltzer-Faber'!A3:A63,'Meltzer-Faber'!C3:C63))</f>
        <v>0</v>
      </c>
      <c r="AI17" s="63" t="b">
        <f>IF(AD17="m",AG17,IF(AD17="k",AH17,""))</f>
        <v>0</v>
      </c>
      <c r="AJ17" s="64">
        <f>IF(D17="","",IF(D17&gt;193.609,1,IF(D17&lt;32,10^(0.722762521*LOG10(32/193.609)^2),10^(0.722762521*LOG10(D17/193.609)^2))))</f>
        <v>1.2201333099034546</v>
      </c>
      <c r="AK17" s="44"/>
    </row>
    <row r="18" spans="1:37" ht="19.5" customHeight="1">
      <c r="A18" s="44"/>
      <c r="B18" s="82"/>
      <c r="C18" s="3"/>
      <c r="D18" s="3"/>
      <c r="E18" s="3"/>
      <c r="F18" s="66"/>
      <c r="G18" s="67"/>
      <c r="H18" s="68"/>
      <c r="I18" s="69"/>
      <c r="J18" s="69"/>
      <c r="K18" s="173"/>
      <c r="L18" s="173"/>
      <c r="M18" s="173"/>
      <c r="N18" s="172"/>
      <c r="O18" s="172"/>
      <c r="P18" s="172"/>
      <c r="Q18" s="70"/>
      <c r="R18" s="3"/>
      <c r="S18" s="173">
        <f>IF(T17="","",T17*1.2)</f>
        <v>420.2139119307497</v>
      </c>
      <c r="T18" s="173"/>
      <c r="U18" s="3"/>
      <c r="V18" s="3">
        <f>IF(V17&gt;0,V17*20,"")</f>
        <v>160.79999999999998</v>
      </c>
      <c r="W18" s="3">
        <f>IF(W17="","",(W17*10)*AJ17)</f>
        <v>140.80338396285865</v>
      </c>
      <c r="X18" s="3">
        <f>IF(ROUNDUP(X17,1)&gt;0,IF((80+(8-ROUNDUP(X17,1))*40)&lt;0,0,80+(8-ROUNDUP(X17,1))*40),"")</f>
        <v>128</v>
      </c>
      <c r="Y18" s="4">
        <f>IF(SUM(V18,W18,X18)&gt;0,SUM(V18,W18,X18),"")</f>
        <v>429.60338396285863</v>
      </c>
      <c r="Z18" s="3">
        <f>IF(AE17&gt;34,(IF(OR(S18="",V18="",W18="",X18=""),"",SUM(S18,V18,W18,X18))*AI17),IF(OR(S18="",V18="",W18="",X18=""),"", SUM(S18,V18,W18,X18)))</f>
        <v>849.81729589360839</v>
      </c>
      <c r="AA18" s="3"/>
      <c r="AB18" s="66"/>
      <c r="AC18" s="71"/>
      <c r="AD18" s="6"/>
      <c r="AE18" s="61"/>
      <c r="AF18" s="62"/>
      <c r="AG18" s="44"/>
      <c r="AH18" s="63"/>
      <c r="AI18" s="63"/>
      <c r="AJ18" s="64"/>
      <c r="AK18" s="44"/>
    </row>
    <row r="19" spans="1:37" ht="19.5" customHeight="1">
      <c r="A19" s="44"/>
      <c r="B19" s="83" t="s">
        <v>283</v>
      </c>
      <c r="C19" s="84" t="s">
        <v>284</v>
      </c>
      <c r="D19" s="78">
        <v>127.76</v>
      </c>
      <c r="E19" s="84" t="s">
        <v>191</v>
      </c>
      <c r="F19" s="84" t="s">
        <v>224</v>
      </c>
      <c r="G19" s="85">
        <v>37123</v>
      </c>
      <c r="H19" s="84" t="s">
        <v>94</v>
      </c>
      <c r="I19" s="91" t="s">
        <v>285</v>
      </c>
      <c r="J19" s="87" t="s">
        <v>79</v>
      </c>
      <c r="K19" s="74">
        <v>110</v>
      </c>
      <c r="L19" s="74">
        <v>115</v>
      </c>
      <c r="M19" s="74">
        <v>-120</v>
      </c>
      <c r="N19" s="74">
        <v>145</v>
      </c>
      <c r="O19" s="74">
        <v>-150</v>
      </c>
      <c r="P19" s="74">
        <v>150</v>
      </c>
      <c r="Q19" s="75">
        <f>IF(MAX(K19:M19)&gt;0,IF(MAX(K19:M19)&lt;0,0,TRUNC(MAX(K19:M19)/1)*1),"")</f>
        <v>115</v>
      </c>
      <c r="R19" s="76">
        <f>IF(MAX(N19:P19)&gt;0,IF(MAX(N19:P19)&lt;0,0,TRUNC(MAX(N19:P19)/1)*1),"")</f>
        <v>150</v>
      </c>
      <c r="S19" s="74">
        <f>IF(Q19="","",IF(R19="","",IF(SUM(Q19:R19)=0,"",SUM(Q19:R19))))</f>
        <v>265</v>
      </c>
      <c r="T19" s="77">
        <f>IF(S19="","",IF(D19="","",IF((AD19="k"),IF(D19&gt;153.757,S19,IF(D19&lt;28,10^(0.0787004341*LOG10(28/153.757)^2)*S19,10^(0.787004341*LOG10(D19/153.757)^2)*S19)),IF(D19&gt;193.609,S19,IF(D19&lt;32,10^(0.722762521*LOG10(32/193.609)^2)*S19,10^(0.722762521*LOG10(D19/193.609)^2)*S19)))))</f>
        <v>279.77032825216168</v>
      </c>
      <c r="U19" s="78" t="str">
        <f>IF(AF19=1,T19*AI19,"")</f>
        <v/>
      </c>
      <c r="V19" s="79">
        <v>7.8</v>
      </c>
      <c r="W19" s="79">
        <v>14.59</v>
      </c>
      <c r="X19" s="79">
        <v>7.18</v>
      </c>
      <c r="Y19" s="80"/>
      <c r="Z19" s="78"/>
      <c r="AA19" s="78">
        <v>6</v>
      </c>
      <c r="AB19" s="81"/>
      <c r="AC19" s="71">
        <f>U5</f>
        <v>46263</v>
      </c>
      <c r="AD19" s="60" t="str">
        <f>IF(ISNUMBER(FIND("M",E19)),"m",IF(ISNUMBER(FIND("K",E19)),"k"))</f>
        <v>m</v>
      </c>
      <c r="AE19" s="61">
        <f>IF(OR(G19="",AC19=""),0,(YEAR(AC19)-YEAR(G19)))</f>
        <v>25</v>
      </c>
      <c r="AF19" s="62">
        <f>IF(AE19&gt;34,1,0)</f>
        <v>0</v>
      </c>
      <c r="AG19" s="44" t="b">
        <f>IF(AF19=1,LOOKUP(AE19,'Meltzer-Faber'!A3:A63,'Meltzer-Faber'!B3:B63))</f>
        <v>0</v>
      </c>
      <c r="AH19" s="63" t="b">
        <f>IF(AF19=1,LOOKUP(AE19,'Meltzer-Faber'!A3:A63,'Meltzer-Faber'!C3:C63))</f>
        <v>0</v>
      </c>
      <c r="AI19" s="63" t="b">
        <f>IF(AD19="m",AG19,IF(AD19="k",AH19,""))</f>
        <v>0</v>
      </c>
      <c r="AJ19" s="64">
        <f>IF(D19="","",IF(D19&gt;193.609,1,IF(D19&lt;32,10^(0.722762521*LOG10(32/193.609)^2),10^(0.722762521*LOG10(D19/193.609)^2))))</f>
        <v>1.0557370877440064</v>
      </c>
      <c r="AK19" s="44"/>
    </row>
    <row r="20" spans="1:37" ht="19.5" customHeight="1">
      <c r="A20" s="44"/>
      <c r="B20" s="82"/>
      <c r="C20" s="3"/>
      <c r="D20" s="3"/>
      <c r="E20" s="3"/>
      <c r="F20" s="66"/>
      <c r="G20" s="67"/>
      <c r="H20" s="68"/>
      <c r="I20" s="69"/>
      <c r="J20" s="69"/>
      <c r="K20" s="173"/>
      <c r="L20" s="173"/>
      <c r="M20" s="173"/>
      <c r="N20" s="172"/>
      <c r="O20" s="172"/>
      <c r="P20" s="172"/>
      <c r="Q20" s="70"/>
      <c r="R20" s="3"/>
      <c r="S20" s="173">
        <f>IF(T19="","",T19*1.2)</f>
        <v>335.72439390259399</v>
      </c>
      <c r="T20" s="173"/>
      <c r="U20" s="3"/>
      <c r="V20" s="3">
        <f>IF(V19&gt;0,V19*20,"")</f>
        <v>156</v>
      </c>
      <c r="W20" s="3">
        <f>IF(W19="","",(W19*10)*AJ19)</f>
        <v>154.03204110185055</v>
      </c>
      <c r="X20" s="3">
        <f>IF(ROUNDUP(X19,1)&gt;0,IF((80+(8-ROUNDUP(X19,1))*40)&lt;0,0,80+(8-ROUNDUP(X19,1))*40),"")</f>
        <v>112.00000000000003</v>
      </c>
      <c r="Y20" s="4">
        <f>IF(SUM(V20,W20,X20)&gt;0,SUM(V20,W20,X20),"")</f>
        <v>422.03204110185061</v>
      </c>
      <c r="Z20" s="3">
        <f>IF(AE19&gt;34,(IF(OR(S20="",V20="",W20="",X20=""),"",SUM(S20,V20,W20,X20))*AI19),IF(OR(S20="",V20="",W20="",X20=""),"", SUM(S20,V20,W20,X20)))</f>
        <v>757.75643500444448</v>
      </c>
      <c r="AA20" s="3"/>
      <c r="AB20" s="66"/>
      <c r="AC20" s="71"/>
      <c r="AD20" s="6"/>
      <c r="AE20" s="61"/>
      <c r="AF20" s="62"/>
      <c r="AG20" s="44"/>
      <c r="AH20" s="63"/>
      <c r="AI20" s="63"/>
      <c r="AJ20" s="64"/>
      <c r="AK20" s="44"/>
    </row>
    <row r="21" spans="1:37" ht="19.5" customHeight="1">
      <c r="A21" s="44"/>
      <c r="B21" s="83" t="s">
        <v>286</v>
      </c>
      <c r="C21" s="84" t="s">
        <v>284</v>
      </c>
      <c r="D21" s="78">
        <v>139.51</v>
      </c>
      <c r="E21" s="84" t="s">
        <v>191</v>
      </c>
      <c r="F21" s="84" t="s">
        <v>224</v>
      </c>
      <c r="G21" s="85">
        <v>37350</v>
      </c>
      <c r="H21" s="84" t="s">
        <v>99</v>
      </c>
      <c r="I21" s="86" t="s">
        <v>287</v>
      </c>
      <c r="J21" s="87" t="s">
        <v>96</v>
      </c>
      <c r="K21" s="74">
        <v>110</v>
      </c>
      <c r="L21" s="74">
        <v>-115</v>
      </c>
      <c r="M21" s="74">
        <v>-115</v>
      </c>
      <c r="N21" s="74">
        <v>140</v>
      </c>
      <c r="O21" s="74">
        <v>-145</v>
      </c>
      <c r="P21" s="74">
        <v>145</v>
      </c>
      <c r="Q21" s="75">
        <f>IF(MAX(K21:M21)&gt;0,IF(MAX(K21:M21)&lt;0,0,TRUNC(MAX(K21:M21)/1)*1),"")</f>
        <v>110</v>
      </c>
      <c r="R21" s="76">
        <f>IF(MAX(N21:P21)&gt;0,IF(MAX(N21:P21)&lt;0,0,TRUNC(MAX(N21:P21)/1)*1),"")</f>
        <v>145</v>
      </c>
      <c r="S21" s="74">
        <f>IF(Q21="","",IF(R21="","",IF(SUM(Q21:R21)=0,"",SUM(Q21:R21))))</f>
        <v>255</v>
      </c>
      <c r="T21" s="77">
        <f>IF(S21="","",IF(D21="","",IF((AD21="k"),IF(D21&gt;153.757,S21,IF(D21&lt;28,10^(0.0787004341*LOG10(28/153.757)^2)*S21,10^(0.787004341*LOG10(D21/153.757)^2)*S21)),IF(D21&gt;193.609,S21,IF(D21&lt;32,10^(0.722762521*LOG10(32/193.609)^2)*S21,10^(0.722762521*LOG10(D21/193.609)^2)*S21)))))</f>
        <v>263.74228491934855</v>
      </c>
      <c r="U21" s="78" t="str">
        <f>IF(AF21=1,T21*AI21,"")</f>
        <v/>
      </c>
      <c r="V21" s="79">
        <v>6.63</v>
      </c>
      <c r="W21" s="79">
        <v>11.91</v>
      </c>
      <c r="X21" s="79">
        <v>7.64</v>
      </c>
      <c r="Y21" s="80"/>
      <c r="Z21" s="78"/>
      <c r="AA21" s="78">
        <v>7</v>
      </c>
      <c r="AB21" s="81"/>
      <c r="AC21" s="71">
        <f>U5</f>
        <v>46263</v>
      </c>
      <c r="AD21" s="60" t="str">
        <f>IF(ISNUMBER(FIND("M",E21)),"m",IF(ISNUMBER(FIND("K",E21)),"k"))</f>
        <v>m</v>
      </c>
      <c r="AE21" s="61">
        <f>IF(OR(G21="",AC21=""),0,(YEAR(AC21)-YEAR(G21)))</f>
        <v>24</v>
      </c>
      <c r="AF21" s="62">
        <f>IF(AE21&gt;34,1,0)</f>
        <v>0</v>
      </c>
      <c r="AG21" s="44" t="b">
        <f>IF(AF21=1,LOOKUP(AE21,'Meltzer-Faber'!A3:A63,'Meltzer-Faber'!B3:B63))</f>
        <v>0</v>
      </c>
      <c r="AH21" s="63" t="b">
        <f>IF(AF21=1,LOOKUP(AE21,'Meltzer-Faber'!A3:A63,'Meltzer-Faber'!C3:C63))</f>
        <v>0</v>
      </c>
      <c r="AI21" s="63" t="b">
        <f>IF(AD21="m",AG21,IF(AD21="k",AH21,""))</f>
        <v>0</v>
      </c>
      <c r="AJ21" s="64">
        <f>IF(D21="","",IF(D21&gt;193.609,1,IF(D21&lt;32,10^(0.722762521*LOG10(32/193.609)^2),10^(0.722762521*LOG10(D21/193.609)^2))))</f>
        <v>1.034283470271955</v>
      </c>
      <c r="AK21" s="44"/>
    </row>
    <row r="22" spans="1:37" ht="19.5" customHeight="1">
      <c r="A22" s="44"/>
      <c r="B22" s="82"/>
      <c r="C22" s="3"/>
      <c r="D22" s="3"/>
      <c r="E22" s="3"/>
      <c r="F22" s="66"/>
      <c r="G22" s="67"/>
      <c r="H22" s="68"/>
      <c r="I22" s="69"/>
      <c r="J22" s="69"/>
      <c r="K22" s="173"/>
      <c r="L22" s="173"/>
      <c r="M22" s="173"/>
      <c r="N22" s="172"/>
      <c r="O22" s="172"/>
      <c r="P22" s="172"/>
      <c r="Q22" s="70"/>
      <c r="R22" s="3"/>
      <c r="S22" s="173">
        <f>IF(T21="","",T21*1.2)</f>
        <v>316.49074190321824</v>
      </c>
      <c r="T22" s="173"/>
      <c r="U22" s="3"/>
      <c r="V22" s="3">
        <f>IF(V21&gt;0,V21*20,"")</f>
        <v>132.6</v>
      </c>
      <c r="W22" s="3">
        <f>IF(W21="","",(W21*10)*AJ21)</f>
        <v>123.18316130938983</v>
      </c>
      <c r="X22" s="3">
        <f>IF(ROUNDUP(X21,1)&gt;0,IF((80+(8-ROUNDUP(X21,1))*40)&lt;0,0,80+(8-ROUNDUP(X21,1))*40),"")</f>
        <v>92.000000000000028</v>
      </c>
      <c r="Y22" s="4">
        <f>IF(SUM(V22,W22,X22)&gt;0,SUM(V22,W22,X22),"")</f>
        <v>347.78316130938981</v>
      </c>
      <c r="Z22" s="3">
        <f>IF(AE21&gt;34,(IF(OR(S22="",V22="",W22="",X22=""),"",SUM(S22,V22,W22,X22))*AI21),IF(OR(S22="",V22="",W22="",X22=""),"", SUM(S22,V22,W22,X22)))</f>
        <v>664.27390321260805</v>
      </c>
      <c r="AA22" s="3"/>
      <c r="AB22" s="66"/>
      <c r="AC22" s="71"/>
      <c r="AD22" s="6"/>
      <c r="AE22" s="61"/>
      <c r="AF22" s="62"/>
      <c r="AG22" s="44"/>
      <c r="AH22" s="63"/>
      <c r="AI22" s="63"/>
      <c r="AJ22" s="64"/>
      <c r="AK22" s="44"/>
    </row>
    <row r="23" spans="1:37" ht="19.5" customHeight="1">
      <c r="A23" s="44"/>
      <c r="B23" s="83" t="s">
        <v>288</v>
      </c>
      <c r="C23" s="84" t="s">
        <v>284</v>
      </c>
      <c r="D23" s="78">
        <v>149.41999999999999</v>
      </c>
      <c r="E23" s="84" t="s">
        <v>191</v>
      </c>
      <c r="F23" s="84" t="s">
        <v>224</v>
      </c>
      <c r="G23" s="85">
        <v>37061</v>
      </c>
      <c r="H23" s="84" t="s">
        <v>64</v>
      </c>
      <c r="I23" s="86" t="s">
        <v>289</v>
      </c>
      <c r="J23" s="87" t="s">
        <v>92</v>
      </c>
      <c r="K23" s="74">
        <v>165</v>
      </c>
      <c r="L23" s="74">
        <v>170</v>
      </c>
      <c r="M23" s="74">
        <v>175</v>
      </c>
      <c r="N23" s="74">
        <v>195</v>
      </c>
      <c r="O23" s="74">
        <v>205</v>
      </c>
      <c r="P23" s="74">
        <v>212</v>
      </c>
      <c r="Q23" s="75">
        <f>IF(MAX(K23:M23)&gt;0,IF(MAX(K23:M23)&lt;0,0,TRUNC(MAX(K23:M23)/1)*1),"")</f>
        <v>175</v>
      </c>
      <c r="R23" s="76">
        <f>IF(MAX(N23:P23)&gt;0,IF(MAX(N23:P23)&lt;0,0,TRUNC(MAX(N23:P23)/1)*1),"")</f>
        <v>212</v>
      </c>
      <c r="S23" s="74">
        <f>IF(Q23="","",IF(R23="","",IF(SUM(Q23:R23)=0,"",SUM(Q23:R23))))</f>
        <v>387</v>
      </c>
      <c r="T23" s="77">
        <f>IF(S23="","",IF(D23="","",IF((AD23="k"),IF(D23&gt;153.757,S23,IF(C23&lt;28,10^(0.0787004341*LOG10(28/153.757)^2)*S23,10^(0.787004341*LOG10(D23/153.757)^2)*S23)),IF(D23&gt;193.609,S23,IF(D23&lt;32,10^(0.722762521*LOG10(32/193.609)^2)*S23,10^(0.722762521*LOG10(D23/193.609)^2)*S23)))))</f>
        <v>395.24024697877712</v>
      </c>
      <c r="U23" s="78" t="str">
        <f>IF(AF23=1,T23*AI23,"")</f>
        <v/>
      </c>
      <c r="V23" s="79"/>
      <c r="W23" s="79"/>
      <c r="X23" s="79"/>
      <c r="Y23" s="80"/>
      <c r="Z23" s="78"/>
      <c r="AA23" s="78">
        <v>8</v>
      </c>
      <c r="AB23" s="81"/>
      <c r="AC23" s="71">
        <f>U5</f>
        <v>46263</v>
      </c>
      <c r="AD23" s="60" t="str">
        <f>IF(ISNUMBER(FIND("M",E23)),"m",IF(ISNUMBER(FIND("K",E23)),"k"))</f>
        <v>m</v>
      </c>
      <c r="AE23" s="92">
        <f>IF(OR(G23="",AC23=""),0,(YEAR(AC23)-YEAR(G23)))</f>
        <v>25</v>
      </c>
      <c r="AF23" s="62">
        <f>IF(AE23&gt;34,1,0)</f>
        <v>0</v>
      </c>
      <c r="AG23" s="44" t="b">
        <f>IF(AF23=1,LOOKUP(AE23,'Meltzer-Faber'!A3:A63,'Meltzer-Faber'!B3:B63))</f>
        <v>0</v>
      </c>
      <c r="AH23" s="63" t="b">
        <f>IF(AF23=1,LOOKUP(AE23,'Meltzer-Faber'!A3:A63,'Meltzer-Faber'!C3:C63))</f>
        <v>0</v>
      </c>
      <c r="AI23" s="63" t="b">
        <f>IF(AD23="m",AG23,IF(AD23="k",AH23,""))</f>
        <v>0</v>
      </c>
      <c r="AJ23" s="64">
        <f>IF(D23="","",IF(D23&gt;193.609,1,IF(D23&lt;32,10^(0.722762521*LOG10(32/193.609)^2),10^(0.722762521*LOG10(D23/193.609)^2))))</f>
        <v>1.0212926278521373</v>
      </c>
      <c r="AK23" s="44"/>
    </row>
    <row r="24" spans="1:37" ht="19.5" customHeight="1">
      <c r="A24" s="44"/>
      <c r="B24" s="82"/>
      <c r="C24" s="3"/>
      <c r="D24" s="3"/>
      <c r="E24" s="3"/>
      <c r="F24" s="66"/>
      <c r="G24" s="67"/>
      <c r="H24" s="68"/>
      <c r="I24" s="69"/>
      <c r="J24" s="69"/>
      <c r="K24" s="173"/>
      <c r="L24" s="173"/>
      <c r="M24" s="173"/>
      <c r="N24" s="172"/>
      <c r="O24" s="172"/>
      <c r="P24" s="172"/>
      <c r="Q24" s="70"/>
      <c r="R24" s="3"/>
      <c r="S24" s="173">
        <f>IF(T23="","",T23*1.2)</f>
        <v>474.28829637453254</v>
      </c>
      <c r="T24" s="173"/>
      <c r="U24" s="3"/>
      <c r="V24" s="3" t="str">
        <f>IF(V23&gt;0,V23*20,"")</f>
        <v/>
      </c>
      <c r="W24" s="3" t="str">
        <f>IF(W23="","",(W23*10)*AJ23)</f>
        <v/>
      </c>
      <c r="X24" s="3" t="str">
        <f>IF(ROUNDUP(X23,1)&gt;0,IF((80+(8-ROUNDUP(X23,1))*40)&lt;0,0,80+(8-ROUNDUP(X23,1))*40),"")</f>
        <v/>
      </c>
      <c r="Y24" s="4" t="str">
        <f>IF(SUM(V24,W24,X24)&gt;0,SUM(V24,W24,X24),"")</f>
        <v/>
      </c>
      <c r="Z24" s="3" t="str">
        <f>IF(AE23&gt;34,(IF(OR(S24="",V24="",W24="",X24=""),"",SUM(S24,V24,W24,X24))*AI23),IF(OR(S24="",V24="",W24="",X24=""),"", SUM(S24,V24,W24,X24)))</f>
        <v/>
      </c>
      <c r="AA24" s="3"/>
      <c r="AB24" s="66"/>
      <c r="AC24" s="71"/>
      <c r="AD24" s="6"/>
      <c r="AE24" s="61"/>
      <c r="AF24" s="62"/>
      <c r="AG24" s="44"/>
      <c r="AH24" s="63"/>
      <c r="AI24" s="63"/>
      <c r="AJ24" s="64"/>
      <c r="AK24" s="44"/>
    </row>
    <row r="25" spans="1:37" ht="19.5" customHeight="1">
      <c r="A25" s="44"/>
      <c r="B25" s="83" t="s">
        <v>290</v>
      </c>
      <c r="C25" s="84" t="s">
        <v>154</v>
      </c>
      <c r="D25" s="78">
        <v>77.08</v>
      </c>
      <c r="E25" s="84" t="s">
        <v>191</v>
      </c>
      <c r="F25" s="84" t="s">
        <v>224</v>
      </c>
      <c r="G25" s="85">
        <v>37160</v>
      </c>
      <c r="H25" s="84" t="s">
        <v>86</v>
      </c>
      <c r="I25" s="86" t="s">
        <v>291</v>
      </c>
      <c r="J25" s="87" t="s">
        <v>54</v>
      </c>
      <c r="K25" s="74">
        <v>115</v>
      </c>
      <c r="L25" s="74">
        <v>-119</v>
      </c>
      <c r="M25" s="74">
        <v>-119</v>
      </c>
      <c r="N25" s="74">
        <v>-145</v>
      </c>
      <c r="O25" s="74">
        <v>-145</v>
      </c>
      <c r="P25" s="74">
        <v>-145</v>
      </c>
      <c r="Q25" s="75">
        <f>IF(MAX(K25:M25)&gt;0,IF(MAX(K25:M25)&lt;0,0,TRUNC(MAX(K25:M25)/1)*1),"")</f>
        <v>115</v>
      </c>
      <c r="R25" s="76" t="str">
        <f>IF(MAX(N25:P25)&gt;0,IF(MAX(N25:P25)&lt;0,0,TRUNC(MAX(N25:P25)/1)*1),"")</f>
        <v/>
      </c>
      <c r="S25" s="74" t="str">
        <f>IF(Q25="","",IF(R25="","",IF(SUM(Q25:R25)=0,"",SUM(Q25:R25))))</f>
        <v/>
      </c>
      <c r="T25" s="77" t="str">
        <f>IF(S25="","",IF(D25="","",IF((AD25="k"),IF(D25&gt;153.757,S25,IF(C25&lt;28,10^(0.0787004341*LOG10(28/153.757)^2)*S25,10^(0.787004341*LOG10(D25/153.757)^2)*S25)),IF(D25&gt;193.609,S25,IF(D25&lt;32,10^(0.722762521*LOG10(32/193.609)^2)*S25,10^(0.722762521*LOG10(D25/193.609)^2)*S25)))))</f>
        <v/>
      </c>
      <c r="U25" s="78" t="str">
        <f>IF(AF25=1,T25*AI25,"")</f>
        <v/>
      </c>
      <c r="V25" s="79"/>
      <c r="W25" s="79"/>
      <c r="X25" s="79"/>
      <c r="Y25" s="80"/>
      <c r="Z25" s="78"/>
      <c r="AA25" s="78">
        <v>9</v>
      </c>
      <c r="AB25" s="81"/>
      <c r="AC25" s="71">
        <f>U5</f>
        <v>46263</v>
      </c>
      <c r="AD25" s="60" t="str">
        <f>IF(ISNUMBER(FIND("M",E25)),"m",IF(ISNUMBER(FIND("K",E25)),"k"))</f>
        <v>m</v>
      </c>
      <c r="AE25" s="92">
        <f>IF(OR(G25="",AC25=""),0,(YEAR(AC25)-YEAR(G25)))</f>
        <v>25</v>
      </c>
      <c r="AF25" s="62">
        <f>IF(AE25&gt;34,1,0)</f>
        <v>0</v>
      </c>
      <c r="AG25" s="44" t="b">
        <f>IF(AF25=1,LOOKUP(AE25,'Meltzer-Faber'!A3:A63,'Meltzer-Faber'!B3:B63))</f>
        <v>0</v>
      </c>
      <c r="AH25" s="63" t="b">
        <f>IF(AF25=1,LOOKUP(AE25,'Meltzer-Faber'!A3:A63,'Meltzer-Faber'!C3:C63))</f>
        <v>0</v>
      </c>
      <c r="AI25" s="63" t="b">
        <f>IF(AD25="m",AG25,IF(AD25="k",AH25,""))</f>
        <v>0</v>
      </c>
      <c r="AJ25" s="64">
        <f>IF(D25="","",IF(D25&gt;193.609,1,IF(D25&lt;32,10^(0.722762521*LOG10(32/193.609)^2),10^(0.722762521*LOG10(D25/193.609)^2))))</f>
        <v>1.3050665463915903</v>
      </c>
      <c r="AK25" s="44"/>
    </row>
    <row r="26" spans="1:37" ht="19.5" customHeight="1">
      <c r="A26" s="44"/>
      <c r="B26" s="82"/>
      <c r="C26" s="3"/>
      <c r="D26" s="3"/>
      <c r="E26" s="3"/>
      <c r="F26" s="66"/>
      <c r="G26" s="67"/>
      <c r="H26" s="68"/>
      <c r="I26" s="69"/>
      <c r="J26" s="69"/>
      <c r="K26" s="173"/>
      <c r="L26" s="173"/>
      <c r="M26" s="173"/>
      <c r="N26" s="172"/>
      <c r="O26" s="172"/>
      <c r="P26" s="172"/>
      <c r="Q26" s="70"/>
      <c r="R26" s="3"/>
      <c r="S26" s="173" t="str">
        <f>IF(T25="","",T25*1.2)</f>
        <v/>
      </c>
      <c r="T26" s="173"/>
      <c r="U26" s="3"/>
      <c r="V26" s="3" t="str">
        <f>IF(V25&gt;0,V25*20,"")</f>
        <v/>
      </c>
      <c r="W26" s="3" t="str">
        <f>IF(W25="","",(W25*10)*AJ25)</f>
        <v/>
      </c>
      <c r="X26" s="3" t="str">
        <f>IF(ROUNDUP(X25,1)&gt;0,IF((80+(8-ROUNDUP(X25,1))*40)&lt;0,0,80+(8-ROUNDUP(X25,1))*40),"")</f>
        <v/>
      </c>
      <c r="Y26" s="4" t="str">
        <f>IF(SUM(V26,W26,X26)&gt;0,SUM(V26,W26,X26),"")</f>
        <v/>
      </c>
      <c r="Z26" s="3" t="str">
        <f>IF(AE25&gt;34,(IF(OR(S26="",V26="",W26="",X26=""),"",SUM(S26,V26,W26,X26))*AI25),IF(OR(S26="",V26="",W26="",X26=""),"", SUM(S26,V26,W26,X26)))</f>
        <v/>
      </c>
      <c r="AA26" s="3"/>
      <c r="AB26" s="66"/>
      <c r="AC26" s="71"/>
      <c r="AD26" s="6"/>
      <c r="AE26" s="61"/>
      <c r="AF26" s="62"/>
      <c r="AG26" s="44"/>
      <c r="AH26" s="63"/>
      <c r="AI26" s="63"/>
      <c r="AJ26" s="64"/>
      <c r="AK26" s="44"/>
    </row>
    <row r="27" spans="1:37" ht="19.5" customHeight="1">
      <c r="A27" s="44"/>
      <c r="B27" s="83" t="s">
        <v>292</v>
      </c>
      <c r="C27" s="93" t="s">
        <v>147</v>
      </c>
      <c r="D27" s="78">
        <v>93.13</v>
      </c>
      <c r="E27" s="94" t="s">
        <v>191</v>
      </c>
      <c r="F27" s="95" t="s">
        <v>224</v>
      </c>
      <c r="G27" s="85">
        <v>34617</v>
      </c>
      <c r="H27" s="84" t="s">
        <v>60</v>
      </c>
      <c r="I27" s="87" t="s">
        <v>293</v>
      </c>
      <c r="J27" s="87" t="s">
        <v>79</v>
      </c>
      <c r="K27" s="96">
        <v>98</v>
      </c>
      <c r="L27" s="97">
        <v>102</v>
      </c>
      <c r="M27" s="97">
        <v>-105</v>
      </c>
      <c r="N27" s="97">
        <v>-120</v>
      </c>
      <c r="O27" s="98">
        <v>-120</v>
      </c>
      <c r="P27" s="98">
        <v>-120</v>
      </c>
      <c r="Q27" s="75">
        <f>IF(MAX(K27:M27)&gt;0,IF(MAX(K27:M27)&lt;0,0,TRUNC(MAX(K27:M27)/1)*1),"")</f>
        <v>102</v>
      </c>
      <c r="R27" s="76" t="str">
        <f>IF(MAX(N27:P27)&gt;0,IF(MAX(N27:P27)&lt;0,0,TRUNC(MAX(N27:P27)/1)*1),"")</f>
        <v/>
      </c>
      <c r="S27" s="74" t="str">
        <f>IF(Q27="","",IF(R27="","",IF(SUM(Q27:R27)=0,"",SUM(Q27:R27))))</f>
        <v/>
      </c>
      <c r="T27" s="77" t="str">
        <f>IF(S27="","",IF(D27="","",IF((AD27="k"),IF(D27&gt;153.757,S27,IF(C27&lt;28,10^(0.0787004341*LOG10(28/153.757)^2)*S27,10^(0.787004341*LOG10(D27/153.757)^2)*S27)),IF(D27&gt;193.609,S27,IF(D27&lt;32,10^(0.722762521*LOG10(32/193.609)^2)*S27,10^(0.722762521*LOG10(D27/193.609)^2)*S27)))))</f>
        <v/>
      </c>
      <c r="U27" s="78" t="str">
        <f>IF(AF27=1,T27*AI27,"")</f>
        <v/>
      </c>
      <c r="V27" s="79"/>
      <c r="W27" s="79"/>
      <c r="X27" s="79"/>
      <c r="Y27" s="80"/>
      <c r="Z27" s="78"/>
      <c r="AA27" s="78">
        <v>10</v>
      </c>
      <c r="AB27" s="81"/>
      <c r="AC27" s="71">
        <f>U5</f>
        <v>46263</v>
      </c>
      <c r="AD27" s="60" t="str">
        <f>IF(ISNUMBER(FIND("M",E27)),"m",IF(ISNUMBER(FIND("K",E27)),"k"))</f>
        <v>m</v>
      </c>
      <c r="AE27" s="92">
        <f>IF(OR(G27="",AC27=""),0,(YEAR(AC27)-YEAR(G27)))</f>
        <v>32</v>
      </c>
      <c r="AF27" s="62">
        <f>IF(AE27&gt;34,1,0)</f>
        <v>0</v>
      </c>
      <c r="AG27" s="44" t="b">
        <f>IF(AF27=1,LOOKUP(AE27,'Meltzer-Faber'!A3:A63,'Meltzer-Faber'!B3:B63))</f>
        <v>0</v>
      </c>
      <c r="AH27" s="63" t="b">
        <f>IF(AF27=1,LOOKUP(AE27,'Meltzer-Faber'!A3:A63,'Meltzer-Faber'!C3:C63))</f>
        <v>0</v>
      </c>
      <c r="AI27" s="63" t="b">
        <f>IF(AD27="m",AG27,IF(AD27="k",AH27,""))</f>
        <v>0</v>
      </c>
      <c r="AJ27" s="64">
        <f>IF(D27="","",IF(D27&gt;193.609,1,IF(D27&lt;32,10^(0.722762521*LOG10(32/193.609)^2),10^(0.722762521*LOG10(D27/193.609)^2))))</f>
        <v>1.1830776268337519</v>
      </c>
      <c r="AK27" s="44"/>
    </row>
    <row r="28" spans="1:37" ht="19.5" customHeight="1">
      <c r="A28" s="44"/>
      <c r="B28" s="82"/>
      <c r="C28" s="99"/>
      <c r="D28" s="3"/>
      <c r="E28" s="66"/>
      <c r="F28" s="66"/>
      <c r="G28" s="67"/>
      <c r="H28" s="67"/>
      <c r="I28" s="69"/>
      <c r="J28" s="69"/>
      <c r="K28" s="172"/>
      <c r="L28" s="172"/>
      <c r="M28" s="172"/>
      <c r="N28" s="172"/>
      <c r="O28" s="172"/>
      <c r="P28" s="172"/>
      <c r="Q28" s="70"/>
      <c r="R28" s="3"/>
      <c r="S28" s="173" t="str">
        <f>IF(T27="","",T27*1.2)</f>
        <v/>
      </c>
      <c r="T28" s="173"/>
      <c r="U28" s="3"/>
      <c r="V28" s="3" t="str">
        <f>IF(V27&gt;0,V27*20,"")</f>
        <v/>
      </c>
      <c r="W28" s="3" t="str">
        <f>IF(W27="","",(W27*10)*AJ27)</f>
        <v/>
      </c>
      <c r="X28" s="3" t="str">
        <f>IF(ROUNDUP(X27,1)&gt;0,IF((80+(8-ROUNDUP(X27,1))*40)&lt;0,0,80+(8-ROUNDUP(X27,1))*40),"")</f>
        <v/>
      </c>
      <c r="Y28" s="4" t="str">
        <f>IF(SUM(V28,W28,X28)&gt;0,SUM(V28,W28,X28),"")</f>
        <v/>
      </c>
      <c r="Z28" s="3" t="str">
        <f>IF(AE27&gt;34,(IF(OR(S28="",V28="",W28="",X28=""),"",SUM(S28,V28,W28,X28))*AI27),IF(OR(S28="",V28="",W28="",X28=""),"", SUM(S28,V28,W28,X28)))</f>
        <v/>
      </c>
      <c r="AA28" s="3"/>
      <c r="AB28" s="66"/>
      <c r="AC28" s="71"/>
      <c r="AD28" s="6"/>
      <c r="AE28" s="61"/>
      <c r="AF28" s="62"/>
      <c r="AG28" s="44"/>
      <c r="AH28" s="63"/>
      <c r="AI28" s="63"/>
      <c r="AJ28" s="64"/>
      <c r="AK28" s="44"/>
    </row>
    <row r="29" spans="1:37" ht="19.5" customHeight="1">
      <c r="A29" s="44"/>
      <c r="B29" s="83"/>
      <c r="C29" s="93"/>
      <c r="D29" s="78"/>
      <c r="E29" s="94"/>
      <c r="F29" s="95"/>
      <c r="G29" s="85"/>
      <c r="H29" s="84"/>
      <c r="I29" s="87"/>
      <c r="J29" s="87"/>
      <c r="K29" s="96"/>
      <c r="L29" s="97"/>
      <c r="M29" s="97"/>
      <c r="N29" s="97"/>
      <c r="O29" s="98"/>
      <c r="P29" s="98"/>
      <c r="Q29" s="75" t="str">
        <f>IF(MAX(K29:M29)&gt;0,IF(MAX(K29:M29)&lt;0,0,TRUNC(MAX(K29:M29)/1)*1),"")</f>
        <v/>
      </c>
      <c r="R29" s="76" t="str">
        <f>IF(MAX(N29:P29)&gt;0,IF(MAX(N29:P29)&lt;0,0,TRUNC(MAX(N29:P29)/1)*1),"")</f>
        <v/>
      </c>
      <c r="S29" s="74" t="str">
        <f>IF(Q29="","",IF(R29="","",IF(SUM(Q29:R29)=0,"",SUM(Q29:R29))))</f>
        <v/>
      </c>
      <c r="T29" s="77" t="str">
        <f>IF(S29="","",IF(D29="","",IF((AD29="k"),IF(D29&gt;153.757,S29,IF(C29&lt;28,10^(0.0787004341*LOG10(28/153.757)^2)*S29,10^(0.787004341*LOG10(D29/153.757)^2)*S29)),IF(D29&gt;193.609,S29,IF(D29&lt;32,10^(0.722762521*LOG10(32/193.609)^2)*S29,10^(0.722762521*LOG10(D29/193.609)^2)*S29)))))</f>
        <v/>
      </c>
      <c r="U29" s="78" t="str">
        <f>IF(AF29=1,T29*AI29,"")</f>
        <v/>
      </c>
      <c r="V29" s="79"/>
      <c r="W29" s="79"/>
      <c r="X29" s="79"/>
      <c r="Y29" s="80"/>
      <c r="Z29" s="78"/>
      <c r="AA29" s="78"/>
      <c r="AB29" s="81"/>
      <c r="AC29" s="71">
        <f>U5</f>
        <v>46263</v>
      </c>
      <c r="AD29" s="60" t="b">
        <f>IF(ISNUMBER(FIND("M",E29)),"m",IF(ISNUMBER(FIND("K",E29)),"k"))</f>
        <v>0</v>
      </c>
      <c r="AE29" s="92">
        <f>IF(OR(G29="",AC29=""),0,(YEAR(AC29)-YEAR(G29)))</f>
        <v>0</v>
      </c>
      <c r="AF29" s="62">
        <f>IF(AE29&gt;34,1,0)</f>
        <v>0</v>
      </c>
      <c r="AG29" s="44" t="b">
        <f>IF(AF29=1,LOOKUP(AE29,'Meltzer-Faber'!A3:A63,'Meltzer-Faber'!B3:B63))</f>
        <v>0</v>
      </c>
      <c r="AH29" s="63" t="b">
        <f>IF(AF29=1,LOOKUP(AE29,'Meltzer-Faber'!A3:A63,'Meltzer-Faber'!C3:C63))</f>
        <v>0</v>
      </c>
      <c r="AI29" s="63" t="str">
        <f>IF(AD29="m",AG29,IF(AD29="k",AH29,""))</f>
        <v/>
      </c>
      <c r="AJ29" s="64" t="str">
        <f>IF(D29="","",IF(D29&gt;193.609,1,IF(D29&lt;32,10^(0.722762521*LOG10(32/193.609)^2),10^(0.722762521*LOG10(D29/193.609)^2))))</f>
        <v/>
      </c>
      <c r="AK29" s="44"/>
    </row>
    <row r="30" spans="1:37" ht="19.5" customHeight="1">
      <c r="A30" s="44"/>
      <c r="B30" s="82"/>
      <c r="C30" s="99"/>
      <c r="D30" s="3"/>
      <c r="E30" s="66"/>
      <c r="F30" s="66"/>
      <c r="G30" s="67"/>
      <c r="H30" s="67"/>
      <c r="I30" s="69"/>
      <c r="J30" s="69"/>
      <c r="K30" s="172"/>
      <c r="L30" s="172"/>
      <c r="M30" s="172"/>
      <c r="N30" s="172"/>
      <c r="O30" s="172"/>
      <c r="P30" s="172"/>
      <c r="Q30" s="70"/>
      <c r="R30" s="3"/>
      <c r="S30" s="173" t="str">
        <f>IF(T29="","",T29*1.2)</f>
        <v/>
      </c>
      <c r="T30" s="173"/>
      <c r="U30" s="3"/>
      <c r="V30" s="3"/>
      <c r="W30" s="3"/>
      <c r="X30" s="3"/>
      <c r="Y30" s="4" t="str">
        <f>IF(SUM(V30,W30,X30)&gt;0,SUM(V30,W30,X30),"")</f>
        <v/>
      </c>
      <c r="Z30" s="3" t="str">
        <f>IF(AE29&gt;34,(IF(OR(S30="",V30="",W30="",X30=""),"",SUM(S30,V30,W30,X30))*AI29),IF(OR(S30="",V30="",W30="",X30=""),"", SUM(S30,V30,W30,X30)))</f>
        <v/>
      </c>
      <c r="AA30" s="3"/>
      <c r="AB30" s="66"/>
      <c r="AC30" s="71"/>
      <c r="AD30" s="6"/>
      <c r="AE30" s="61"/>
      <c r="AF30" s="62"/>
      <c r="AG30" s="44"/>
      <c r="AH30" s="63"/>
      <c r="AI30" s="63"/>
      <c r="AJ30" s="64"/>
      <c r="AK30" s="44"/>
    </row>
    <row r="31" spans="1:37" ht="19.5" customHeight="1">
      <c r="A31" s="44"/>
      <c r="B31" s="83"/>
      <c r="C31" s="93"/>
      <c r="D31" s="78"/>
      <c r="E31" s="94"/>
      <c r="F31" s="95"/>
      <c r="G31" s="85"/>
      <c r="H31" s="84"/>
      <c r="I31" s="87"/>
      <c r="J31" s="87"/>
      <c r="K31" s="96"/>
      <c r="L31" s="97"/>
      <c r="M31" s="97"/>
      <c r="N31" s="97"/>
      <c r="O31" s="98"/>
      <c r="P31" s="98"/>
      <c r="Q31" s="75" t="str">
        <f>IF(MAX(K31:M31)&gt;0,IF(MAX(K31:M31)&lt;0,0,TRUNC(MAX(K31:M31)/1)*1),"")</f>
        <v/>
      </c>
      <c r="R31" s="76" t="str">
        <f>IF(MAX(N31:P31)&gt;0,IF(MAX(N31:P31)&lt;0,0,TRUNC(MAX(N31:P31)/1)*1),"")</f>
        <v/>
      </c>
      <c r="S31" s="74" t="str">
        <f>IF(Q31="","",IF(R31="","",IF(SUM(Q31:R31)=0,"",SUM(Q31:R31))))</f>
        <v/>
      </c>
      <c r="T31" s="77" t="str">
        <f>IF(S31="","",IF(D31="","",IF((AD31="k"),IF(D31&gt;153.757,S31,IF(C31&lt;28,10^(0.0787004341*LOG10(28/153.757)^2)*S31,10^(0.787004341*LOG10(D31/153.757)^2)*S31)),IF(D31&gt;193.609,S31,IF(D31&lt;32,10^(0.722762521*LOG10(32/193.609)^2)*S31,10^(0.722762521*LOG10(D31/193.609)^2)*S31)))))</f>
        <v/>
      </c>
      <c r="U31" s="78" t="str">
        <f>IF(AF31=1,T31*AI31,"")</f>
        <v/>
      </c>
      <c r="V31" s="79"/>
      <c r="W31" s="79"/>
      <c r="X31" s="79"/>
      <c r="Y31" s="80"/>
      <c r="Z31" s="78"/>
      <c r="AA31" s="78"/>
      <c r="AB31" s="81"/>
      <c r="AC31" s="71">
        <f>U5</f>
        <v>46263</v>
      </c>
      <c r="AD31" s="60" t="b">
        <f>IF(ISNUMBER(FIND("M",E31)),"m",IF(ISNUMBER(FIND("K",E31)),"k"))</f>
        <v>0</v>
      </c>
      <c r="AE31" s="92">
        <f>IF(OR(G31="",AC31=""),0,(YEAR(AC31)-YEAR(G31)))</f>
        <v>0</v>
      </c>
      <c r="AF31" s="62">
        <f>IF(AE31&gt;34,1,0)</f>
        <v>0</v>
      </c>
      <c r="AG31" s="44" t="b">
        <f>IF(AF31=1,LOOKUP(AE31,'Meltzer-Faber'!A3:A63,'Meltzer-Faber'!B3:B63))</f>
        <v>0</v>
      </c>
      <c r="AH31" s="63" t="b">
        <f>IF(AF31=1,LOOKUP(AE31,'Meltzer-Faber'!A3:A63,'Meltzer-Faber'!C3:C63))</f>
        <v>0</v>
      </c>
      <c r="AI31" s="63" t="str">
        <f>IF(AD31="m",AG31,IF(AD31="k",AH31,""))</f>
        <v/>
      </c>
      <c r="AJ31" s="64" t="str">
        <f>IF(D31="","",IF(D31&gt;193.609,1,IF(D31&lt;32,10^(0.722762521*LOG10(32/193.609)^2),10^(0.722762521*LOG10(D31/193.609)^2))))</f>
        <v/>
      </c>
      <c r="AK31" s="44"/>
    </row>
    <row r="32" spans="1:37" ht="19.5" customHeight="1">
      <c r="A32" s="44"/>
      <c r="B32" s="82"/>
      <c r="C32" s="99"/>
      <c r="D32" s="3"/>
      <c r="E32" s="66"/>
      <c r="F32" s="66"/>
      <c r="G32" s="67"/>
      <c r="H32" s="67"/>
      <c r="I32" s="69"/>
      <c r="J32" s="69"/>
      <c r="K32" s="172"/>
      <c r="L32" s="172"/>
      <c r="M32" s="172"/>
      <c r="N32" s="172"/>
      <c r="O32" s="172"/>
      <c r="P32" s="172"/>
      <c r="Q32" s="70"/>
      <c r="R32" s="3"/>
      <c r="S32" s="173" t="str">
        <f>IF(T31="","",T31*1.2)</f>
        <v/>
      </c>
      <c r="T32" s="173"/>
      <c r="U32" s="3"/>
      <c r="V32" s="3" t="str">
        <f>IF(V31&gt;0,V31*20,"")</f>
        <v/>
      </c>
      <c r="W32" s="3" t="str">
        <f>IF(W31="","",(W31*10)*AJ31)</f>
        <v/>
      </c>
      <c r="X32" s="3" t="str">
        <f>IF(ROUNDUP(X31,1)&gt;0,IF((80+(8-ROUNDUP(X31,1))*40)&lt;0,0,80+(8-ROUNDUP(X31,1))*40),"")</f>
        <v/>
      </c>
      <c r="Y32" s="4" t="str">
        <f>IF(SUM(V32,W32,X32)&gt;0,SUM(V32,W32,X32),"")</f>
        <v/>
      </c>
      <c r="Z32" s="3" t="str">
        <f>IF(AE31&gt;34,(IF(OR(S32="",V32="",W32="",X32=""),"",SUM(S32,V32,W32,X32))*AI31),IF(OR(S32="",V32="",W32="",X32=""),"", SUM(S32,V32,W32,X32)))</f>
        <v/>
      </c>
      <c r="AA32" s="3"/>
      <c r="AB32" s="66"/>
      <c r="AC32" s="71"/>
      <c r="AD32" s="6"/>
      <c r="AE32" s="61"/>
      <c r="AF32" s="62"/>
      <c r="AG32" s="44"/>
      <c r="AH32" s="63"/>
      <c r="AI32" s="63"/>
      <c r="AJ32" s="64"/>
      <c r="AK32" s="44"/>
    </row>
    <row r="33" spans="1:37" ht="18.75" customHeight="1">
      <c r="A33" s="114"/>
      <c r="B33" s="114"/>
      <c r="C33" s="114"/>
      <c r="D33" s="115"/>
      <c r="E33" s="116"/>
      <c r="F33" s="116"/>
      <c r="G33" s="116"/>
      <c r="H33" s="117"/>
      <c r="I33" s="114"/>
      <c r="J33" s="114"/>
      <c r="K33" s="118"/>
      <c r="L33" s="119"/>
      <c r="M33" s="118"/>
      <c r="N33" s="118" t="s">
        <v>101</v>
      </c>
      <c r="O33" s="118"/>
      <c r="P33" s="118"/>
      <c r="Q33" s="116"/>
      <c r="R33" s="116"/>
      <c r="S33" s="116"/>
      <c r="T33" s="120"/>
      <c r="U33" s="120"/>
      <c r="V33" s="120"/>
      <c r="W33" s="120"/>
      <c r="X33" s="120"/>
      <c r="Y33" s="120"/>
      <c r="Z33" s="120"/>
      <c r="AA33" s="120"/>
      <c r="AB33" s="120"/>
      <c r="AC33" s="6"/>
      <c r="AD33" s="121"/>
      <c r="AE33" s="122">
        <f>(YEAR(AC33)-YEAR(G33))</f>
        <v>0</v>
      </c>
      <c r="AF33" s="62">
        <f>IF(AE35&gt;34,1,0)</f>
        <v>0</v>
      </c>
      <c r="AG33" s="114"/>
      <c r="AH33" s="117"/>
      <c r="AI33" s="117"/>
      <c r="AJ33" s="114"/>
      <c r="AK33" s="114"/>
    </row>
    <row r="34" spans="1:37" ht="21" customHeight="1">
      <c r="A34" s="114"/>
      <c r="B34" s="114"/>
      <c r="C34" s="114"/>
      <c r="D34" s="115"/>
      <c r="E34" s="116"/>
      <c r="F34" s="116"/>
      <c r="G34" s="116"/>
      <c r="H34" s="117"/>
      <c r="I34" s="114"/>
      <c r="J34" s="114"/>
      <c r="K34" s="118"/>
      <c r="L34" s="119"/>
      <c r="M34" s="118"/>
      <c r="N34" s="118"/>
      <c r="O34" s="118"/>
      <c r="P34" s="118"/>
      <c r="Q34" s="116"/>
      <c r="R34" s="116"/>
      <c r="S34" s="116"/>
      <c r="T34" s="120"/>
      <c r="U34" s="120"/>
      <c r="V34" s="120"/>
      <c r="W34" s="120"/>
      <c r="X34" s="120"/>
      <c r="Y34" s="120"/>
      <c r="Z34" s="120"/>
      <c r="AA34" s="120"/>
      <c r="AB34" s="120"/>
      <c r="AC34" s="6"/>
      <c r="AD34" s="121"/>
      <c r="AE34" s="122"/>
      <c r="AF34" s="62"/>
      <c r="AG34" s="114"/>
      <c r="AH34" s="117"/>
      <c r="AI34" s="117"/>
      <c r="AJ34" s="114"/>
      <c r="AK34" s="114"/>
    </row>
    <row r="35" spans="1:37" ht="22.5" customHeight="1">
      <c r="B35" s="166" t="s">
        <v>102</v>
      </c>
      <c r="C35" s="166"/>
      <c r="D35" s="123" t="s">
        <v>14</v>
      </c>
      <c r="E35" s="166" t="s">
        <v>21</v>
      </c>
      <c r="F35" s="166"/>
      <c r="G35" s="166"/>
      <c r="H35" s="166"/>
      <c r="I35" s="2" t="s">
        <v>103</v>
      </c>
      <c r="J35" s="124"/>
      <c r="K35" s="166" t="s">
        <v>102</v>
      </c>
      <c r="L35" s="166"/>
      <c r="M35" s="166"/>
      <c r="N35" s="1" t="s">
        <v>14</v>
      </c>
      <c r="O35" s="167" t="s">
        <v>21</v>
      </c>
      <c r="P35" s="167"/>
      <c r="Q35" s="167"/>
      <c r="R35" s="167"/>
      <c r="S35" s="167" t="s">
        <v>103</v>
      </c>
      <c r="T35" s="167"/>
      <c r="U35" s="12"/>
      <c r="V35" s="12"/>
      <c r="W35" s="12"/>
      <c r="X35" s="12"/>
      <c r="Y35" s="12"/>
      <c r="Z35" s="12"/>
      <c r="AA35" s="12"/>
      <c r="AB35" s="12"/>
      <c r="AF35" s="6"/>
      <c r="AH35" s="125"/>
      <c r="AI35" s="125"/>
    </row>
    <row r="36" spans="1:37" ht="19.5" customHeight="1">
      <c r="A36" s="16"/>
      <c r="B36" s="168" t="s">
        <v>104</v>
      </c>
      <c r="C36" s="168"/>
      <c r="D36" s="126" t="s">
        <v>105</v>
      </c>
      <c r="E36" s="169" t="s">
        <v>106</v>
      </c>
      <c r="F36" s="169"/>
      <c r="G36" s="169"/>
      <c r="H36" s="169"/>
      <c r="I36" s="127" t="s">
        <v>107</v>
      </c>
      <c r="K36" s="168" t="s">
        <v>108</v>
      </c>
      <c r="L36" s="168"/>
      <c r="M36" s="168"/>
      <c r="N36" s="128" t="s">
        <v>109</v>
      </c>
      <c r="O36" s="170" t="s">
        <v>110</v>
      </c>
      <c r="P36" s="170"/>
      <c r="Q36" s="170"/>
      <c r="R36" s="170"/>
      <c r="S36" s="171" t="s">
        <v>96</v>
      </c>
      <c r="T36" s="171"/>
      <c r="U36" s="16"/>
      <c r="V36" s="16"/>
      <c r="W36" s="16"/>
      <c r="X36" s="16"/>
      <c r="Y36" s="16"/>
      <c r="Z36" s="16"/>
      <c r="AA36" s="16"/>
      <c r="AB36" s="16"/>
      <c r="AC36" s="16"/>
      <c r="AD36" s="16"/>
      <c r="AE36" s="16"/>
      <c r="AF36" s="6"/>
      <c r="AG36" s="16"/>
      <c r="AH36" s="21"/>
      <c r="AI36" s="21"/>
      <c r="AJ36" s="16"/>
      <c r="AK36" s="16"/>
    </row>
    <row r="37" spans="1:37" ht="21" customHeight="1">
      <c r="A37" s="16"/>
      <c r="B37" s="162" t="s">
        <v>111</v>
      </c>
      <c r="C37" s="162"/>
      <c r="D37" s="129" t="s">
        <v>177</v>
      </c>
      <c r="E37" s="163" t="s">
        <v>181</v>
      </c>
      <c r="F37" s="163"/>
      <c r="G37" s="163"/>
      <c r="H37" s="163"/>
      <c r="I37" s="130" t="s">
        <v>79</v>
      </c>
      <c r="K37" s="162" t="s">
        <v>115</v>
      </c>
      <c r="L37" s="162"/>
      <c r="M37" s="162"/>
      <c r="N37" s="131" t="s">
        <v>294</v>
      </c>
      <c r="O37" s="164" t="s">
        <v>295</v>
      </c>
      <c r="P37" s="164"/>
      <c r="Q37" s="164"/>
      <c r="R37" s="164"/>
      <c r="S37" s="165" t="s">
        <v>96</v>
      </c>
      <c r="T37" s="165"/>
      <c r="U37" s="16"/>
      <c r="V37" s="16"/>
      <c r="W37" s="16"/>
      <c r="X37" s="16"/>
      <c r="Y37" s="16"/>
      <c r="Z37" s="16"/>
      <c r="AA37" s="16"/>
      <c r="AB37" s="16"/>
      <c r="AC37" s="16"/>
      <c r="AD37" s="16"/>
      <c r="AE37" s="16"/>
      <c r="AF37" s="16"/>
      <c r="AG37" s="16"/>
      <c r="AH37" s="21"/>
      <c r="AI37" s="21"/>
      <c r="AJ37" s="16"/>
      <c r="AK37" s="16"/>
    </row>
    <row r="38" spans="1:37" ht="18.75" customHeight="1">
      <c r="A38" s="16"/>
      <c r="B38" s="162" t="s">
        <v>111</v>
      </c>
      <c r="C38" s="162"/>
      <c r="D38" s="129" t="s">
        <v>236</v>
      </c>
      <c r="E38" s="163" t="s">
        <v>238</v>
      </c>
      <c r="F38" s="163"/>
      <c r="G38" s="163"/>
      <c r="H38" s="163"/>
      <c r="I38" s="130" t="s">
        <v>70</v>
      </c>
      <c r="K38" s="162" t="s">
        <v>120</v>
      </c>
      <c r="L38" s="162"/>
      <c r="M38" s="162"/>
      <c r="N38" s="131"/>
      <c r="O38" s="164"/>
      <c r="P38" s="164"/>
      <c r="Q38" s="164"/>
      <c r="R38" s="164"/>
      <c r="S38" s="165"/>
      <c r="T38" s="165"/>
      <c r="U38" s="16"/>
      <c r="V38" s="16" t="s">
        <v>121</v>
      </c>
      <c r="W38" s="16"/>
      <c r="X38" s="16"/>
      <c r="Y38" s="16"/>
      <c r="Z38" s="16"/>
      <c r="AA38" s="16"/>
      <c r="AB38" s="16"/>
      <c r="AC38" s="16"/>
      <c r="AD38" s="16"/>
      <c r="AE38" s="16"/>
      <c r="AF38" s="16"/>
      <c r="AG38" s="16"/>
      <c r="AH38" s="21"/>
      <c r="AI38" s="21"/>
      <c r="AJ38" s="16"/>
      <c r="AK38" s="16"/>
    </row>
    <row r="39" spans="1:37" ht="21" customHeight="1">
      <c r="A39" s="16"/>
      <c r="B39" s="162" t="s">
        <v>111</v>
      </c>
      <c r="C39" s="162"/>
      <c r="D39" s="129" t="s">
        <v>128</v>
      </c>
      <c r="E39" s="163" t="s">
        <v>129</v>
      </c>
      <c r="F39" s="163"/>
      <c r="G39" s="163"/>
      <c r="H39" s="163"/>
      <c r="I39" s="130" t="s">
        <v>92</v>
      </c>
      <c r="K39" s="162" t="s">
        <v>125</v>
      </c>
      <c r="L39" s="162"/>
      <c r="M39" s="162"/>
      <c r="N39" s="131"/>
      <c r="O39" s="164"/>
      <c r="P39" s="164"/>
      <c r="Q39" s="164"/>
      <c r="R39" s="164"/>
      <c r="S39" s="165"/>
      <c r="T39" s="165"/>
      <c r="U39" s="16"/>
      <c r="V39" s="16"/>
      <c r="W39" s="16"/>
      <c r="X39" s="16"/>
      <c r="Y39" s="16"/>
      <c r="Z39" s="16"/>
      <c r="AA39" s="16"/>
      <c r="AB39" s="16"/>
      <c r="AC39" s="16"/>
      <c r="AD39" s="16" t="s">
        <v>101</v>
      </c>
      <c r="AE39" s="16"/>
      <c r="AF39" s="16"/>
      <c r="AG39" s="16"/>
      <c r="AH39" s="21"/>
      <c r="AI39" s="21"/>
      <c r="AJ39" s="16"/>
      <c r="AK39" s="16"/>
    </row>
    <row r="40" spans="1:37" ht="19.5" customHeight="1">
      <c r="A40" s="16"/>
      <c r="B40" s="162" t="s">
        <v>111</v>
      </c>
      <c r="C40" s="162"/>
      <c r="D40" s="129"/>
      <c r="E40" s="163"/>
      <c r="F40" s="163"/>
      <c r="G40" s="163"/>
      <c r="H40" s="163"/>
      <c r="I40" s="130"/>
      <c r="K40" s="162" t="s">
        <v>126</v>
      </c>
      <c r="L40" s="162"/>
      <c r="M40" s="162"/>
      <c r="N40" s="131"/>
      <c r="O40" s="164"/>
      <c r="P40" s="164"/>
      <c r="Q40" s="164"/>
      <c r="R40" s="164"/>
      <c r="S40" s="165"/>
      <c r="T40" s="165"/>
      <c r="U40" s="16"/>
      <c r="V40" s="16"/>
      <c r="W40" s="16"/>
      <c r="X40" s="16"/>
      <c r="Y40" s="16"/>
      <c r="Z40" s="16"/>
      <c r="AA40" s="16"/>
      <c r="AB40" s="16"/>
      <c r="AC40" s="16"/>
      <c r="AD40" s="16"/>
      <c r="AE40" s="16"/>
      <c r="AF40" s="16"/>
      <c r="AG40" s="16"/>
      <c r="AH40" s="21"/>
      <c r="AI40" s="21"/>
      <c r="AJ40" s="16"/>
      <c r="AK40" s="16"/>
    </row>
    <row r="41" spans="1:37" ht="18.75" customHeight="1">
      <c r="B41" s="162" t="s">
        <v>111</v>
      </c>
      <c r="C41" s="162"/>
      <c r="D41" s="129"/>
      <c r="E41" s="163"/>
      <c r="F41" s="163"/>
      <c r="G41" s="163"/>
      <c r="H41" s="163"/>
      <c r="I41" s="130"/>
      <c r="J41" s="5"/>
      <c r="K41" s="162" t="s">
        <v>126</v>
      </c>
      <c r="L41" s="162"/>
      <c r="M41" s="162"/>
      <c r="N41" s="131"/>
      <c r="O41" s="164"/>
      <c r="P41" s="164"/>
      <c r="Q41" s="164"/>
      <c r="R41" s="164"/>
      <c r="S41" s="165"/>
      <c r="T41" s="165"/>
      <c r="U41" s="5"/>
      <c r="V41" s="5"/>
      <c r="W41" s="5"/>
      <c r="X41" s="5"/>
      <c r="Y41" s="5"/>
      <c r="Z41" s="5"/>
      <c r="AA41" s="5"/>
      <c r="AB41" s="5"/>
    </row>
    <row r="42" spans="1:37" ht="19.5" customHeight="1">
      <c r="B42" s="162" t="s">
        <v>127</v>
      </c>
      <c r="C42" s="162"/>
      <c r="D42" s="129" t="s">
        <v>116</v>
      </c>
      <c r="E42" s="163" t="s">
        <v>117</v>
      </c>
      <c r="F42" s="163"/>
      <c r="G42" s="163"/>
      <c r="H42" s="163"/>
      <c r="I42" s="130" t="s">
        <v>54</v>
      </c>
      <c r="J42" s="5"/>
      <c r="K42" s="162" t="s">
        <v>126</v>
      </c>
      <c r="L42" s="162"/>
      <c r="M42" s="162"/>
      <c r="N42" s="131"/>
      <c r="O42" s="164"/>
      <c r="P42" s="164"/>
      <c r="Q42" s="164"/>
      <c r="R42" s="164"/>
      <c r="S42" s="165"/>
      <c r="T42" s="165"/>
      <c r="U42" s="5"/>
      <c r="V42" s="5"/>
      <c r="W42" s="5"/>
      <c r="X42" s="5"/>
      <c r="Y42" s="5"/>
      <c r="Z42" s="5"/>
      <c r="AA42" s="5"/>
      <c r="AB42" s="5"/>
    </row>
    <row r="43" spans="1:37" ht="19.5" customHeight="1">
      <c r="B43" s="156"/>
      <c r="C43" s="156"/>
      <c r="D43" s="132"/>
      <c r="E43" s="157"/>
      <c r="F43" s="157"/>
      <c r="G43" s="157"/>
      <c r="H43" s="157"/>
      <c r="I43" s="133"/>
      <c r="J43" s="5"/>
      <c r="K43" s="156" t="s">
        <v>126</v>
      </c>
      <c r="L43" s="156"/>
      <c r="M43" s="156"/>
      <c r="N43" s="134"/>
      <c r="O43" s="158"/>
      <c r="P43" s="158"/>
      <c r="Q43" s="158"/>
      <c r="R43" s="158"/>
      <c r="S43" s="159"/>
      <c r="T43" s="159"/>
      <c r="U43" s="5"/>
      <c r="V43" s="5"/>
      <c r="W43" s="5"/>
      <c r="X43" s="5"/>
      <c r="Y43" s="5"/>
      <c r="Z43" s="5"/>
      <c r="AA43" s="5"/>
      <c r="AB43" s="5"/>
    </row>
    <row r="44" spans="1:37" ht="18.75" customHeight="1">
      <c r="B44" s="160"/>
      <c r="C44" s="160"/>
      <c r="D44" s="161"/>
      <c r="E44" s="161"/>
      <c r="F44" s="135"/>
      <c r="G44" s="161"/>
      <c r="H44" s="161"/>
      <c r="I44" s="161"/>
      <c r="J44" s="5"/>
      <c r="K44" s="161"/>
      <c r="L44" s="161"/>
      <c r="M44" s="161"/>
      <c r="N44" s="161"/>
      <c r="O44" s="161"/>
      <c r="P44" s="161"/>
      <c r="Q44" s="161"/>
      <c r="R44" s="161"/>
      <c r="S44" s="161"/>
      <c r="T44" s="161"/>
      <c r="U44" s="5"/>
      <c r="V44" s="5"/>
      <c r="W44" s="5"/>
      <c r="X44" s="5"/>
      <c r="Y44" s="5"/>
      <c r="Z44" s="5"/>
      <c r="AA44" s="5"/>
      <c r="AB44" s="5"/>
    </row>
    <row r="45" spans="1:37" ht="18" customHeight="1">
      <c r="B45" s="153" t="s">
        <v>130</v>
      </c>
      <c r="C45" s="153"/>
      <c r="D45" s="153"/>
      <c r="E45" s="153"/>
      <c r="F45" s="153"/>
      <c r="G45" s="153"/>
      <c r="H45" s="153"/>
      <c r="I45" s="153"/>
      <c r="J45" s="153"/>
      <c r="K45" s="153"/>
      <c r="L45" s="153"/>
      <c r="M45" s="153"/>
      <c r="N45" s="153"/>
      <c r="O45" s="153"/>
      <c r="P45" s="153"/>
      <c r="Q45" s="153"/>
      <c r="R45" s="153"/>
      <c r="S45" s="153"/>
      <c r="T45" s="153"/>
      <c r="U45" s="5"/>
      <c r="V45" s="5"/>
      <c r="W45" s="5"/>
      <c r="X45" s="5"/>
      <c r="Y45" s="5"/>
      <c r="Z45" s="5"/>
      <c r="AA45" s="5"/>
      <c r="AB45" s="5"/>
    </row>
    <row r="46" spans="1:37" ht="18" customHeight="1">
      <c r="B46" s="154"/>
      <c r="C46" s="154"/>
      <c r="D46" s="154"/>
      <c r="E46" s="154"/>
      <c r="F46" s="154"/>
      <c r="G46" s="154"/>
      <c r="H46" s="154"/>
      <c r="I46" s="154"/>
      <c r="J46" s="154"/>
      <c r="K46" s="154"/>
      <c r="L46" s="154"/>
      <c r="M46" s="154"/>
      <c r="N46" s="154"/>
      <c r="O46" s="154"/>
      <c r="P46" s="154"/>
      <c r="Q46" s="154"/>
      <c r="R46" s="154"/>
      <c r="S46" s="154"/>
      <c r="T46" s="154"/>
      <c r="U46" s="5"/>
      <c r="V46" s="5"/>
      <c r="W46" s="5"/>
      <c r="X46" s="5"/>
      <c r="Y46" s="5"/>
      <c r="Z46" s="5"/>
      <c r="AA46" s="5"/>
      <c r="AB46" s="5"/>
    </row>
    <row r="47" spans="1:37" ht="13.5" customHeight="1">
      <c r="B47" s="6"/>
      <c r="D47" s="136"/>
      <c r="E47" s="16"/>
      <c r="F47" s="16"/>
      <c r="G47" s="136"/>
      <c r="H47" s="16"/>
      <c r="I47" s="124"/>
      <c r="J47" s="16"/>
      <c r="K47" s="16"/>
      <c r="L47" s="16"/>
      <c r="M47" s="16"/>
      <c r="N47" s="16"/>
      <c r="O47" s="16"/>
      <c r="P47" s="16"/>
      <c r="Q47" s="16"/>
      <c r="R47" s="16"/>
      <c r="S47" s="16"/>
      <c r="T47" s="16"/>
      <c r="U47" s="16"/>
      <c r="V47" s="16"/>
      <c r="W47" s="16"/>
      <c r="X47" s="16"/>
      <c r="Y47" s="16"/>
      <c r="Z47" s="16"/>
      <c r="AA47" s="16"/>
    </row>
    <row r="48" spans="1:37" ht="13.5" customHeight="1">
      <c r="B48" s="137"/>
      <c r="C48" s="137"/>
      <c r="D48" s="138"/>
      <c r="E48" s="139"/>
      <c r="F48" s="139"/>
      <c r="G48" s="140"/>
      <c r="H48" s="141"/>
      <c r="I48" s="5"/>
      <c r="J48" s="16"/>
      <c r="K48" s="16"/>
      <c r="L48" s="16"/>
      <c r="M48" s="16"/>
      <c r="N48" s="16"/>
      <c r="O48" s="16"/>
      <c r="P48" s="16"/>
      <c r="Q48" s="16"/>
      <c r="R48" s="16"/>
      <c r="S48" s="16"/>
      <c r="T48" s="16"/>
      <c r="U48" s="16"/>
      <c r="V48" s="16"/>
      <c r="W48" s="16"/>
      <c r="X48" s="16"/>
      <c r="Y48" s="16"/>
      <c r="Z48" s="16"/>
      <c r="AA48" s="16"/>
    </row>
    <row r="49" spans="5:7" ht="15"/>
    <row r="50" spans="5:7" ht="12.75" customHeight="1">
      <c r="E50" s="155"/>
      <c r="F50" s="155"/>
      <c r="G50" s="155"/>
    </row>
    <row r="51" spans="5:7" ht="15"/>
    <row r="52" spans="5:7" ht="15"/>
    <row r="53" spans="5:7" ht="15"/>
    <row r="54" spans="5:7" ht="15"/>
    <row r="55" spans="5:7" ht="15"/>
    <row r="56" spans="5:7" ht="15"/>
    <row r="57" spans="5:7" ht="15"/>
    <row r="58" spans="5:7" ht="15"/>
    <row r="59" spans="5:7" ht="15"/>
    <row r="60" spans="5:7" ht="15"/>
    <row r="61" spans="5:7" ht="15"/>
    <row r="62" spans="5:7" ht="15"/>
    <row r="63" spans="5:7" ht="15"/>
    <row r="64" spans="5:7" ht="15"/>
    <row r="65" ht="15"/>
    <row r="66" ht="15"/>
    <row r="67" ht="15"/>
    <row r="68" ht="15"/>
    <row r="69" ht="15"/>
    <row r="70" ht="15"/>
    <row r="71" ht="15"/>
    <row r="72" ht="15"/>
    <row r="73" ht="15"/>
    <row r="74" ht="15"/>
    <row r="75" ht="15"/>
    <row r="76" ht="15"/>
    <row r="77" ht="15"/>
    <row r="78" ht="15"/>
    <row r="79" ht="15"/>
    <row r="80" ht="15"/>
  </sheetData>
  <mergeCells count="102">
    <mergeCell ref="G2:R2"/>
    <mergeCell ref="G3:R3"/>
    <mergeCell ref="D5:I5"/>
    <mergeCell ref="K5:N5"/>
    <mergeCell ref="P5:S5"/>
    <mergeCell ref="U5:V5"/>
    <mergeCell ref="AJ6:AJ7"/>
    <mergeCell ref="B7:B8"/>
    <mergeCell ref="C7:C8"/>
    <mergeCell ref="D7:D8"/>
    <mergeCell ref="E7:E8"/>
    <mergeCell ref="F7:F8"/>
    <mergeCell ref="K10:M10"/>
    <mergeCell ref="N10:P10"/>
    <mergeCell ref="S10:T10"/>
    <mergeCell ref="K12:M12"/>
    <mergeCell ref="N12:P12"/>
    <mergeCell ref="S12:T12"/>
    <mergeCell ref="K14:M14"/>
    <mergeCell ref="N14:P14"/>
    <mergeCell ref="S14:T14"/>
    <mergeCell ref="K16:M16"/>
    <mergeCell ref="N16:P16"/>
    <mergeCell ref="S16:T16"/>
    <mergeCell ref="K18:M18"/>
    <mergeCell ref="N18:P18"/>
    <mergeCell ref="S18:T18"/>
    <mergeCell ref="K20:M20"/>
    <mergeCell ref="N20:P20"/>
    <mergeCell ref="S20:T20"/>
    <mergeCell ref="K22:M22"/>
    <mergeCell ref="N22:P22"/>
    <mergeCell ref="S22:T22"/>
    <mergeCell ref="K24:M24"/>
    <mergeCell ref="N24:P24"/>
    <mergeCell ref="S24:T24"/>
    <mergeCell ref="K26:M26"/>
    <mergeCell ref="N26:P26"/>
    <mergeCell ref="S26:T26"/>
    <mergeCell ref="K28:M28"/>
    <mergeCell ref="N28:P28"/>
    <mergeCell ref="S28:T28"/>
    <mergeCell ref="K30:M30"/>
    <mergeCell ref="N30:P30"/>
    <mergeCell ref="S30:T30"/>
    <mergeCell ref="K32:M32"/>
    <mergeCell ref="N32:P32"/>
    <mergeCell ref="S32:T32"/>
    <mergeCell ref="B35:C35"/>
    <mergeCell ref="E35:H35"/>
    <mergeCell ref="K35:M35"/>
    <mergeCell ref="O35:R35"/>
    <mergeCell ref="S35:T35"/>
    <mergeCell ref="B36:C36"/>
    <mergeCell ref="E36:H36"/>
    <mergeCell ref="K36:M36"/>
    <mergeCell ref="O36:R36"/>
    <mergeCell ref="S36:T36"/>
    <mergeCell ref="B37:C37"/>
    <mergeCell ref="E37:H37"/>
    <mergeCell ref="K37:M37"/>
    <mergeCell ref="O37:R37"/>
    <mergeCell ref="S37:T37"/>
    <mergeCell ref="B38:C38"/>
    <mergeCell ref="E38:H38"/>
    <mergeCell ref="K38:M38"/>
    <mergeCell ref="O38:R38"/>
    <mergeCell ref="S38:T38"/>
    <mergeCell ref="B39:C39"/>
    <mergeCell ref="E39:H39"/>
    <mergeCell ref="K39:M39"/>
    <mergeCell ref="O39:R39"/>
    <mergeCell ref="S39:T39"/>
    <mergeCell ref="B40:C40"/>
    <mergeCell ref="E40:H40"/>
    <mergeCell ref="K40:M40"/>
    <mergeCell ref="O40:R40"/>
    <mergeCell ref="S40:T40"/>
    <mergeCell ref="B41:C41"/>
    <mergeCell ref="E41:H41"/>
    <mergeCell ref="K41:M41"/>
    <mergeCell ref="O41:R41"/>
    <mergeCell ref="S41:T41"/>
    <mergeCell ref="B42:C42"/>
    <mergeCell ref="E42:H42"/>
    <mergeCell ref="K42:M42"/>
    <mergeCell ref="O42:R42"/>
    <mergeCell ref="S42:T42"/>
    <mergeCell ref="B45:T45"/>
    <mergeCell ref="B46:T46"/>
    <mergeCell ref="E50:G50"/>
    <mergeCell ref="B43:C43"/>
    <mergeCell ref="E43:H43"/>
    <mergeCell ref="K43:M43"/>
    <mergeCell ref="O43:R43"/>
    <mergeCell ref="S43:T43"/>
    <mergeCell ref="B44:C44"/>
    <mergeCell ref="D44:E44"/>
    <mergeCell ref="G44:I44"/>
    <mergeCell ref="K44:M44"/>
    <mergeCell ref="N44:O44"/>
    <mergeCell ref="P44:T44"/>
  </mergeCells>
  <conditionalFormatting sqref="K27">
    <cfRule type="cellIs" dxfId="59" priority="25" operator="lessThanOrEqual">
      <formula>0</formula>
    </cfRule>
    <cfRule type="cellIs" dxfId="58" priority="24" operator="between">
      <formula>1</formula>
      <formula>300</formula>
    </cfRule>
  </conditionalFormatting>
  <conditionalFormatting sqref="K29">
    <cfRule type="cellIs" dxfId="57" priority="23" operator="lessThanOrEqual">
      <formula>0</formula>
    </cfRule>
    <cfRule type="cellIs" dxfId="56" priority="22" operator="between">
      <formula>1</formula>
      <formula>300</formula>
    </cfRule>
  </conditionalFormatting>
  <conditionalFormatting sqref="K31">
    <cfRule type="cellIs" dxfId="55" priority="20" operator="between">
      <formula>1</formula>
      <formula>300</formula>
    </cfRule>
    <cfRule type="cellIs" dxfId="54" priority="21" operator="lessThanOrEqual">
      <formula>0</formula>
    </cfRule>
  </conditionalFormatting>
  <conditionalFormatting sqref="K9:P9">
    <cfRule type="cellIs" dxfId="53" priority="14" operator="between">
      <formula>1</formula>
      <formula>300</formula>
    </cfRule>
    <cfRule type="cellIs" dxfId="52" priority="15" operator="lessThanOrEqual">
      <formula>0</formula>
    </cfRule>
  </conditionalFormatting>
  <conditionalFormatting sqref="K11:P11">
    <cfRule type="cellIs" dxfId="51" priority="12" operator="between">
      <formula>1</formula>
      <formula>300</formula>
    </cfRule>
    <cfRule type="cellIs" dxfId="50" priority="13" operator="lessThanOrEqual">
      <formula>0</formula>
    </cfRule>
  </conditionalFormatting>
  <conditionalFormatting sqref="K13:P13">
    <cfRule type="cellIs" dxfId="49" priority="8" operator="between">
      <formula>1</formula>
      <formula>300</formula>
    </cfRule>
    <cfRule type="cellIs" dxfId="48" priority="9" operator="lessThanOrEqual">
      <formula>0</formula>
    </cfRule>
  </conditionalFormatting>
  <conditionalFormatting sqref="K15:P15">
    <cfRule type="cellIs" dxfId="47" priority="10" operator="between">
      <formula>1</formula>
      <formula>300</formula>
    </cfRule>
    <cfRule type="cellIs" dxfId="46" priority="11" operator="lessThanOrEqual">
      <formula>0</formula>
    </cfRule>
  </conditionalFormatting>
  <conditionalFormatting sqref="K17:P17">
    <cfRule type="cellIs" dxfId="45" priority="16" operator="between">
      <formula>1</formula>
      <formula>300</formula>
    </cfRule>
    <cfRule type="cellIs" dxfId="44" priority="17" operator="lessThanOrEqual">
      <formula>0</formula>
    </cfRule>
  </conditionalFormatting>
  <conditionalFormatting sqref="K19:P19">
    <cfRule type="cellIs" dxfId="43" priority="2" operator="between">
      <formula>1</formula>
      <formula>300</formula>
    </cfRule>
    <cfRule type="cellIs" dxfId="42" priority="3" operator="lessThanOrEqual">
      <formula>0</formula>
    </cfRule>
  </conditionalFormatting>
  <conditionalFormatting sqref="K21:P21">
    <cfRule type="cellIs" dxfId="41" priority="5" operator="lessThanOrEqual">
      <formula>0</formula>
    </cfRule>
    <cfRule type="cellIs" dxfId="40" priority="4" operator="between">
      <formula>1</formula>
      <formula>300</formula>
    </cfRule>
  </conditionalFormatting>
  <conditionalFormatting sqref="K23:P23">
    <cfRule type="cellIs" dxfId="39" priority="7" operator="lessThanOrEqual">
      <formula>0</formula>
    </cfRule>
    <cfRule type="cellIs" dxfId="38" priority="6" operator="between">
      <formula>1</formula>
      <formula>300</formula>
    </cfRule>
  </conditionalFormatting>
  <conditionalFormatting sqref="K25:P25">
    <cfRule type="cellIs" dxfId="37" priority="19" operator="lessThanOrEqual">
      <formula>0</formula>
    </cfRule>
    <cfRule type="cellIs" dxfId="36" priority="18" operator="between">
      <formula>1</formula>
      <formula>300</formula>
    </cfRule>
  </conditionalFormatting>
  <conditionalFormatting sqref="L27:N27">
    <cfRule type="cellIs" dxfId="35" priority="30" operator="between">
      <formula>1</formula>
      <formula>300</formula>
    </cfRule>
    <cfRule type="cellIs" dxfId="34" priority="31" operator="lessThanOrEqual">
      <formula>0</formula>
    </cfRule>
  </conditionalFormatting>
  <conditionalFormatting sqref="L29:N29">
    <cfRule type="cellIs" dxfId="33" priority="28" operator="between">
      <formula>1</formula>
      <formula>300</formula>
    </cfRule>
    <cfRule type="cellIs" dxfId="32" priority="29" operator="lessThanOrEqual">
      <formula>0</formula>
    </cfRule>
  </conditionalFormatting>
  <conditionalFormatting sqref="L31:N31">
    <cfRule type="cellIs" dxfId="31" priority="26" operator="between">
      <formula>1</formula>
      <formula>300</formula>
    </cfRule>
    <cfRule type="cellIs" dxfId="30" priority="27" operator="lessThanOrEqual">
      <formula>0</formula>
    </cfRule>
  </conditionalFormatting>
  <dataValidations count="6">
    <dataValidation type="list" allowBlank="1" showInputMessage="1" showErrorMessage="1" sqref="B36:C43 K36:M43" xr:uid="{00000000-0002-0000-0900-000000000000}">
      <formula1>"Dommer,Stevnets leder,Jury,Sekretær,Speaker,Teknisk kontrollør,Chief Marshall,Tidtaker"</formula1>
      <formula2>0</formula2>
    </dataValidation>
    <dataValidation type="list" allowBlank="1" showInputMessage="1" showErrorMessage="1" sqref="C11 C9 C31 C29 C27 C25 C23 C21 C19 C17 C15 C13" xr:uid="{00000000-0002-0000-0900-000001000000}">
      <formula1>"44,48,53,56,58,60,63,65,69,71,77,'+77,79,86,'+86,88,94,'+94,110,'+110"</formula1>
      <formula2>0</formula2>
    </dataValidation>
    <dataValidation type="list" allowBlank="1" showInputMessage="1" showErrorMessage="1" sqref="D5:I5" xr:uid="{00000000-0002-0000-0900-00000D000000}">
      <formula1>"Nasjonalt stevne,Seriestevne,Seriestevne 5-kamp,Klubbmesterskap,Regionsmesterskap,Landsdelsmesterskap,Norgesmesterskap Senior,Norgesmesterskap Ungdom,Norgesmesterskap Junior,Norgesmesterskap Veteran,Norgesmesterskap 5-kamp,Norgesmesterskap Lag"</formula1>
      <formula2>0</formula2>
    </dataValidation>
    <dataValidation type="list" allowBlank="1" showInputMessage="1" showErrorMessage="1" sqref="E11 F12 E9 E31 E29 E27 E25 E23 E21 E19 E17 E15 E13" xr:uid="{00000000-0002-0000-0900-00000E000000}">
      <formula1>"UM,JM,SM,UK,JK,SK,M35,M40,M45,M50,M55,M60,M65,M70,M75,M80,M85,M90,K35,K40,K45,K50,K55,K60,K65,K70,K75,K80,K85,K90"</formula1>
      <formula2>0</formula2>
    </dataValidation>
    <dataValidation type="list" allowBlank="1" showInputMessage="1" showErrorMessage="1" sqref="F11 F9 F31 F29 F27 F25 F23 F21 F19 F17 F15 F13" xr:uid="{00000000-0002-0000-0900-00001A000000}">
      <formula1>"11-12,13-14,15-16,17-18,19-23,24-34,+35"</formula1>
      <formula2>0</formula2>
    </dataValidation>
    <dataValidation type="list" allowBlank="1" showInputMessage="1" showErrorMessage="1" prompt="Feil_i_kat. 5-kamp - Feil verdi i kategori 5-kamp" sqref="G12" xr:uid="{00000000-0002-0000-0900-000027000000}">
      <formula1>"11-12,13-14,15-16,17-18,19-23,24-34,+35,35+"</formula1>
      <formula2>0</formula2>
    </dataValidation>
  </dataValidations>
  <pageMargins left="0.27569444444444402" right="0.35416666666666702" top="0.27569444444444402" bottom="0.27569444444444402" header="0.511811023622047" footer="0.511811023622047"/>
  <pageSetup paperSize="9" orientation="landscape" useFirstPageNumber="1" horizontalDpi="300" verticalDpi="300"/>
  <drawing r:id="rId1"/>
  <legacy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AK80"/>
  <sheetViews>
    <sheetView tabSelected="1" zoomScaleNormal="100" workbookViewId="0">
      <selection activeCell="G1" sqref="G1:G1048576"/>
    </sheetView>
  </sheetViews>
  <sheetFormatPr baseColWidth="10" defaultColWidth="9.1640625" defaultRowHeight="12.75" customHeight="1"/>
  <cols>
    <col min="1" max="1" width="4.33203125" style="5" customWidth="1"/>
    <col min="2" max="2" width="10.1640625" style="5" customWidth="1"/>
    <col min="3" max="3" width="6.33203125" style="6" customWidth="1"/>
    <col min="4" max="4" width="8.6640625" style="6" customWidth="1"/>
    <col min="5" max="6" width="6.33203125" style="7" customWidth="1"/>
    <col min="7" max="7" width="10.6640625" style="6" hidden="1" customWidth="1"/>
    <col min="8" max="8" width="3.83203125" style="6" customWidth="1"/>
    <col min="9" max="9" width="27.83203125" style="8" customWidth="1"/>
    <col min="10" max="10" width="21" style="8" customWidth="1"/>
    <col min="11" max="11" width="6.83203125" style="6" customWidth="1"/>
    <col min="12" max="12" width="6.83203125" style="9" customWidth="1"/>
    <col min="13" max="13" width="6.83203125" style="6" customWidth="1"/>
    <col min="14" max="14" width="8.83203125" style="6" customWidth="1"/>
    <col min="15" max="19" width="6.83203125" style="6" customWidth="1"/>
    <col min="20" max="23" width="8" style="10" customWidth="1"/>
    <col min="24" max="24" width="9" style="10" customWidth="1"/>
    <col min="25" max="26" width="8" style="10" customWidth="1"/>
    <col min="27" max="27" width="4.33203125" style="10" customWidth="1"/>
    <col min="28" max="28" width="5.6640625" style="10" customWidth="1"/>
    <col min="29" max="29" width="9.6640625" style="5" hidden="1" customWidth="1"/>
    <col min="30" max="31" width="9.1640625" style="5" hidden="1"/>
    <col min="32" max="32" width="7.83203125" style="5" hidden="1" customWidth="1"/>
    <col min="33" max="33" width="9.1640625" style="5" hidden="1"/>
    <col min="34" max="35" width="9.1640625" style="11" hidden="1"/>
    <col min="36" max="36" width="9.1640625" style="5" hidden="1"/>
    <col min="37" max="37" width="9.1640625" style="5"/>
  </cols>
  <sheetData>
    <row r="1" spans="1:37" ht="18.75" customHeight="1">
      <c r="A1" s="12"/>
      <c r="B1" s="12"/>
      <c r="C1" s="12"/>
      <c r="D1" s="12"/>
      <c r="E1" s="12"/>
      <c r="F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  <c r="T1" s="12"/>
      <c r="U1" s="12"/>
      <c r="V1" s="12"/>
      <c r="W1" s="12"/>
      <c r="X1" s="12"/>
      <c r="Y1" s="12"/>
    </row>
    <row r="2" spans="1:37" ht="75" customHeight="1">
      <c r="A2" s="12"/>
      <c r="B2" s="12"/>
      <c r="C2" s="12"/>
      <c r="D2" s="12"/>
      <c r="E2" s="12"/>
      <c r="F2" s="12"/>
      <c r="G2" s="174" t="s">
        <v>0</v>
      </c>
      <c r="H2" s="174"/>
      <c r="I2" s="174"/>
      <c r="J2" s="174"/>
      <c r="K2" s="174"/>
      <c r="L2" s="174"/>
      <c r="M2" s="174"/>
      <c r="N2" s="174"/>
      <c r="O2" s="174"/>
      <c r="P2" s="174"/>
      <c r="Q2" s="174"/>
      <c r="R2" s="174"/>
      <c r="S2" s="12"/>
      <c r="T2" s="12"/>
      <c r="U2" s="13" t="s">
        <v>1</v>
      </c>
      <c r="V2" s="12"/>
      <c r="W2" s="12"/>
      <c r="X2" s="12"/>
      <c r="Y2" s="12"/>
    </row>
    <row r="3" spans="1:37" ht="21.75" customHeight="1">
      <c r="A3" s="12"/>
      <c r="B3" s="12"/>
      <c r="C3" s="12"/>
      <c r="D3" s="12"/>
      <c r="E3" s="14"/>
      <c r="F3" s="12"/>
      <c r="G3" s="175" t="s">
        <v>2</v>
      </c>
      <c r="H3" s="175"/>
      <c r="I3" s="175"/>
      <c r="J3" s="175"/>
      <c r="K3" s="175"/>
      <c r="L3" s="175"/>
      <c r="M3" s="175"/>
      <c r="N3" s="175"/>
      <c r="O3" s="175"/>
      <c r="P3" s="175"/>
      <c r="Q3" s="175"/>
      <c r="R3" s="175"/>
      <c r="S3" s="15" t="s">
        <v>3</v>
      </c>
      <c r="T3" s="15"/>
      <c r="U3" s="15"/>
      <c r="V3" s="15"/>
      <c r="W3" s="15"/>
      <c r="X3" s="15"/>
      <c r="Y3" s="15"/>
      <c r="Z3" s="15"/>
    </row>
    <row r="4" spans="1:37" ht="12.75" customHeight="1">
      <c r="A4" s="12"/>
      <c r="B4" s="12"/>
      <c r="C4" s="12"/>
      <c r="D4" s="12"/>
      <c r="E4" s="12"/>
      <c r="F4" s="12"/>
      <c r="H4" s="12"/>
      <c r="I4" s="12"/>
      <c r="J4" s="12"/>
      <c r="K4" s="12"/>
      <c r="L4" s="12"/>
      <c r="M4" s="12"/>
      <c r="N4" s="12"/>
      <c r="O4" s="12"/>
      <c r="P4" s="12"/>
      <c r="Q4" s="12"/>
      <c r="R4" s="12"/>
      <c r="S4" s="12"/>
      <c r="T4" s="12"/>
      <c r="U4" s="12"/>
      <c r="V4" s="12"/>
      <c r="W4" s="12"/>
      <c r="X4" s="12"/>
      <c r="Y4" s="12"/>
    </row>
    <row r="5" spans="1:37" ht="15" customHeight="1">
      <c r="A5" s="16"/>
      <c r="B5" s="16"/>
      <c r="C5" s="17" t="s">
        <v>4</v>
      </c>
      <c r="D5" s="176" t="s">
        <v>5</v>
      </c>
      <c r="E5" s="176"/>
      <c r="F5" s="176"/>
      <c r="G5" s="176"/>
      <c r="H5" s="176"/>
      <c r="I5" s="176"/>
      <c r="J5" s="17" t="s">
        <v>6</v>
      </c>
      <c r="K5" s="176" t="s">
        <v>7</v>
      </c>
      <c r="L5" s="176"/>
      <c r="M5" s="176"/>
      <c r="N5" s="176"/>
      <c r="O5" s="17" t="s">
        <v>8</v>
      </c>
      <c r="P5" s="177" t="s">
        <v>9</v>
      </c>
      <c r="Q5" s="177"/>
      <c r="R5" s="177"/>
      <c r="S5" s="177"/>
      <c r="T5" s="17" t="s">
        <v>10</v>
      </c>
      <c r="U5" s="177">
        <v>46263</v>
      </c>
      <c r="V5" s="177"/>
      <c r="W5" s="18"/>
      <c r="X5" s="18"/>
      <c r="Y5" s="18"/>
      <c r="Z5" s="19" t="s">
        <v>11</v>
      </c>
      <c r="AA5" s="19"/>
      <c r="AB5" s="20">
        <v>9</v>
      </c>
      <c r="AC5" s="16"/>
      <c r="AD5" s="16"/>
      <c r="AE5" s="16"/>
      <c r="AF5" s="16"/>
      <c r="AG5" s="16"/>
      <c r="AH5" s="21"/>
      <c r="AI5" s="21"/>
      <c r="AJ5" s="16"/>
      <c r="AK5" s="16"/>
    </row>
    <row r="6" spans="1:37" ht="12.75" customHeight="1">
      <c r="AG6" s="22" t="s">
        <v>12</v>
      </c>
      <c r="AH6" s="22" t="s">
        <v>12</v>
      </c>
      <c r="AI6" s="22" t="s">
        <v>12</v>
      </c>
      <c r="AJ6" s="178" t="s">
        <v>13</v>
      </c>
    </row>
    <row r="7" spans="1:37" ht="12.75" customHeight="1">
      <c r="A7" s="6"/>
      <c r="B7" s="179" t="s">
        <v>14</v>
      </c>
      <c r="C7" s="180" t="s">
        <v>15</v>
      </c>
      <c r="D7" s="180" t="s">
        <v>16</v>
      </c>
      <c r="E7" s="181" t="s">
        <v>17</v>
      </c>
      <c r="F7" s="182" t="s">
        <v>131</v>
      </c>
      <c r="G7" s="24" t="s">
        <v>19</v>
      </c>
      <c r="H7" s="24" t="s">
        <v>20</v>
      </c>
      <c r="I7" s="24" t="s">
        <v>21</v>
      </c>
      <c r="J7" s="24" t="s">
        <v>22</v>
      </c>
      <c r="K7" s="25"/>
      <c r="L7" s="26" t="s">
        <v>23</v>
      </c>
      <c r="M7" s="24"/>
      <c r="N7" s="24"/>
      <c r="O7" s="27" t="s">
        <v>24</v>
      </c>
      <c r="P7" s="24"/>
      <c r="Q7" s="28" t="s">
        <v>25</v>
      </c>
      <c r="R7" s="24"/>
      <c r="S7" s="24" t="s">
        <v>26</v>
      </c>
      <c r="T7" s="29" t="s">
        <v>27</v>
      </c>
      <c r="U7" s="30" t="s">
        <v>27</v>
      </c>
      <c r="V7" s="31" t="s">
        <v>28</v>
      </c>
      <c r="W7" s="31" t="s">
        <v>29</v>
      </c>
      <c r="X7" s="31" t="s">
        <v>30</v>
      </c>
      <c r="Y7" s="32" t="s">
        <v>31</v>
      </c>
      <c r="Z7" s="33" t="s">
        <v>32</v>
      </c>
      <c r="AA7" s="34" t="s">
        <v>33</v>
      </c>
      <c r="AB7" s="29" t="s">
        <v>34</v>
      </c>
      <c r="AC7" s="11"/>
      <c r="AD7" s="6"/>
      <c r="AE7" s="6"/>
      <c r="AF7" s="6"/>
      <c r="AG7" s="35" t="s">
        <v>35</v>
      </c>
      <c r="AH7" s="35" t="s">
        <v>35</v>
      </c>
      <c r="AI7" s="35" t="s">
        <v>35</v>
      </c>
      <c r="AJ7" s="178"/>
      <c r="AK7" s="6"/>
    </row>
    <row r="8" spans="1:37" ht="12.75" customHeight="1">
      <c r="A8" s="6"/>
      <c r="B8" s="179"/>
      <c r="C8" s="180"/>
      <c r="D8" s="180"/>
      <c r="E8" s="181"/>
      <c r="F8" s="182"/>
      <c r="G8" s="36" t="s">
        <v>36</v>
      </c>
      <c r="H8" s="36" t="s">
        <v>37</v>
      </c>
      <c r="I8" s="36"/>
      <c r="J8" s="36"/>
      <c r="K8" s="37">
        <v>1</v>
      </c>
      <c r="L8" s="37">
        <v>2</v>
      </c>
      <c r="M8" s="38">
        <v>3</v>
      </c>
      <c r="N8" s="38">
        <v>1</v>
      </c>
      <c r="O8" s="37">
        <v>2</v>
      </c>
      <c r="P8" s="38">
        <v>3</v>
      </c>
      <c r="Q8" s="39" t="s">
        <v>38</v>
      </c>
      <c r="R8" s="36"/>
      <c r="S8" s="36" t="s">
        <v>39</v>
      </c>
      <c r="T8" s="40"/>
      <c r="U8" s="41" t="s">
        <v>40</v>
      </c>
      <c r="V8" s="31" t="s">
        <v>27</v>
      </c>
      <c r="W8" s="31" t="s">
        <v>27</v>
      </c>
      <c r="X8" s="31" t="s">
        <v>27</v>
      </c>
      <c r="Y8" s="42" t="s">
        <v>41</v>
      </c>
      <c r="Z8" s="43" t="s">
        <v>42</v>
      </c>
      <c r="AA8" s="43"/>
      <c r="AB8" s="40"/>
      <c r="AC8" s="6"/>
      <c r="AD8" s="6" t="s">
        <v>43</v>
      </c>
      <c r="AE8" s="6" t="s">
        <v>44</v>
      </c>
      <c r="AF8" s="11" t="s">
        <v>40</v>
      </c>
      <c r="AG8" s="35" t="s">
        <v>45</v>
      </c>
      <c r="AH8" s="35" t="s">
        <v>46</v>
      </c>
      <c r="AI8" s="35" t="s">
        <v>47</v>
      </c>
      <c r="AJ8" s="6"/>
      <c r="AK8" s="6"/>
    </row>
    <row r="9" spans="1:37" ht="19.5" customHeight="1">
      <c r="A9" s="44"/>
      <c r="B9" s="45" t="s">
        <v>296</v>
      </c>
      <c r="C9" s="142" t="s">
        <v>157</v>
      </c>
      <c r="D9" s="56">
        <v>71.150000000000006</v>
      </c>
      <c r="E9" s="142" t="s">
        <v>297</v>
      </c>
      <c r="F9" s="142" t="s">
        <v>251</v>
      </c>
      <c r="G9" s="143">
        <v>30237</v>
      </c>
      <c r="H9" s="142" t="s">
        <v>90</v>
      </c>
      <c r="I9" s="144" t="s">
        <v>298</v>
      </c>
      <c r="J9" s="145" t="s">
        <v>96</v>
      </c>
      <c r="K9" s="52">
        <v>80</v>
      </c>
      <c r="L9" s="52">
        <v>85</v>
      </c>
      <c r="M9" s="52">
        <v>90</v>
      </c>
      <c r="N9" s="52">
        <v>110</v>
      </c>
      <c r="O9" s="52">
        <v>115</v>
      </c>
      <c r="P9" s="52">
        <v>120</v>
      </c>
      <c r="Q9" s="53">
        <f>IF(MAX(K9:M9)&gt;0,IF(MAX(K9:M9)&lt;0,0,TRUNC(MAX(K9:M9)/1)*1),"")</f>
        <v>90</v>
      </c>
      <c r="R9" s="54">
        <f>IF(MAX(N9:P9)&gt;0,IF(MAX(N9:P9)&lt;0,0,TRUNC(MAX(N9:P9)/1)*1),"")</f>
        <v>120</v>
      </c>
      <c r="S9" s="54">
        <f>IF(Q9="","",IF(R9="","",IF(SUM(Q9:R9)=0,"",SUM(Q9:R9))))</f>
        <v>210</v>
      </c>
      <c r="T9" s="55">
        <f>IF(S9="","",IF(D9="","",IF((AD9="k"),IF(D9&gt;153.757,S9,IF(D9&lt;28,10^(0.0787004341*LOG10(28/153.757)^2)*S9,10^(0.787004341*LOG10(D9/153.757)^2)*S9)),IF(D9&gt;193.609,S9,IF(D9&lt;32,10^(0.722762521*LOG10(32/193.609)^2)*S9,10^(0.722762521*LOG10(D9/193.609)^2)*S9)))))</f>
        <v>287.62542782210755</v>
      </c>
      <c r="U9" s="56">
        <f>IF(AF9=1,T9*AI9,"")</f>
        <v>341.98663368048591</v>
      </c>
      <c r="V9" s="57">
        <v>7.68</v>
      </c>
      <c r="W9" s="57">
        <v>10.11</v>
      </c>
      <c r="X9" s="57">
        <v>6.38</v>
      </c>
      <c r="Y9" s="55"/>
      <c r="Z9" s="56"/>
      <c r="AA9" s="56">
        <v>1</v>
      </c>
      <c r="AB9" s="58"/>
      <c r="AC9" s="59">
        <f>U5</f>
        <v>46263</v>
      </c>
      <c r="AD9" s="60" t="str">
        <f>IF(ISNUMBER(FIND("M",E9)),"m",IF(ISNUMBER(FIND("K",E9)),"k"))</f>
        <v>m</v>
      </c>
      <c r="AE9" s="61">
        <f>IF(OR(G9="",AC9=""),0,(YEAR(AC9)-YEAR(G9)))</f>
        <v>44</v>
      </c>
      <c r="AF9" s="62">
        <f>IF(AE9&gt;34,1,0)</f>
        <v>1</v>
      </c>
      <c r="AG9" s="44">
        <f>IF(AF9=1,LOOKUP(AE9,'Meltzer-Faber'!A3:A63,'Meltzer-Faber'!B3:B63))</f>
        <v>1.1890000000000001</v>
      </c>
      <c r="AH9" s="63">
        <f>IF(AF9=1,LOOKUP(AE9,'Meltzer-Faber'!A3:A63,'Meltzer-Faber'!C3:C63))</f>
        <v>1.2050000000000001</v>
      </c>
      <c r="AI9" s="63">
        <f>IF(AD9="m",AG9,IF(AD9="k",AH9,""))</f>
        <v>1.1890000000000001</v>
      </c>
      <c r="AJ9" s="64">
        <f>IF(D9="","",IF(D9&gt;193.609,1,IF(D9&lt;32,10^(0.722762521*LOG10(32/193.609)^2),10^(0.722762521*LOG10(D9/193.609)^2))))</f>
        <v>1.3696448943909885</v>
      </c>
      <c r="AK9" s="44"/>
    </row>
    <row r="10" spans="1:37" ht="19.5" customHeight="1">
      <c r="A10" s="44"/>
      <c r="B10" s="65"/>
      <c r="C10" s="3"/>
      <c r="D10" s="3"/>
      <c r="E10" s="3"/>
      <c r="F10" s="66"/>
      <c r="G10" s="67"/>
      <c r="H10" s="68"/>
      <c r="I10" s="69"/>
      <c r="J10" s="69"/>
      <c r="K10" s="173"/>
      <c r="L10" s="173"/>
      <c r="M10" s="173"/>
      <c r="N10" s="172"/>
      <c r="O10" s="172"/>
      <c r="P10" s="172"/>
      <c r="Q10" s="70"/>
      <c r="R10" s="3"/>
      <c r="S10" s="173">
        <f>IF(T9="","",T9*1.2)</f>
        <v>345.15051338652904</v>
      </c>
      <c r="T10" s="173"/>
      <c r="U10" s="3"/>
      <c r="V10" s="3">
        <f>IF(V9&gt;0,V9*20,"")</f>
        <v>153.6</v>
      </c>
      <c r="W10" s="3">
        <f>IF(W9="","",(W9*10)*AJ9)</f>
        <v>138.47109882292892</v>
      </c>
      <c r="X10" s="3">
        <f>IF(ROUNDUP(X9,1)&gt;0,IF((80+(8-ROUNDUP(X9,1))*40)&lt;0,0,80+(8-ROUNDUP(X9,1))*40),"")</f>
        <v>144.00000000000003</v>
      </c>
      <c r="Y10" s="4">
        <f>IF(SUM(V10,W10,X10)&gt;0,SUM(V10,W10,X10),"")</f>
        <v>436.07109882292889</v>
      </c>
      <c r="Z10" s="3">
        <f>IF(AE9&gt;34,(IF(OR(S10="",V10="",W10="",X10=""),"",SUM(S10,V10,W10,X10))*AI9),IF(OR(S10="",V10="",W10="",X10=""),"", SUM(S10,V10,W10,X10)))</f>
        <v>928.87249691704562</v>
      </c>
      <c r="AA10" s="3"/>
      <c r="AB10" s="66"/>
      <c r="AC10" s="71"/>
      <c r="AD10" s="6"/>
      <c r="AE10" s="61"/>
      <c r="AF10" s="72"/>
      <c r="AG10" s="44"/>
      <c r="AH10" s="63"/>
      <c r="AI10" s="63"/>
      <c r="AJ10" s="64"/>
      <c r="AK10" s="44"/>
    </row>
    <row r="11" spans="1:37" ht="19.5" customHeight="1">
      <c r="A11" s="44"/>
      <c r="B11" s="73" t="s">
        <v>299</v>
      </c>
      <c r="C11" s="84" t="s">
        <v>147</v>
      </c>
      <c r="D11" s="78">
        <v>85.28</v>
      </c>
      <c r="E11" s="84" t="s">
        <v>300</v>
      </c>
      <c r="F11" s="84" t="s">
        <v>251</v>
      </c>
      <c r="G11" s="85">
        <v>32489</v>
      </c>
      <c r="H11" s="84" t="s">
        <v>60</v>
      </c>
      <c r="I11" s="86" t="s">
        <v>301</v>
      </c>
      <c r="J11" s="87" t="s">
        <v>70</v>
      </c>
      <c r="K11" s="74">
        <v>80</v>
      </c>
      <c r="L11" s="74">
        <v>87</v>
      </c>
      <c r="M11" s="74">
        <v>-91</v>
      </c>
      <c r="N11" s="74">
        <v>100</v>
      </c>
      <c r="O11" s="74">
        <v>107</v>
      </c>
      <c r="P11" s="74">
        <v>115</v>
      </c>
      <c r="Q11" s="75">
        <f>IF(MAX(K11:M11)&gt;0,IF(MAX(K11:M11)&lt;0,0,TRUNC(MAX(K11:M11)/1)*1),"")</f>
        <v>87</v>
      </c>
      <c r="R11" s="76">
        <f>IF(MAX(N11:P11)&gt;0,IF(MAX(N11:P11)&lt;0,0,TRUNC(MAX(N11:P11)/1)*1),"")</f>
        <v>115</v>
      </c>
      <c r="S11" s="76">
        <f>IF(Q11="","",IF(R11="","",IF(SUM(Q11:R11)=0,"",SUM(Q11:R11))))</f>
        <v>202</v>
      </c>
      <c r="T11" s="77">
        <f>IF(S11="","",IF(D11="","",IF((AD11="k"),IF(D11&gt;153.757,S11,IF(D11&lt;28,10^(0.0787004341*LOG10(28/153.757)^2)*S11,10^(0.787004341*LOG10(D11/153.757)^2)*S11)),IF(D11&gt;193.609,S11,IF(D11&lt;32,10^(0.722762521*LOG10(32/193.609)^2)*S11,10^(0.722762521*LOG10(D11/193.609)^2)*S11)))))</f>
        <v>249.45471914290698</v>
      </c>
      <c r="U11" s="78">
        <f>IF(AF11=1,T11*AI11,"")</f>
        <v>276.64528352948383</v>
      </c>
      <c r="V11" s="79">
        <v>8.86</v>
      </c>
      <c r="W11" s="79">
        <v>12.52</v>
      </c>
      <c r="X11" s="79">
        <v>6.3</v>
      </c>
      <c r="Y11" s="80"/>
      <c r="Z11" s="78"/>
      <c r="AA11" s="78">
        <v>2</v>
      </c>
      <c r="AB11" s="81"/>
      <c r="AC11" s="71">
        <f>U5</f>
        <v>46263</v>
      </c>
      <c r="AD11" s="60" t="str">
        <f>IF(ISNUMBER(FIND("M",E11)),"m",IF(ISNUMBER(FIND("K",E11)),"k"))</f>
        <v>m</v>
      </c>
      <c r="AE11" s="61">
        <f>IF(OR(G11="",AC11=""),0,(YEAR(AC11)-YEAR(G11)))</f>
        <v>38</v>
      </c>
      <c r="AF11" s="62">
        <f>IF(AE11&gt;34,1,0)</f>
        <v>1</v>
      </c>
      <c r="AG11" s="44">
        <f>IF(AF11=1,LOOKUP(AE11,'Meltzer-Faber'!A3:A63,'Meltzer-Faber'!B3:B63))</f>
        <v>1.109</v>
      </c>
      <c r="AH11" s="63">
        <f>IF(AF11=1,LOOKUP(AE11,'Meltzer-Faber'!A3:A63,'Meltzer-Faber'!C3:C63))</f>
        <v>1.1100000000000001</v>
      </c>
      <c r="AI11" s="63">
        <f>IF(AD11="m",AG11,IF(AD11="k",AH11,""))</f>
        <v>1.109</v>
      </c>
      <c r="AJ11" s="64">
        <f>IF(D11="","",IF(D11&gt;193.609,1,IF(D11&lt;32,10^(0.722762521*LOG10(32/193.609)^2),10^(0.722762521*LOG10(D11/193.609)^2))))</f>
        <v>1.2349243521926088</v>
      </c>
      <c r="AK11" s="44"/>
    </row>
    <row r="12" spans="1:37" ht="19.5" customHeight="1">
      <c r="A12" s="44"/>
      <c r="B12" s="82"/>
      <c r="C12" s="3"/>
      <c r="D12" s="3"/>
      <c r="E12" s="3"/>
      <c r="F12" s="66"/>
      <c r="G12" s="67"/>
      <c r="H12" s="68"/>
      <c r="I12" s="69"/>
      <c r="J12" s="69"/>
      <c r="K12" s="173"/>
      <c r="L12" s="173"/>
      <c r="M12" s="173"/>
      <c r="N12" s="172"/>
      <c r="O12" s="172"/>
      <c r="P12" s="172"/>
      <c r="Q12" s="70"/>
      <c r="R12" s="3"/>
      <c r="S12" s="173">
        <f>IF(T11="","",T11*1.2)</f>
        <v>299.34566297148837</v>
      </c>
      <c r="T12" s="173"/>
      <c r="U12" s="3"/>
      <c r="V12" s="3">
        <f>IF(V11&gt;0,V11*20,"")</f>
        <v>177.2</v>
      </c>
      <c r="W12" s="3">
        <f>IF(W11="","",(W11*10)*AJ11)</f>
        <v>154.61252889451461</v>
      </c>
      <c r="X12" s="3">
        <f>IF(ROUNDUP(X11,1)&gt;0,IF((80+(8-ROUNDUP(X11,1))*40)&lt;0,0,80+(8-ROUNDUP(X11,1))*40),"")</f>
        <v>148</v>
      </c>
      <c r="Y12" s="4">
        <f>IF(SUM(V12,W12,X12)&gt;0,SUM(V12,W12,X12),"")</f>
        <v>479.81252889451457</v>
      </c>
      <c r="Z12" s="3">
        <f>IF(AE11&gt;34,(IF(OR(S12="",V12="",W12="",X12=""),"",SUM(S12,V12,W12,X12))*AI11),IF(OR(S12="",V12="",W12="",X12=""),"", SUM(S12,V12,W12,X12)))</f>
        <v>864.08643477939734</v>
      </c>
      <c r="AA12" s="3"/>
      <c r="AB12" s="66"/>
      <c r="AC12" s="71"/>
      <c r="AD12" s="6"/>
      <c r="AE12" s="61"/>
      <c r="AF12" s="62"/>
      <c r="AG12" s="44"/>
      <c r="AH12" s="63"/>
      <c r="AI12" s="63"/>
      <c r="AJ12" s="64"/>
      <c r="AK12" s="44"/>
    </row>
    <row r="13" spans="1:37" ht="19.5" customHeight="1">
      <c r="A13" s="44"/>
      <c r="B13" s="83" t="s">
        <v>302</v>
      </c>
      <c r="C13" s="84" t="s">
        <v>147</v>
      </c>
      <c r="D13" s="78">
        <v>89.76</v>
      </c>
      <c r="E13" s="84" t="s">
        <v>300</v>
      </c>
      <c r="F13" s="84" t="s">
        <v>251</v>
      </c>
      <c r="G13" s="85">
        <v>32685</v>
      </c>
      <c r="H13" s="84" t="s">
        <v>56</v>
      </c>
      <c r="I13" s="86" t="s">
        <v>303</v>
      </c>
      <c r="J13" s="87" t="s">
        <v>79</v>
      </c>
      <c r="K13" s="74">
        <v>85</v>
      </c>
      <c r="L13" s="74">
        <v>89</v>
      </c>
      <c r="M13" s="74">
        <v>96</v>
      </c>
      <c r="N13" s="74">
        <v>105</v>
      </c>
      <c r="O13" s="74">
        <v>-111</v>
      </c>
      <c r="P13" s="74">
        <v>-111</v>
      </c>
      <c r="Q13" s="75">
        <f>IF(MAX(K13:M13)&gt;0,IF(MAX(K13:M13)&lt;0,0,TRUNC(MAX(K13:M13)/1)*1),"")</f>
        <v>96</v>
      </c>
      <c r="R13" s="76">
        <f>IF(MAX(N13:P13)&gt;0,IF(MAX(N13:P13)&lt;0,0,TRUNC(MAX(N13:P13)/1)*1),"")</f>
        <v>105</v>
      </c>
      <c r="S13" s="76">
        <f>IF(Q13="","",IF(R13="","",IF(SUM(Q13:R13)=0,"",SUM(Q13:R13))))</f>
        <v>201</v>
      </c>
      <c r="T13" s="77">
        <f>IF(S13="","",IF(D13="","",IF((AD13="k"),IF(D13&gt;153.757,S13,IF(D13&lt;28,10^(0.0787004341*LOG10(28/153.757)^2)*S13,10^(0.787004341*LOG10(D13/153.757)^2)*S13)),IF(D13&gt;193.609,S13,IF(D13&lt;32,10^(0.722762521*LOG10(32/193.609)^2)*S13,10^(0.722762521*LOG10(D13/193.609)^2)*S13)))))</f>
        <v>241.96281296355838</v>
      </c>
      <c r="U13" s="78">
        <f>IF(AF13=1,T13*AI13,"")</f>
        <v>265.19124300805998</v>
      </c>
      <c r="V13" s="79">
        <v>8.64</v>
      </c>
      <c r="W13" s="79">
        <v>13.43</v>
      </c>
      <c r="X13" s="79">
        <v>6.8</v>
      </c>
      <c r="Y13" s="88"/>
      <c r="Z13" s="78"/>
      <c r="AA13" s="78">
        <v>3</v>
      </c>
      <c r="AB13" s="81"/>
      <c r="AC13" s="71">
        <f>U5</f>
        <v>46263</v>
      </c>
      <c r="AD13" s="60" t="str">
        <f>IF(ISNUMBER(FIND("M",E13)),"m",IF(ISNUMBER(FIND("K",E13)),"k"))</f>
        <v>m</v>
      </c>
      <c r="AE13" s="61">
        <f>IF(OR(G13="",AC13=""),0,(YEAR(AC13)-YEAR(G13)))</f>
        <v>37</v>
      </c>
      <c r="AF13" s="62">
        <f>IF(AE13&gt;34,1,0)</f>
        <v>1</v>
      </c>
      <c r="AG13" s="44">
        <f>IF(AF13=1,LOOKUP(AE13,'Meltzer-Faber'!A3:A63,'Meltzer-Faber'!B3:B63))</f>
        <v>1.0960000000000001</v>
      </c>
      <c r="AH13" s="63">
        <f>IF(AF13=1,LOOKUP(AE13,'Meltzer-Faber'!A3:A63,'Meltzer-Faber'!C3:C63))</f>
        <v>1.097</v>
      </c>
      <c r="AI13" s="63">
        <f>IF(AD13="m",AG13,IF(AD13="k",AH13,""))</f>
        <v>1.0960000000000001</v>
      </c>
      <c r="AJ13" s="64">
        <f>IF(D13="","",IF(D13&gt;193.609,1,IF(D13&lt;32,10^(0.722762521*LOG10(32/193.609)^2),10^(0.722762521*LOG10(D13/193.609)^2))))</f>
        <v>1.2037950893709373</v>
      </c>
      <c r="AK13" s="44"/>
    </row>
    <row r="14" spans="1:37" ht="19.5" customHeight="1">
      <c r="A14" s="44"/>
      <c r="B14" s="82"/>
      <c r="C14" s="3"/>
      <c r="D14" s="3"/>
      <c r="E14" s="3"/>
      <c r="F14" s="66"/>
      <c r="G14" s="67"/>
      <c r="H14" s="68"/>
      <c r="I14" s="69"/>
      <c r="J14" s="69"/>
      <c r="K14" s="173"/>
      <c r="L14" s="173"/>
      <c r="M14" s="173"/>
      <c r="N14" s="172"/>
      <c r="O14" s="172"/>
      <c r="P14" s="172"/>
      <c r="Q14" s="70"/>
      <c r="R14" s="3"/>
      <c r="S14" s="173">
        <f>IF(T13="","",T13*1.2)</f>
        <v>290.35537555627002</v>
      </c>
      <c r="T14" s="173"/>
      <c r="U14" s="3"/>
      <c r="V14" s="3">
        <f>IF(V13&gt;0,V13*20,"")</f>
        <v>172.8</v>
      </c>
      <c r="W14" s="3">
        <f>IF(W13="","",(W13*10)*AJ13)</f>
        <v>161.66968050251688</v>
      </c>
      <c r="X14" s="3">
        <f>IF(ROUNDUP(X13,1)&gt;0,IF((80+(8-ROUNDUP(X13,1))*40)&lt;0,0,80+(8-ROUNDUP(X13,1))*40),"")</f>
        <v>128</v>
      </c>
      <c r="Y14" s="4">
        <f>IF(SUM(V14,W14,X14)&gt;0,SUM(V14,W14,X14),"")</f>
        <v>462.46968050251689</v>
      </c>
      <c r="Z14" s="3">
        <f>IF(AE13&gt;34,(IF(OR(S14="",V14="",W14="",X14=""),"",SUM(S14,V14,W14,X14))*AI13),IF(OR(S14="",V14="",W14="",X14=""),"", SUM(S14,V14,W14,X14)))</f>
        <v>825.09626144043057</v>
      </c>
      <c r="AA14" s="3"/>
      <c r="AB14" s="66"/>
      <c r="AC14" s="71"/>
      <c r="AD14" s="6"/>
      <c r="AE14" s="61"/>
      <c r="AF14" s="62"/>
      <c r="AG14" s="44"/>
      <c r="AH14" s="63"/>
      <c r="AI14" s="63"/>
      <c r="AJ14" s="64"/>
      <c r="AK14" s="44"/>
    </row>
    <row r="15" spans="1:37" ht="19.5" customHeight="1">
      <c r="A15" s="44"/>
      <c r="B15" s="83" t="s">
        <v>304</v>
      </c>
      <c r="C15" s="84" t="s">
        <v>178</v>
      </c>
      <c r="D15" s="78">
        <v>108.85</v>
      </c>
      <c r="E15" s="84" t="s">
        <v>305</v>
      </c>
      <c r="F15" s="84" t="s">
        <v>251</v>
      </c>
      <c r="G15" s="85">
        <v>27849</v>
      </c>
      <c r="H15" s="84" t="s">
        <v>72</v>
      </c>
      <c r="I15" s="86" t="s">
        <v>306</v>
      </c>
      <c r="J15" s="87" t="s">
        <v>79</v>
      </c>
      <c r="K15" s="74">
        <v>91</v>
      </c>
      <c r="L15" s="74">
        <v>94</v>
      </c>
      <c r="M15" s="74">
        <v>96</v>
      </c>
      <c r="N15" s="74">
        <v>121</v>
      </c>
      <c r="O15" s="74">
        <v>126</v>
      </c>
      <c r="P15" s="74">
        <v>132</v>
      </c>
      <c r="Q15" s="75">
        <f>IF(MAX(K15:M15)&gt;0,IF(MAX(K15:M15)&lt;0,0,TRUNC(MAX(K15:M15)/1)*1),"")</f>
        <v>96</v>
      </c>
      <c r="R15" s="76">
        <f>IF(MAX(N15:P15)&gt;0,IF(MAX(N15:P15)&lt;0,0,TRUNC(MAX(N15:P15)/1)*1),"")</f>
        <v>132</v>
      </c>
      <c r="S15" s="76">
        <f>IF(Q15="","",IF(R15="","",IF(SUM(Q15:R15)=0,"",SUM(Q15:R15))))</f>
        <v>228</v>
      </c>
      <c r="T15" s="77">
        <f>IF(S15="","",IF(D15="","",IF((AD15="k"),IF(D15&gt;153.757,S15,IF(D15&lt;28,10^(0.0787004341*LOG10(28/153.757)^2)*S15,10^(0.787004341*LOG10(D15/153.757)^2)*S15)),IF(D15&gt;193.609,S15,IF(D15&lt;32,10^(0.722762521*LOG10(32/193.609)^2)*S15,10^(0.722762521*LOG10(D15/193.609)^2)*S15)))))</f>
        <v>253.01286508422078</v>
      </c>
      <c r="U15" s="78">
        <f>IF(AF15=1,T15*AI15,"")</f>
        <v>323.60345444271837</v>
      </c>
      <c r="V15" s="79">
        <v>6.55</v>
      </c>
      <c r="W15" s="79">
        <v>11.32</v>
      </c>
      <c r="X15" s="79">
        <v>8.5</v>
      </c>
      <c r="Y15" s="80"/>
      <c r="Z15" s="78"/>
      <c r="AA15" s="78">
        <v>4</v>
      </c>
      <c r="AB15" s="81"/>
      <c r="AC15" s="71">
        <f>U5</f>
        <v>46263</v>
      </c>
      <c r="AD15" s="60" t="str">
        <f>IF(ISNUMBER(FIND("M",E15)),"m",IF(ISNUMBER(FIND("K",E15)),"k"))</f>
        <v>m</v>
      </c>
      <c r="AE15" s="61">
        <f>IF(OR(G15="",AC15=""),0,(YEAR(AC15)-YEAR(G15)))</f>
        <v>50</v>
      </c>
      <c r="AF15" s="62">
        <f>IF(AE15&gt;34,1,0)</f>
        <v>1</v>
      </c>
      <c r="AG15" s="44">
        <f>IF(AF15=1,LOOKUP(AE15,'Meltzer-Faber'!A3:A63,'Meltzer-Faber'!B3:B63))</f>
        <v>1.2789999999999999</v>
      </c>
      <c r="AH15" s="63">
        <f>IF(AF15=1,LOOKUP(AE15,'Meltzer-Faber'!A3:A63,'Meltzer-Faber'!C3:C63))</f>
        <v>1.34</v>
      </c>
      <c r="AI15" s="63">
        <f>IF(AD15="m",AG15,IF(AD15="k",AH15,""))</f>
        <v>1.2789999999999999</v>
      </c>
      <c r="AJ15" s="64">
        <f>IF(D15="","",IF(D15&gt;193.609,1,IF(D15&lt;32,10^(0.722762521*LOG10(32/193.609)^2),10^(0.722762521*LOG10(D15/193.609)^2))))</f>
        <v>1.1097055486150034</v>
      </c>
      <c r="AK15" s="44"/>
    </row>
    <row r="16" spans="1:37" ht="19.5" customHeight="1">
      <c r="A16" s="44"/>
      <c r="B16" s="82"/>
      <c r="C16" s="3"/>
      <c r="D16" s="3"/>
      <c r="E16" s="3"/>
      <c r="F16" s="66"/>
      <c r="G16" s="67"/>
      <c r="H16" s="68"/>
      <c r="I16" s="69"/>
      <c r="J16" s="69"/>
      <c r="K16" s="173"/>
      <c r="L16" s="173"/>
      <c r="M16" s="173"/>
      <c r="N16" s="172"/>
      <c r="O16" s="172"/>
      <c r="P16" s="172"/>
      <c r="Q16" s="89"/>
      <c r="R16" s="90"/>
      <c r="S16" s="173">
        <f>IF(T15="","",T15*1.2)</f>
        <v>303.61543810106491</v>
      </c>
      <c r="T16" s="173"/>
      <c r="U16" s="3"/>
      <c r="V16" s="3">
        <f>IF(V15&gt;0,V15*20,"")</f>
        <v>131</v>
      </c>
      <c r="W16" s="3">
        <f>IF(W15="","",(W15*10)*AJ15)</f>
        <v>125.61866810321838</v>
      </c>
      <c r="X16" s="3">
        <f>IF(ROUNDUP(X15,1)&gt;0,IF((80+(8-ROUNDUP(X15,1))*40)&lt;0,0,80+(8-ROUNDUP(X15,1))*40),"")</f>
        <v>60</v>
      </c>
      <c r="Y16" s="4">
        <f>IF(SUM(V16,W16,X16)&gt;0,SUM(V16,W16,X16),"")</f>
        <v>316.6186681032184</v>
      </c>
      <c r="Z16" s="3">
        <f>IF(AE15&gt;34,(IF(OR(S16="",V16="",W16="",X16=""),"",SUM(S16,V16,W16,X16))*AI15),IF(OR(S16="",V16="",W16="",X16=""),"", SUM(S16,V16,W16,X16)))</f>
        <v>793.2794218352783</v>
      </c>
      <c r="AA16" s="3"/>
      <c r="AB16" s="66"/>
      <c r="AC16" s="71"/>
      <c r="AD16" s="6"/>
      <c r="AE16" s="61"/>
      <c r="AF16" s="62"/>
      <c r="AG16" s="44"/>
      <c r="AH16" s="63"/>
      <c r="AI16" s="63"/>
      <c r="AJ16" s="64"/>
      <c r="AK16" s="44"/>
    </row>
    <row r="17" spans="1:37" ht="19.5" customHeight="1">
      <c r="A17" s="44"/>
      <c r="B17" s="83" t="s">
        <v>173</v>
      </c>
      <c r="C17" s="84" t="s">
        <v>284</v>
      </c>
      <c r="D17" s="78">
        <v>110.64</v>
      </c>
      <c r="E17" s="84" t="s">
        <v>300</v>
      </c>
      <c r="F17" s="84" t="s">
        <v>251</v>
      </c>
      <c r="G17" s="85">
        <v>33559</v>
      </c>
      <c r="H17" s="84" t="s">
        <v>52</v>
      </c>
      <c r="I17" s="91" t="s">
        <v>174</v>
      </c>
      <c r="J17" s="87" t="s">
        <v>96</v>
      </c>
      <c r="K17" s="74">
        <v>116</v>
      </c>
      <c r="L17" s="74">
        <v>-120</v>
      </c>
      <c r="M17" s="74">
        <v>-120</v>
      </c>
      <c r="N17" s="74">
        <v>153</v>
      </c>
      <c r="O17" s="74">
        <v>-158</v>
      </c>
      <c r="P17" s="74">
        <v>-158</v>
      </c>
      <c r="Q17" s="75">
        <f>IF(MAX(K17:M17)&gt;0,IF(MAX(K17:M17)&lt;0,0,TRUNC(MAX(K17:M17)/1)*1),"")</f>
        <v>116</v>
      </c>
      <c r="R17" s="76">
        <f>IF(MAX(N17:P17)&gt;0,IF(MAX(N17:P17)&lt;0,0,TRUNC(MAX(N17:P17)/1)*1),"")</f>
        <v>153</v>
      </c>
      <c r="S17" s="74">
        <f>IF(Q17="","",IF(R17="","",IF(SUM(Q17:R17)=0,"",SUM(Q17:R17))))</f>
        <v>269</v>
      </c>
      <c r="T17" s="77">
        <f>IF(S17="","",IF(D17="","",IF((AD17="k"),IF(D17&gt;153.757,S17,IF(D17&lt;28,10^(0.0787004341*LOG10(28/153.757)^2)*S17,10^(0.787004341*LOG10(D17/153.757)^2)*S17)),IF(D17&gt;193.609,S17,IF(D17&lt;32,10^(0.722762521*LOG10(32/193.609)^2)*S17,10^(0.722762521*LOG10(D17/193.609)^2)*S17)))))</f>
        <v>296.7805137348858</v>
      </c>
      <c r="U17" s="78">
        <f>IF(AF17=1,T17*AI17,"")</f>
        <v>318.14871072379759</v>
      </c>
      <c r="V17" s="79">
        <v>7.64</v>
      </c>
      <c r="W17" s="79">
        <v>12.17</v>
      </c>
      <c r="X17" s="79">
        <v>7.6</v>
      </c>
      <c r="Y17" s="80"/>
      <c r="Z17" s="78"/>
      <c r="AA17" s="78">
        <v>5</v>
      </c>
      <c r="AB17" s="81"/>
      <c r="AC17" s="71">
        <f>U5</f>
        <v>46263</v>
      </c>
      <c r="AD17" s="60" t="str">
        <f>IF(ISNUMBER(FIND("M",E17)),"m",IF(ISNUMBER(FIND("K",E17)),"k"))</f>
        <v>m</v>
      </c>
      <c r="AE17" s="61">
        <f>IF(OR(G17="",AC17=""),0,(YEAR(AC17)-YEAR(G17)))</f>
        <v>35</v>
      </c>
      <c r="AF17" s="62">
        <f>IF(AE17&gt;34,1,0)</f>
        <v>1</v>
      </c>
      <c r="AG17" s="44">
        <f>IF(AF17=1,LOOKUP(AE17,'Meltzer-Faber'!A3:A63,'Meltzer-Faber'!B3:B63))</f>
        <v>1.0720000000000001</v>
      </c>
      <c r="AH17" s="63">
        <f>IF(AF17=1,LOOKUP(AE17,'Meltzer-Faber'!A3:A63,'Meltzer-Faber'!C3:C63))</f>
        <v>1.0720000000000001</v>
      </c>
      <c r="AI17" s="63">
        <f>IF(AD17="m",AG17,IF(AD17="k",AH17,""))</f>
        <v>1.0720000000000001</v>
      </c>
      <c r="AJ17" s="64">
        <f>IF(D17="","",IF(D17&gt;193.609,1,IF(D17&lt;32,10^(0.722762521*LOG10(32/193.609)^2),10^(0.722762521*LOG10(D17/193.609)^2))))</f>
        <v>1.1032732852597986</v>
      </c>
      <c r="AK17" s="44"/>
    </row>
    <row r="18" spans="1:37" ht="19.5" customHeight="1">
      <c r="A18" s="44"/>
      <c r="B18" s="82"/>
      <c r="C18" s="3"/>
      <c r="D18" s="3"/>
      <c r="E18" s="3"/>
      <c r="F18" s="66"/>
      <c r="G18" s="67"/>
      <c r="H18" s="68"/>
      <c r="I18" s="69"/>
      <c r="J18" s="69"/>
      <c r="K18" s="173"/>
      <c r="L18" s="173"/>
      <c r="M18" s="173"/>
      <c r="N18" s="172"/>
      <c r="O18" s="172"/>
      <c r="P18" s="172"/>
      <c r="Q18" s="70"/>
      <c r="R18" s="3"/>
      <c r="S18" s="173">
        <f>IF(T17="","",T17*1.2)</f>
        <v>356.13661648186297</v>
      </c>
      <c r="T18" s="173"/>
      <c r="U18" s="3"/>
      <c r="V18" s="3">
        <f>IF(V17&gt;0,V17*20,"")</f>
        <v>152.79999999999998</v>
      </c>
      <c r="W18" s="3">
        <f>IF(W17="","",(W17*10)*AJ17)</f>
        <v>134.26835881611748</v>
      </c>
      <c r="X18" s="3">
        <f>IF(ROUNDUP(X17,1)&gt;0,IF((80+(8-ROUNDUP(X17,1))*40)&lt;0,0,80+(8-ROUNDUP(X17,1))*40),"")</f>
        <v>96.000000000000014</v>
      </c>
      <c r="Y18" s="4">
        <f>IF(SUM(V18,W18,X18)&gt;0,SUM(V18,W18,X18),"")</f>
        <v>383.06835881611744</v>
      </c>
      <c r="Z18" s="3">
        <f>IF(AE17&gt;34,(IF(OR(S18="",V18="",W18="",X18=""),"",SUM(S18,V18,W18,X18))*AI17),IF(OR(S18="",V18="",W18="",X18=""),"", SUM(S18,V18,W18,X18)))</f>
        <v>792.42773351943515</v>
      </c>
      <c r="AA18" s="3"/>
      <c r="AB18" s="66"/>
      <c r="AC18" s="71"/>
      <c r="AD18" s="6"/>
      <c r="AE18" s="61"/>
      <c r="AF18" s="62"/>
      <c r="AG18" s="44"/>
      <c r="AH18" s="63"/>
      <c r="AI18" s="63"/>
      <c r="AJ18" s="64"/>
      <c r="AK18" s="44"/>
    </row>
    <row r="19" spans="1:37" ht="19.5" customHeight="1">
      <c r="A19" s="44"/>
      <c r="B19" s="83" t="s">
        <v>307</v>
      </c>
      <c r="C19" s="84" t="s">
        <v>154</v>
      </c>
      <c r="D19" s="78">
        <v>84.15</v>
      </c>
      <c r="E19" s="84" t="s">
        <v>308</v>
      </c>
      <c r="F19" s="84" t="s">
        <v>251</v>
      </c>
      <c r="G19" s="85">
        <v>28941</v>
      </c>
      <c r="H19" s="84" t="s">
        <v>86</v>
      </c>
      <c r="I19" s="91" t="s">
        <v>309</v>
      </c>
      <c r="J19" s="87" t="s">
        <v>124</v>
      </c>
      <c r="K19" s="74">
        <v>72</v>
      </c>
      <c r="L19" s="74">
        <v>-76</v>
      </c>
      <c r="M19" s="74">
        <v>-76</v>
      </c>
      <c r="N19" s="74">
        <v>90</v>
      </c>
      <c r="O19" s="74">
        <v>-95</v>
      </c>
      <c r="P19" s="74">
        <v>95</v>
      </c>
      <c r="Q19" s="75">
        <f>IF(MAX(K19:M19)&gt;0,IF(MAX(K19:M19)&lt;0,0,TRUNC(MAX(K19:M19)/1)*1),"")</f>
        <v>72</v>
      </c>
      <c r="R19" s="76">
        <f>IF(MAX(N19:P19)&gt;0,IF(MAX(N19:P19)&lt;0,0,TRUNC(MAX(N19:P19)/1)*1),"")</f>
        <v>95</v>
      </c>
      <c r="S19" s="74">
        <f>IF(Q19="","",IF(R19="","",IF(SUM(Q19:R19)=0,"",SUM(Q19:R19))))</f>
        <v>167</v>
      </c>
      <c r="T19" s="77">
        <f>IF(S19="","",IF(D19="","",IF((AD19="k"),IF(D19&gt;153.757,S19,IF(D19&lt;28,10^(0.0787004341*LOG10(28/153.757)^2)*S19,10^(0.787004341*LOG10(D19/153.757)^2)*S19)),IF(D19&gt;193.609,S19,IF(D19&lt;32,10^(0.722762521*LOG10(32/193.609)^2)*S19,10^(0.722762521*LOG10(D19/193.609)^2)*S19)))))</f>
        <v>207.66480199958352</v>
      </c>
      <c r="U19" s="78">
        <f>IF(AF19=1,T19*AI19,"")</f>
        <v>256.05070086548648</v>
      </c>
      <c r="V19" s="79">
        <v>7.21</v>
      </c>
      <c r="W19" s="79">
        <v>10.86</v>
      </c>
      <c r="X19" s="79">
        <v>7.15</v>
      </c>
      <c r="Y19" s="80"/>
      <c r="Z19" s="78"/>
      <c r="AA19" s="78">
        <v>6</v>
      </c>
      <c r="AB19" s="81"/>
      <c r="AC19" s="71">
        <f>U5</f>
        <v>46263</v>
      </c>
      <c r="AD19" s="60" t="str">
        <f>IF(ISNUMBER(FIND("M",E19)),"m",IF(ISNUMBER(FIND("K",E19)),"k"))</f>
        <v>m</v>
      </c>
      <c r="AE19" s="61">
        <f>IF(OR(G19="",AC19=""),0,(YEAR(AC19)-YEAR(G19)))</f>
        <v>47</v>
      </c>
      <c r="AF19" s="62">
        <f>IF(AE19&gt;34,1,0)</f>
        <v>1</v>
      </c>
      <c r="AG19" s="44">
        <f>IF(AF19=1,LOOKUP(AE19,'Meltzer-Faber'!A3:A63,'Meltzer-Faber'!B3:B63))</f>
        <v>1.2330000000000001</v>
      </c>
      <c r="AH19" s="63">
        <f>IF(AF19=1,LOOKUP(AE19,'Meltzer-Faber'!A3:A63,'Meltzer-Faber'!C3:C63))</f>
        <v>1.2649999999999999</v>
      </c>
      <c r="AI19" s="63">
        <f>IF(AD19="m",AG19,IF(AD19="k",AH19,""))</f>
        <v>1.2330000000000001</v>
      </c>
      <c r="AJ19" s="64">
        <f>IF(D19="","",IF(D19&gt;193.609,1,IF(D19&lt;32,10^(0.722762521*LOG10(32/193.609)^2),10^(0.722762521*LOG10(D19/193.609)^2))))</f>
        <v>1.2435018083807396</v>
      </c>
      <c r="AK19" s="44"/>
    </row>
    <row r="20" spans="1:37" ht="19.5" customHeight="1">
      <c r="A20" s="44"/>
      <c r="B20" s="82"/>
      <c r="C20" s="3"/>
      <c r="D20" s="3"/>
      <c r="E20" s="3"/>
      <c r="F20" s="66"/>
      <c r="G20" s="67"/>
      <c r="H20" s="68"/>
      <c r="I20" s="69"/>
      <c r="J20" s="69"/>
      <c r="K20" s="173"/>
      <c r="L20" s="173"/>
      <c r="M20" s="173"/>
      <c r="N20" s="172"/>
      <c r="O20" s="172"/>
      <c r="P20" s="172"/>
      <c r="Q20" s="70"/>
      <c r="R20" s="3"/>
      <c r="S20" s="173">
        <f>IF(T19="","",T19*1.2)</f>
        <v>249.19776239950022</v>
      </c>
      <c r="T20" s="173"/>
      <c r="U20" s="3"/>
      <c r="V20" s="3">
        <f>IF(V19&gt;0,V19*20,"")</f>
        <v>144.19999999999999</v>
      </c>
      <c r="W20" s="3">
        <f>IF(W19="","",(W19*10)*AJ19)</f>
        <v>135.04429639014833</v>
      </c>
      <c r="X20" s="3">
        <f>IF(ROUNDUP(X19,1)&gt;0,IF((80+(8-ROUNDUP(X19,1))*40)&lt;0,0,80+(8-ROUNDUP(X19,1))*40),"")</f>
        <v>112.00000000000003</v>
      </c>
      <c r="Y20" s="4">
        <f>IF(SUM(V20,W20,X20)&gt;0,SUM(V20,W20,X20),"")</f>
        <v>391.24429639014829</v>
      </c>
      <c r="Z20" s="3">
        <f>IF(AE19&gt;34,(IF(OR(S20="",V20="",W20="",X20=""),"",SUM(S20,V20,W20,X20))*AI19),IF(OR(S20="",V20="",W20="",X20=""),"", SUM(S20,V20,W20,X20)))</f>
        <v>789.66505848763666</v>
      </c>
      <c r="AA20" s="3"/>
      <c r="AB20" s="66"/>
      <c r="AC20" s="71"/>
      <c r="AD20" s="6"/>
      <c r="AE20" s="61"/>
      <c r="AF20" s="62"/>
      <c r="AG20" s="44"/>
      <c r="AH20" s="63"/>
      <c r="AI20" s="63"/>
      <c r="AJ20" s="64"/>
      <c r="AK20" s="44"/>
    </row>
    <row r="21" spans="1:37" ht="19.5" customHeight="1">
      <c r="A21" s="44"/>
      <c r="B21" s="83" t="s">
        <v>310</v>
      </c>
      <c r="C21" s="84" t="s">
        <v>154</v>
      </c>
      <c r="D21" s="78">
        <v>79.83</v>
      </c>
      <c r="E21" s="84" t="s">
        <v>311</v>
      </c>
      <c r="F21" s="84" t="s">
        <v>312</v>
      </c>
      <c r="G21" s="85">
        <v>22528</v>
      </c>
      <c r="H21" s="84" t="s">
        <v>82</v>
      </c>
      <c r="I21" s="86" t="s">
        <v>313</v>
      </c>
      <c r="J21" s="87" t="s">
        <v>152</v>
      </c>
      <c r="K21" s="74">
        <v>65</v>
      </c>
      <c r="L21" s="74">
        <v>68</v>
      </c>
      <c r="M21" s="74">
        <v>-70</v>
      </c>
      <c r="N21" s="74">
        <v>85</v>
      </c>
      <c r="O21" s="74">
        <v>88</v>
      </c>
      <c r="P21" s="74">
        <v>-90</v>
      </c>
      <c r="Q21" s="75">
        <f>IF(MAX(K21:M21)&gt;0,IF(MAX(K21:M21)&lt;0,0,TRUNC(MAX(K21:M21)/1)*1),"")</f>
        <v>68</v>
      </c>
      <c r="R21" s="76">
        <f>IF(MAX(N21:P21)&gt;0,IF(MAX(N21:P21)&lt;0,0,TRUNC(MAX(N21:P21)/1)*1),"")</f>
        <v>88</v>
      </c>
      <c r="S21" s="74">
        <f>IF(Q21="","",IF(R21="","",IF(SUM(Q21:R21)=0,"",SUM(Q21:R21))))</f>
        <v>156</v>
      </c>
      <c r="T21" s="77">
        <f>IF(S21="","",IF(D21="","",IF((AD21="k"),IF(D21&gt;153.757,S21,IF(D21&lt;28,10^(0.0787004341*LOG10(28/153.757)^2)*S21,10^(0.787004341*LOG10(D21/153.757)^2)*S21)),IF(D21&gt;193.609,S21,IF(D21&lt;32,10^(0.722762521*LOG10(32/193.609)^2)*S21,10^(0.722762521*LOG10(D21/193.609)^2)*S21)))))</f>
        <v>199.5823911098831</v>
      </c>
      <c r="U21" s="78">
        <f>IF(AF21=1,T21*AI21,"")</f>
        <v>331.90551641573563</v>
      </c>
      <c r="V21" s="79">
        <v>6.85</v>
      </c>
      <c r="W21" s="79">
        <v>10.02</v>
      </c>
      <c r="X21" s="79">
        <v>8.0500000000000007</v>
      </c>
      <c r="Y21" s="80"/>
      <c r="Z21" s="78"/>
      <c r="AA21" s="78">
        <v>1</v>
      </c>
      <c r="AB21" s="81"/>
      <c r="AC21" s="71">
        <f>U5</f>
        <v>46263</v>
      </c>
      <c r="AD21" s="60" t="str">
        <f>IF(ISNUMBER(FIND("M",E21)),"m",IF(ISNUMBER(FIND("K",E21)),"k"))</f>
        <v>m</v>
      </c>
      <c r="AE21" s="61">
        <f>IF(OR(G21="",AC21=""),0,(YEAR(AC21)-YEAR(G21)))</f>
        <v>65</v>
      </c>
      <c r="AF21" s="62">
        <f>IF(AE21&gt;34,1,0)</f>
        <v>1</v>
      </c>
      <c r="AG21" s="44">
        <f>IF(AF21=1,LOOKUP(AE21,'Meltzer-Faber'!A3:A63,'Meltzer-Faber'!B3:B63))</f>
        <v>1.663</v>
      </c>
      <c r="AH21" s="63">
        <f>IF(AF21=1,LOOKUP(AE21,'Meltzer-Faber'!A3:A63,'Meltzer-Faber'!C3:C63))</f>
        <v>1.873</v>
      </c>
      <c r="AI21" s="63">
        <f>IF(AD21="m",AG21,IF(AD21="k",AH21,""))</f>
        <v>1.663</v>
      </c>
      <c r="AJ21" s="64">
        <f>IF(D21="","",IF(D21&gt;193.609,1,IF(D21&lt;32,10^(0.722762521*LOG10(32/193.609)^2),10^(0.722762521*LOG10(D21/193.609)^2))))</f>
        <v>1.2793743019864301</v>
      </c>
      <c r="AK21" s="44"/>
    </row>
    <row r="22" spans="1:37" ht="19.5" customHeight="1">
      <c r="A22" s="44"/>
      <c r="B22" s="82"/>
      <c r="C22" s="3"/>
      <c r="D22" s="3"/>
      <c r="E22" s="3"/>
      <c r="F22" s="66"/>
      <c r="G22" s="67"/>
      <c r="H22" s="68"/>
      <c r="I22" s="69"/>
      <c r="J22" s="69"/>
      <c r="K22" s="173"/>
      <c r="L22" s="173"/>
      <c r="M22" s="173"/>
      <c r="N22" s="172"/>
      <c r="O22" s="172"/>
      <c r="P22" s="172"/>
      <c r="Q22" s="70"/>
      <c r="R22" s="3"/>
      <c r="S22" s="173">
        <f>IF(T21="","",T21*1.2)</f>
        <v>239.49886933185971</v>
      </c>
      <c r="T22" s="173"/>
      <c r="U22" s="3"/>
      <c r="V22" s="3">
        <f>IF(V21&gt;0,V21*20,"")</f>
        <v>137</v>
      </c>
      <c r="W22" s="3">
        <f>IF(W21="","",(W21*10)*AJ21)</f>
        <v>128.19330505904028</v>
      </c>
      <c r="X22" s="3">
        <f>IF(ROUNDUP(X21,1)&gt;0,IF((80+(8-ROUNDUP(X21,1))*40)&lt;0,0,80+(8-ROUNDUP(X21,1))*40),"")</f>
        <v>76.000000000000014</v>
      </c>
      <c r="Y22" s="4">
        <f>IF(SUM(V22,W22,X22)&gt;0,SUM(V22,W22,X22),"")</f>
        <v>341.19330505904031</v>
      </c>
      <c r="Z22" s="3">
        <f>IF(AE21&gt;34,(IF(OR(S22="",V22="",W22="",X22=""),"",SUM(S22,V22,W22,X22))*AI21),IF(OR(S22="",V22="",W22="",X22=""),"", SUM(S22,V22,W22,X22)))</f>
        <v>965.69108601206676</v>
      </c>
      <c r="AA22" s="3"/>
      <c r="AB22" s="66"/>
      <c r="AC22" s="71"/>
      <c r="AD22" s="6"/>
      <c r="AE22" s="61"/>
      <c r="AF22" s="62"/>
      <c r="AG22" s="44"/>
      <c r="AH22" s="63"/>
      <c r="AI22" s="63"/>
      <c r="AJ22" s="64"/>
      <c r="AK22" s="44"/>
    </row>
    <row r="23" spans="1:37" ht="19.5" customHeight="1">
      <c r="A23" s="44"/>
      <c r="B23" s="83"/>
      <c r="C23" s="84"/>
      <c r="D23" s="78"/>
      <c r="E23" s="84"/>
      <c r="F23" s="84"/>
      <c r="G23" s="85"/>
      <c r="H23" s="84"/>
      <c r="I23" s="86"/>
      <c r="J23" s="87"/>
      <c r="K23" s="74"/>
      <c r="L23" s="74"/>
      <c r="M23" s="74"/>
      <c r="N23" s="74"/>
      <c r="O23" s="74"/>
      <c r="P23" s="74"/>
      <c r="Q23" s="75" t="str">
        <f>IF(MAX(K23:M23)&gt;0,IF(MAX(K23:M23)&lt;0,0,TRUNC(MAX(K23:M23)/1)*1),"")</f>
        <v/>
      </c>
      <c r="R23" s="76" t="str">
        <f>IF(MAX(N23:P23)&gt;0,IF(MAX(N23:P23)&lt;0,0,TRUNC(MAX(N23:P23)/1)*1),"")</f>
        <v/>
      </c>
      <c r="S23" s="74" t="str">
        <f>IF(Q23="","",IF(R23="","",IF(SUM(Q23:R23)=0,"",SUM(Q23:R23))))</f>
        <v/>
      </c>
      <c r="T23" s="77" t="str">
        <f>IF(S23="","",IF(D23="","",IF((AD23="k"),IF(D23&gt;153.757,S23,IF(C23&lt;28,10^(0.0787004341*LOG10(28/153.757)^2)*S23,10^(0.787004341*LOG10(D23/153.757)^2)*S23)),IF(D23&gt;193.609,S23,IF(D23&lt;32,10^(0.722762521*LOG10(32/193.609)^2)*S23,10^(0.722762521*LOG10(D23/193.609)^2)*S23)))))</f>
        <v/>
      </c>
      <c r="U23" s="78" t="str">
        <f>IF(AF23=1,T23*AI23,"")</f>
        <v/>
      </c>
      <c r="V23" s="79"/>
      <c r="W23" s="79"/>
      <c r="X23" s="79"/>
      <c r="Y23" s="80"/>
      <c r="Z23" s="78"/>
      <c r="AA23" s="78"/>
      <c r="AB23" s="81"/>
      <c r="AC23" s="71">
        <f>U5</f>
        <v>46263</v>
      </c>
      <c r="AD23" s="60" t="b">
        <f>IF(ISNUMBER(FIND("M",E23)),"m",IF(ISNUMBER(FIND("K",E23)),"k"))</f>
        <v>0</v>
      </c>
      <c r="AE23" s="92">
        <f>IF(OR(G23="",AC23=""),0,(YEAR(AC23)-YEAR(G23)))</f>
        <v>0</v>
      </c>
      <c r="AF23" s="62">
        <f>IF(AE23&gt;34,1,0)</f>
        <v>0</v>
      </c>
      <c r="AG23" s="44" t="b">
        <f>IF(AF23=1,LOOKUP(AE23,'Meltzer-Faber'!A3:A63,'Meltzer-Faber'!B3:B63))</f>
        <v>0</v>
      </c>
      <c r="AH23" s="63" t="b">
        <f>IF(AF23=1,LOOKUP(AE23,'Meltzer-Faber'!A3:A63,'Meltzer-Faber'!C3:C63))</f>
        <v>0</v>
      </c>
      <c r="AI23" s="63" t="str">
        <f>IF(AD23="m",AG23,IF(AD23="k",AH23,""))</f>
        <v/>
      </c>
      <c r="AJ23" s="64" t="str">
        <f>IF(D23="","",IF(D23&gt;193.609,1,IF(D23&lt;32,10^(0.722762521*LOG10(32/193.609)^2),10^(0.722762521*LOG10(D23/193.609)^2))))</f>
        <v/>
      </c>
      <c r="AK23" s="44"/>
    </row>
    <row r="24" spans="1:37" ht="19.5" customHeight="1">
      <c r="A24" s="44"/>
      <c r="B24" s="82"/>
      <c r="C24" s="3"/>
      <c r="D24" s="3"/>
      <c r="E24" s="3"/>
      <c r="F24" s="66"/>
      <c r="G24" s="67"/>
      <c r="H24" s="68"/>
      <c r="I24" s="69"/>
      <c r="J24" s="69"/>
      <c r="K24" s="173"/>
      <c r="L24" s="173"/>
      <c r="M24" s="173"/>
      <c r="N24" s="172"/>
      <c r="O24" s="172"/>
      <c r="P24" s="172"/>
      <c r="Q24" s="70"/>
      <c r="R24" s="3"/>
      <c r="S24" s="173" t="str">
        <f>IF(T23="","",T23*1.2)</f>
        <v/>
      </c>
      <c r="T24" s="173"/>
      <c r="U24" s="3"/>
      <c r="V24" s="3"/>
      <c r="W24" s="3"/>
      <c r="X24" s="3"/>
      <c r="Y24" s="4" t="str">
        <f>IF(SUM(V24,W24,X24)&gt;0,SUM(V24,W24,X24),"")</f>
        <v/>
      </c>
      <c r="Z24" s="3" t="str">
        <f>IF(AE23&gt;34,(IF(OR(S24="",V24="",W24="",X24=""),"",SUM(S24,V24,W24,X24))*AI23),IF(OR(S24="",V24="",W24="",X24=""),"", SUM(S24,V24,W24,X24)))</f>
        <v/>
      </c>
      <c r="AA24" s="3"/>
      <c r="AB24" s="66"/>
      <c r="AC24" s="71"/>
      <c r="AD24" s="6"/>
      <c r="AE24" s="61"/>
      <c r="AF24" s="62"/>
      <c r="AG24" s="44"/>
      <c r="AH24" s="63"/>
      <c r="AI24" s="63"/>
      <c r="AJ24" s="64"/>
      <c r="AK24" s="44"/>
    </row>
    <row r="25" spans="1:37" ht="19.5" customHeight="1">
      <c r="A25" s="44"/>
      <c r="B25" s="83"/>
      <c r="C25" s="84"/>
      <c r="D25" s="78"/>
      <c r="E25" s="84"/>
      <c r="F25" s="84"/>
      <c r="G25" s="85"/>
      <c r="H25" s="84"/>
      <c r="I25" s="86"/>
      <c r="J25" s="87"/>
      <c r="K25" s="74"/>
      <c r="L25" s="74"/>
      <c r="M25" s="74"/>
      <c r="N25" s="74"/>
      <c r="O25" s="74"/>
      <c r="P25" s="74"/>
      <c r="Q25" s="75" t="str">
        <f>IF(MAX(K25:M25)&gt;0,IF(MAX(K25:M25)&lt;0,0,TRUNC(MAX(K25:M25)/1)*1),"")</f>
        <v/>
      </c>
      <c r="R25" s="76" t="str">
        <f>IF(MAX(N25:P25)&gt;0,IF(MAX(N25:P25)&lt;0,0,TRUNC(MAX(N25:P25)/1)*1),"")</f>
        <v/>
      </c>
      <c r="S25" s="74" t="str">
        <f>IF(Q25="","",IF(R25="","",IF(SUM(Q25:R25)=0,"",SUM(Q25:R25))))</f>
        <v/>
      </c>
      <c r="T25" s="77" t="str">
        <f>IF(S25="","",IF(D25="","",IF((AD25="k"),IF(D25&gt;153.757,S25,IF(C25&lt;28,10^(0.0787004341*LOG10(28/153.757)^2)*S25,10^(0.787004341*LOG10(D25/153.757)^2)*S25)),IF(D25&gt;193.609,S25,IF(D25&lt;32,10^(0.722762521*LOG10(32/193.609)^2)*S25,10^(0.722762521*LOG10(D25/193.609)^2)*S25)))))</f>
        <v/>
      </c>
      <c r="U25" s="78" t="str">
        <f>IF(AF25=1,T25*AI25,"")</f>
        <v/>
      </c>
      <c r="V25" s="79"/>
      <c r="W25" s="79"/>
      <c r="X25" s="79"/>
      <c r="Y25" s="80"/>
      <c r="Z25" s="78"/>
      <c r="AA25" s="78"/>
      <c r="AB25" s="81"/>
      <c r="AC25" s="71">
        <f>U5</f>
        <v>46263</v>
      </c>
      <c r="AD25" s="60" t="b">
        <f>IF(ISNUMBER(FIND("M",E25)),"m",IF(ISNUMBER(FIND("K",E25)),"k"))</f>
        <v>0</v>
      </c>
      <c r="AE25" s="92">
        <f>IF(OR(G25="",AC25=""),0,(YEAR(AC25)-YEAR(G25)))</f>
        <v>0</v>
      </c>
      <c r="AF25" s="62">
        <f>IF(AE25&gt;34,1,0)</f>
        <v>0</v>
      </c>
      <c r="AG25" s="44" t="b">
        <f>IF(AF25=1,LOOKUP(AE25,'Meltzer-Faber'!A3:A63,'Meltzer-Faber'!B3:B63))</f>
        <v>0</v>
      </c>
      <c r="AH25" s="63" t="b">
        <f>IF(AF25=1,LOOKUP(AE25,'Meltzer-Faber'!A3:A63,'Meltzer-Faber'!C3:C63))</f>
        <v>0</v>
      </c>
      <c r="AI25" s="63" t="str">
        <f>IF(AD25="m",AG25,IF(AD25="k",AH25,""))</f>
        <v/>
      </c>
      <c r="AJ25" s="64" t="str">
        <f>IF(D25="","",IF(D25&gt;193.609,1,IF(D25&lt;32,10^(0.722762521*LOG10(32/193.609)^2),10^(0.722762521*LOG10(D25/193.609)^2))))</f>
        <v/>
      </c>
      <c r="AK25" s="44"/>
    </row>
    <row r="26" spans="1:37" ht="19.5" customHeight="1">
      <c r="A26" s="44"/>
      <c r="B26" s="82"/>
      <c r="C26" s="3"/>
      <c r="D26" s="3"/>
      <c r="E26" s="3"/>
      <c r="F26" s="66"/>
      <c r="G26" s="67"/>
      <c r="H26" s="68"/>
      <c r="I26" s="69"/>
      <c r="J26" s="69"/>
      <c r="K26" s="173"/>
      <c r="L26" s="173"/>
      <c r="M26" s="173"/>
      <c r="N26" s="172"/>
      <c r="O26" s="172"/>
      <c r="P26" s="172"/>
      <c r="Q26" s="70"/>
      <c r="R26" s="3"/>
      <c r="S26" s="173" t="str">
        <f>IF(T25="","",T25*1.2)</f>
        <v/>
      </c>
      <c r="T26" s="173"/>
      <c r="U26" s="3"/>
      <c r="V26" s="3"/>
      <c r="W26" s="3"/>
      <c r="X26" s="3"/>
      <c r="Y26" s="4" t="str">
        <f>IF(SUM(V26,W26,X26)&gt;0,SUM(V26,W26,X26),"")</f>
        <v/>
      </c>
      <c r="Z26" s="3" t="str">
        <f>IF(AE25&gt;34,(IF(OR(S26="",V26="",W26="",X26=""),"",SUM(S26,V26,W26,X26))*AI25),IF(OR(S26="",V26="",W26="",X26=""),"", SUM(S26,V26,W26,X26)))</f>
        <v/>
      </c>
      <c r="AA26" s="3"/>
      <c r="AB26" s="66"/>
      <c r="AC26" s="71"/>
      <c r="AD26" s="6"/>
      <c r="AE26" s="61"/>
      <c r="AF26" s="62"/>
      <c r="AG26" s="44"/>
      <c r="AH26" s="63"/>
      <c r="AI26" s="63"/>
      <c r="AJ26" s="64"/>
      <c r="AK26" s="44"/>
    </row>
    <row r="27" spans="1:37" ht="19.5" customHeight="1">
      <c r="A27" s="44"/>
      <c r="B27" s="83"/>
      <c r="C27" s="93"/>
      <c r="D27" s="78"/>
      <c r="E27" s="94"/>
      <c r="F27" s="95"/>
      <c r="G27" s="85"/>
      <c r="H27" s="84"/>
      <c r="I27" s="87"/>
      <c r="J27" s="87"/>
      <c r="K27" s="96"/>
      <c r="L27" s="97"/>
      <c r="M27" s="97"/>
      <c r="N27" s="97"/>
      <c r="O27" s="98"/>
      <c r="P27" s="98"/>
      <c r="Q27" s="75" t="str">
        <f>IF(MAX(K27:M27)&gt;0,IF(MAX(K27:M27)&lt;0,0,TRUNC(MAX(K27:M27)/1)*1),"")</f>
        <v/>
      </c>
      <c r="R27" s="76" t="str">
        <f>IF(MAX(N27:P27)&gt;0,IF(MAX(N27:P27)&lt;0,0,TRUNC(MAX(N27:P27)/1)*1),"")</f>
        <v/>
      </c>
      <c r="S27" s="74" t="str">
        <f>IF(Q27="","",IF(R27="","",IF(SUM(Q27:R27)=0,"",SUM(Q27:R27))))</f>
        <v/>
      </c>
      <c r="T27" s="77" t="str">
        <f>IF(S27="","",IF(D27="","",IF((AD27="k"),IF(D27&gt;153.757,S27,IF(C27&lt;28,10^(0.0787004341*LOG10(28/153.757)^2)*S27,10^(0.787004341*LOG10(D27/153.757)^2)*S27)),IF(D27&gt;193.609,S27,IF(D27&lt;32,10^(0.722762521*LOG10(32/193.609)^2)*S27,10^(0.722762521*LOG10(D27/193.609)^2)*S27)))))</f>
        <v/>
      </c>
      <c r="U27" s="78" t="str">
        <f>IF(AF27=1,T27*AI27,"")</f>
        <v/>
      </c>
      <c r="V27" s="79"/>
      <c r="W27" s="79"/>
      <c r="X27" s="79"/>
      <c r="Y27" s="80"/>
      <c r="Z27" s="78"/>
      <c r="AA27" s="78"/>
      <c r="AB27" s="81"/>
      <c r="AC27" s="71">
        <f>U5</f>
        <v>46263</v>
      </c>
      <c r="AD27" s="60" t="b">
        <f>IF(ISNUMBER(FIND("M",E27)),"m",IF(ISNUMBER(FIND("K",E27)),"k"))</f>
        <v>0</v>
      </c>
      <c r="AE27" s="92">
        <f>IF(OR(G27="",AC27=""),0,(YEAR(AC27)-YEAR(G27)))</f>
        <v>0</v>
      </c>
      <c r="AF27" s="62">
        <f>IF(AE27&gt;34,1,0)</f>
        <v>0</v>
      </c>
      <c r="AG27" s="44" t="b">
        <f>IF(AF27=1,LOOKUP(AE27,'Meltzer-Faber'!A3:A63,'Meltzer-Faber'!B3:B63))</f>
        <v>0</v>
      </c>
      <c r="AH27" s="63" t="b">
        <f>IF(AF27=1,LOOKUP(AE27,'Meltzer-Faber'!A3:A63,'Meltzer-Faber'!C3:C63))</f>
        <v>0</v>
      </c>
      <c r="AI27" s="63" t="str">
        <f>IF(AD27="m",AG27,IF(AD27="k",AH27,""))</f>
        <v/>
      </c>
      <c r="AJ27" s="64" t="str">
        <f>IF(D27="","",IF(D27&gt;193.609,1,IF(D27&lt;32,10^(0.722762521*LOG10(32/193.609)^2),10^(0.722762521*LOG10(D27/193.609)^2))))</f>
        <v/>
      </c>
      <c r="AK27" s="44"/>
    </row>
    <row r="28" spans="1:37" ht="19.5" customHeight="1">
      <c r="A28" s="44"/>
      <c r="B28" s="82"/>
      <c r="C28" s="99"/>
      <c r="D28" s="3"/>
      <c r="E28" s="66"/>
      <c r="F28" s="66"/>
      <c r="G28" s="67"/>
      <c r="H28" s="67"/>
      <c r="I28" s="69"/>
      <c r="J28" s="69"/>
      <c r="K28" s="172"/>
      <c r="L28" s="172"/>
      <c r="M28" s="172"/>
      <c r="N28" s="172"/>
      <c r="O28" s="172"/>
      <c r="P28" s="172"/>
      <c r="Q28" s="70"/>
      <c r="R28" s="3"/>
      <c r="S28" s="173" t="str">
        <f>IF(T27="","",T27*1.2)</f>
        <v/>
      </c>
      <c r="T28" s="173"/>
      <c r="U28" s="3"/>
      <c r="V28" s="3"/>
      <c r="W28" s="3"/>
      <c r="X28" s="3"/>
      <c r="Y28" s="4" t="str">
        <f>IF(SUM(V28,W28,X28)&gt;0,SUM(V28,W28,X28),"")</f>
        <v/>
      </c>
      <c r="Z28" s="3" t="str">
        <f>IF(AE27&gt;34,(IF(OR(S28="",V28="",W28="",X28=""),"",SUM(S28,V28,W28,X28))*AI27),IF(OR(S28="",V28="",W28="",X28=""),"", SUM(S28,V28,W28,X28)))</f>
        <v/>
      </c>
      <c r="AA28" s="3"/>
      <c r="AB28" s="66"/>
      <c r="AC28" s="71"/>
      <c r="AD28" s="6"/>
      <c r="AE28" s="61"/>
      <c r="AF28" s="62"/>
      <c r="AG28" s="44"/>
      <c r="AH28" s="63"/>
      <c r="AI28" s="63"/>
      <c r="AJ28" s="64"/>
      <c r="AK28" s="44"/>
    </row>
    <row r="29" spans="1:37" ht="19.5" customHeight="1">
      <c r="A29" s="44"/>
      <c r="B29" s="83"/>
      <c r="C29" s="93"/>
      <c r="D29" s="78"/>
      <c r="E29" s="94"/>
      <c r="F29" s="95"/>
      <c r="G29" s="85"/>
      <c r="H29" s="84"/>
      <c r="I29" s="87"/>
      <c r="J29" s="87"/>
      <c r="K29" s="96"/>
      <c r="L29" s="97"/>
      <c r="M29" s="97"/>
      <c r="N29" s="97"/>
      <c r="O29" s="98"/>
      <c r="P29" s="98"/>
      <c r="Q29" s="75" t="str">
        <f>IF(MAX(K29:M29)&gt;0,IF(MAX(K29:M29)&lt;0,0,TRUNC(MAX(K29:M29)/1)*1),"")</f>
        <v/>
      </c>
      <c r="R29" s="76" t="str">
        <f>IF(MAX(N29:P29)&gt;0,IF(MAX(N29:P29)&lt;0,0,TRUNC(MAX(N29:P29)/1)*1),"")</f>
        <v/>
      </c>
      <c r="S29" s="74" t="str">
        <f>IF(Q29="","",IF(R29="","",IF(SUM(Q29:R29)=0,"",SUM(Q29:R29))))</f>
        <v/>
      </c>
      <c r="T29" s="77" t="str">
        <f>IF(S29="","",IF(D29="","",IF((AD29="k"),IF(D29&gt;153.757,S29,IF(C29&lt;28,10^(0.0787004341*LOG10(28/153.757)^2)*S29,10^(0.787004341*LOG10(D29/153.757)^2)*S29)),IF(D29&gt;193.609,S29,IF(D29&lt;32,10^(0.722762521*LOG10(32/193.609)^2)*S29,10^(0.722762521*LOG10(D29/193.609)^2)*S29)))))</f>
        <v/>
      </c>
      <c r="U29" s="78" t="str">
        <f>IF(AF29=1,T29*AI29,"")</f>
        <v/>
      </c>
      <c r="V29" s="79"/>
      <c r="W29" s="79"/>
      <c r="X29" s="79"/>
      <c r="Y29" s="80"/>
      <c r="Z29" s="78"/>
      <c r="AA29" s="78"/>
      <c r="AB29" s="81"/>
      <c r="AC29" s="71">
        <f>U5</f>
        <v>46263</v>
      </c>
      <c r="AD29" s="60" t="b">
        <f>IF(ISNUMBER(FIND("M",E29)),"m",IF(ISNUMBER(FIND("K",E29)),"k"))</f>
        <v>0</v>
      </c>
      <c r="AE29" s="92">
        <f>IF(OR(G29="",AC29=""),0,(YEAR(AC29)-YEAR(G29)))</f>
        <v>0</v>
      </c>
      <c r="AF29" s="62">
        <f>IF(AE29&gt;34,1,0)</f>
        <v>0</v>
      </c>
      <c r="AG29" s="44" t="b">
        <f>IF(AF29=1,LOOKUP(AE29,'Meltzer-Faber'!A3:A63,'Meltzer-Faber'!B3:B63))</f>
        <v>0</v>
      </c>
      <c r="AH29" s="63" t="b">
        <f>IF(AF29=1,LOOKUP(AE29,'Meltzer-Faber'!A3:A63,'Meltzer-Faber'!C3:C63))</f>
        <v>0</v>
      </c>
      <c r="AI29" s="63" t="str">
        <f>IF(AD29="m",AG29,IF(AD29="k",AH29,""))</f>
        <v/>
      </c>
      <c r="AJ29" s="64" t="str">
        <f>IF(D29="","",IF(D29&gt;193.609,1,IF(D29&lt;32,10^(0.722762521*LOG10(32/193.609)^2),10^(0.722762521*LOG10(D29/193.609)^2))))</f>
        <v/>
      </c>
      <c r="AK29" s="44"/>
    </row>
    <row r="30" spans="1:37" ht="19.5" customHeight="1">
      <c r="A30" s="44"/>
      <c r="B30" s="82"/>
      <c r="C30" s="99"/>
      <c r="D30" s="3"/>
      <c r="E30" s="66"/>
      <c r="F30" s="66"/>
      <c r="G30" s="67"/>
      <c r="H30" s="67"/>
      <c r="I30" s="69"/>
      <c r="J30" s="69"/>
      <c r="K30" s="172"/>
      <c r="L30" s="172"/>
      <c r="M30" s="172"/>
      <c r="N30" s="172"/>
      <c r="O30" s="172"/>
      <c r="P30" s="172"/>
      <c r="Q30" s="70"/>
      <c r="R30" s="3"/>
      <c r="S30" s="173" t="str">
        <f>IF(T29="","",T29*1.2)</f>
        <v/>
      </c>
      <c r="T30" s="173"/>
      <c r="U30" s="3"/>
      <c r="V30" s="3"/>
      <c r="W30" s="3"/>
      <c r="X30" s="3"/>
      <c r="Y30" s="4" t="str">
        <f>IF(SUM(V30,W30,X30)&gt;0,SUM(V30,W30,X30),"")</f>
        <v/>
      </c>
      <c r="Z30" s="3" t="str">
        <f>IF(AE29&gt;34,(IF(OR(S30="",V30="",W30="",X30=""),"",SUM(S30,V30,W30,X30))*AI29),IF(OR(S30="",V30="",W30="",X30=""),"", SUM(S30,V30,W30,X30)))</f>
        <v/>
      </c>
      <c r="AA30" s="3"/>
      <c r="AB30" s="66"/>
      <c r="AC30" s="71"/>
      <c r="AD30" s="6"/>
      <c r="AE30" s="61"/>
      <c r="AF30" s="62"/>
      <c r="AG30" s="44"/>
      <c r="AH30" s="63"/>
      <c r="AI30" s="63"/>
      <c r="AJ30" s="64"/>
      <c r="AK30" s="44"/>
    </row>
    <row r="31" spans="1:37" ht="19.5" customHeight="1">
      <c r="A31" s="44"/>
      <c r="B31" s="83"/>
      <c r="C31" s="93"/>
      <c r="D31" s="78"/>
      <c r="E31" s="94"/>
      <c r="F31" s="95"/>
      <c r="G31" s="85"/>
      <c r="H31" s="84"/>
      <c r="I31" s="87"/>
      <c r="J31" s="87"/>
      <c r="K31" s="96"/>
      <c r="L31" s="97"/>
      <c r="M31" s="97"/>
      <c r="N31" s="97"/>
      <c r="O31" s="98"/>
      <c r="P31" s="98"/>
      <c r="Q31" s="75" t="str">
        <f>IF(MAX(K31:M31)&gt;0,IF(MAX(K31:M31)&lt;0,0,TRUNC(MAX(K31:M31)/1)*1),"")</f>
        <v/>
      </c>
      <c r="R31" s="76" t="str">
        <f>IF(MAX(N31:P31)&gt;0,IF(MAX(N31:P31)&lt;0,0,TRUNC(MAX(N31:P31)/1)*1),"")</f>
        <v/>
      </c>
      <c r="S31" s="74" t="str">
        <f>IF(Q31="","",IF(R31="","",IF(SUM(Q31:R31)=0,"",SUM(Q31:R31))))</f>
        <v/>
      </c>
      <c r="T31" s="77" t="str">
        <f>IF(S31="","",IF(D31="","",IF((AD31="k"),IF(D31&gt;153.757,S31,IF(C31&lt;28,10^(0.0787004341*LOG10(28/153.757)^2)*S31,10^(0.787004341*LOG10(D31/153.757)^2)*S31)),IF(D31&gt;193.609,S31,IF(D31&lt;32,10^(0.722762521*LOG10(32/193.609)^2)*S31,10^(0.722762521*LOG10(D31/193.609)^2)*S31)))))</f>
        <v/>
      </c>
      <c r="U31" s="78" t="str">
        <f>IF(AF31=1,T31*AI31,"")</f>
        <v/>
      </c>
      <c r="V31" s="79"/>
      <c r="W31" s="79"/>
      <c r="X31" s="79"/>
      <c r="Y31" s="80"/>
      <c r="Z31" s="78"/>
      <c r="AA31" s="78"/>
      <c r="AB31" s="81"/>
      <c r="AC31" s="71">
        <f>U5</f>
        <v>46263</v>
      </c>
      <c r="AD31" s="60" t="b">
        <f>IF(ISNUMBER(FIND("M",E31)),"m",IF(ISNUMBER(FIND("K",E31)),"k"))</f>
        <v>0</v>
      </c>
      <c r="AE31" s="92">
        <f>IF(OR(G31="",AC31=""),0,(YEAR(AC31)-YEAR(G31)))</f>
        <v>0</v>
      </c>
      <c r="AF31" s="62">
        <f>IF(AE31&gt;34,1,0)</f>
        <v>0</v>
      </c>
      <c r="AG31" s="44" t="b">
        <f>IF(AF31=1,LOOKUP(AE31,'Meltzer-Faber'!A3:A63,'Meltzer-Faber'!B3:B63))</f>
        <v>0</v>
      </c>
      <c r="AH31" s="63" t="b">
        <f>IF(AF31=1,LOOKUP(AE31,'Meltzer-Faber'!A3:A63,'Meltzer-Faber'!C3:C63))</f>
        <v>0</v>
      </c>
      <c r="AI31" s="63" t="str">
        <f>IF(AD31="m",AG31,IF(AD31="k",AH31,""))</f>
        <v/>
      </c>
      <c r="AJ31" s="64" t="str">
        <f>IF(D31="","",IF(D31&gt;193.609,1,IF(D31&lt;32,10^(0.722762521*LOG10(32/193.609)^2),10^(0.722762521*LOG10(D31/193.609)^2))))</f>
        <v/>
      </c>
      <c r="AK31" s="44"/>
    </row>
    <row r="32" spans="1:37" ht="19.5" customHeight="1">
      <c r="A32" s="44"/>
      <c r="B32" s="82"/>
      <c r="C32" s="99"/>
      <c r="D32" s="3"/>
      <c r="E32" s="66"/>
      <c r="F32" s="66"/>
      <c r="G32" s="67"/>
      <c r="H32" s="67"/>
      <c r="I32" s="69"/>
      <c r="J32" s="69"/>
      <c r="K32" s="172"/>
      <c r="L32" s="172"/>
      <c r="M32" s="172"/>
      <c r="N32" s="172"/>
      <c r="O32" s="172"/>
      <c r="P32" s="172"/>
      <c r="Q32" s="70"/>
      <c r="R32" s="3"/>
      <c r="S32" s="173" t="str">
        <f>IF(T31="","",T31*1.2)</f>
        <v/>
      </c>
      <c r="T32" s="173"/>
      <c r="U32" s="3"/>
      <c r="V32" s="3" t="str">
        <f>IF(V31&gt;0,V31*20,"")</f>
        <v/>
      </c>
      <c r="W32" s="3" t="str">
        <f>IF(W31="","",(W31*10)*AJ31)</f>
        <v/>
      </c>
      <c r="X32" s="3" t="str">
        <f>IF(ROUNDUP(X31,1)&gt;0,IF((80+(8-ROUNDUP(X31,1))*40)&lt;0,0,80+(8-ROUNDUP(X31,1))*40),"")</f>
        <v/>
      </c>
      <c r="Y32" s="4" t="str">
        <f>IF(SUM(V32,W32,X32)&gt;0,SUM(V32,W32,X32),"")</f>
        <v/>
      </c>
      <c r="Z32" s="3" t="str">
        <f>IF(AE31&gt;34,(IF(OR(S32="",V32="",W32="",X32=""),"",SUM(S32,V32,W32,X32))*AI31),IF(OR(S32="",V32="",W32="",X32=""),"", SUM(S32,V32,W32,X32)))</f>
        <v/>
      </c>
      <c r="AA32" s="3"/>
      <c r="AB32" s="66"/>
      <c r="AC32" s="71"/>
      <c r="AD32" s="6"/>
      <c r="AE32" s="61"/>
      <c r="AF32" s="62"/>
      <c r="AG32" s="44"/>
      <c r="AH32" s="63"/>
      <c r="AI32" s="63"/>
      <c r="AJ32" s="64"/>
      <c r="AK32" s="44"/>
    </row>
    <row r="33" spans="1:37" ht="18.75" customHeight="1">
      <c r="A33" s="114"/>
      <c r="B33" s="114"/>
      <c r="C33" s="114"/>
      <c r="D33" s="115"/>
      <c r="E33" s="116"/>
      <c r="F33" s="116"/>
      <c r="G33" s="116"/>
      <c r="H33" s="117"/>
      <c r="I33" s="114"/>
      <c r="J33" s="114"/>
      <c r="K33" s="118"/>
      <c r="L33" s="119"/>
      <c r="M33" s="118"/>
      <c r="N33" s="118" t="s">
        <v>101</v>
      </c>
      <c r="O33" s="118"/>
      <c r="P33" s="118"/>
      <c r="Q33" s="116"/>
      <c r="R33" s="116"/>
      <c r="S33" s="116"/>
      <c r="T33" s="120"/>
      <c r="U33" s="120"/>
      <c r="V33" s="120"/>
      <c r="W33" s="120"/>
      <c r="X33" s="120"/>
      <c r="Y33" s="120"/>
      <c r="Z33" s="120"/>
      <c r="AA33" s="120"/>
      <c r="AB33" s="120"/>
      <c r="AC33" s="6"/>
      <c r="AD33" s="121"/>
      <c r="AE33" s="122">
        <f>(YEAR(AC33)-YEAR(G33))</f>
        <v>0</v>
      </c>
      <c r="AF33" s="62">
        <f>IF(AE35&gt;34,1,0)</f>
        <v>0</v>
      </c>
      <c r="AG33" s="114"/>
      <c r="AH33" s="117"/>
      <c r="AI33" s="117"/>
      <c r="AJ33" s="114"/>
      <c r="AK33" s="114"/>
    </row>
    <row r="34" spans="1:37" ht="21" customHeight="1">
      <c r="A34" s="114"/>
      <c r="B34" s="114"/>
      <c r="C34" s="114"/>
      <c r="D34" s="115"/>
      <c r="E34" s="116"/>
      <c r="F34" s="116"/>
      <c r="G34" s="116"/>
      <c r="H34" s="117"/>
      <c r="I34" s="114"/>
      <c r="J34" s="114"/>
      <c r="K34" s="118"/>
      <c r="L34" s="119"/>
      <c r="M34" s="118"/>
      <c r="N34" s="118"/>
      <c r="O34" s="118"/>
      <c r="P34" s="118"/>
      <c r="Q34" s="116"/>
      <c r="R34" s="116"/>
      <c r="S34" s="116"/>
      <c r="T34" s="120"/>
      <c r="U34" s="120"/>
      <c r="V34" s="120"/>
      <c r="W34" s="120"/>
      <c r="X34" s="120"/>
      <c r="Y34" s="120"/>
      <c r="Z34" s="120"/>
      <c r="AA34" s="120"/>
      <c r="AB34" s="120"/>
      <c r="AC34" s="6"/>
      <c r="AD34" s="121"/>
      <c r="AE34" s="122"/>
      <c r="AF34" s="62"/>
      <c r="AG34" s="114"/>
      <c r="AH34" s="117"/>
      <c r="AI34" s="117"/>
      <c r="AJ34" s="114"/>
      <c r="AK34" s="114"/>
    </row>
    <row r="35" spans="1:37" ht="22.5" customHeight="1">
      <c r="B35" s="166" t="s">
        <v>102</v>
      </c>
      <c r="C35" s="166"/>
      <c r="D35" s="123" t="s">
        <v>14</v>
      </c>
      <c r="E35" s="166" t="s">
        <v>21</v>
      </c>
      <c r="F35" s="166"/>
      <c r="G35" s="166"/>
      <c r="H35" s="166"/>
      <c r="I35" s="2" t="s">
        <v>103</v>
      </c>
      <c r="J35" s="124"/>
      <c r="K35" s="166" t="s">
        <v>102</v>
      </c>
      <c r="L35" s="166"/>
      <c r="M35" s="166"/>
      <c r="N35" s="1" t="s">
        <v>14</v>
      </c>
      <c r="O35" s="167" t="s">
        <v>21</v>
      </c>
      <c r="P35" s="167"/>
      <c r="Q35" s="167"/>
      <c r="R35" s="167"/>
      <c r="S35" s="167" t="s">
        <v>103</v>
      </c>
      <c r="T35" s="167"/>
      <c r="U35" s="12"/>
      <c r="V35" s="12"/>
      <c r="W35" s="12"/>
      <c r="X35" s="12"/>
      <c r="Y35" s="12"/>
      <c r="Z35" s="12"/>
      <c r="AA35" s="12"/>
      <c r="AB35" s="12"/>
      <c r="AF35" s="6"/>
      <c r="AH35" s="125"/>
      <c r="AI35" s="125"/>
    </row>
    <row r="36" spans="1:37" ht="19.5" customHeight="1">
      <c r="A36" s="16"/>
      <c r="B36" s="168" t="s">
        <v>104</v>
      </c>
      <c r="C36" s="168"/>
      <c r="D36" s="126" t="s">
        <v>105</v>
      </c>
      <c r="E36" s="169" t="s">
        <v>106</v>
      </c>
      <c r="F36" s="169"/>
      <c r="G36" s="169"/>
      <c r="H36" s="169"/>
      <c r="I36" s="127" t="s">
        <v>107</v>
      </c>
      <c r="K36" s="168" t="s">
        <v>108</v>
      </c>
      <c r="L36" s="168"/>
      <c r="M36" s="168"/>
      <c r="N36" s="128" t="s">
        <v>109</v>
      </c>
      <c r="O36" s="170" t="s">
        <v>110</v>
      </c>
      <c r="P36" s="170"/>
      <c r="Q36" s="170"/>
      <c r="R36" s="170"/>
      <c r="S36" s="171" t="s">
        <v>96</v>
      </c>
      <c r="T36" s="171"/>
      <c r="U36" s="16"/>
      <c r="V36" s="16"/>
      <c r="W36" s="16"/>
      <c r="X36" s="16"/>
      <c r="Y36" s="16"/>
      <c r="Z36" s="16"/>
      <c r="AA36" s="16"/>
      <c r="AB36" s="16"/>
      <c r="AC36" s="16"/>
      <c r="AD36" s="16"/>
      <c r="AE36" s="16"/>
      <c r="AF36" s="6"/>
      <c r="AG36" s="16"/>
      <c r="AH36" s="21"/>
      <c r="AI36" s="21"/>
      <c r="AJ36" s="16"/>
      <c r="AK36" s="16"/>
    </row>
    <row r="37" spans="1:37" ht="21" customHeight="1">
      <c r="A37" s="16"/>
      <c r="B37" s="162" t="s">
        <v>111</v>
      </c>
      <c r="C37" s="162"/>
      <c r="D37" s="129" t="s">
        <v>243</v>
      </c>
      <c r="E37" s="163" t="s">
        <v>244</v>
      </c>
      <c r="F37" s="163"/>
      <c r="G37" s="163"/>
      <c r="H37" s="163"/>
      <c r="I37" s="130" t="s">
        <v>96</v>
      </c>
      <c r="K37" s="162" t="s">
        <v>115</v>
      </c>
      <c r="L37" s="162"/>
      <c r="M37" s="162"/>
      <c r="N37" s="131" t="s">
        <v>294</v>
      </c>
      <c r="O37" s="164" t="s">
        <v>295</v>
      </c>
      <c r="P37" s="164"/>
      <c r="Q37" s="164"/>
      <c r="R37" s="164"/>
      <c r="S37" s="165" t="s">
        <v>96</v>
      </c>
      <c r="T37" s="165"/>
      <c r="U37" s="16"/>
      <c r="V37" s="16"/>
      <c r="W37" s="16"/>
      <c r="X37" s="16"/>
      <c r="Y37" s="16"/>
      <c r="Z37" s="16"/>
      <c r="AA37" s="16"/>
      <c r="AB37" s="16"/>
      <c r="AC37" s="16"/>
      <c r="AD37" s="16"/>
      <c r="AE37" s="16"/>
      <c r="AF37" s="16"/>
      <c r="AG37" s="16"/>
      <c r="AH37" s="21"/>
      <c r="AI37" s="21"/>
      <c r="AJ37" s="16"/>
      <c r="AK37" s="16"/>
    </row>
    <row r="38" spans="1:37" ht="18.75" customHeight="1">
      <c r="A38" s="16"/>
      <c r="B38" s="162" t="s">
        <v>111</v>
      </c>
      <c r="C38" s="162"/>
      <c r="D38" s="129" t="s">
        <v>209</v>
      </c>
      <c r="E38" s="163" t="s">
        <v>210</v>
      </c>
      <c r="F38" s="163"/>
      <c r="G38" s="163"/>
      <c r="H38" s="163"/>
      <c r="I38" s="130" t="s">
        <v>96</v>
      </c>
      <c r="K38" s="162" t="s">
        <v>120</v>
      </c>
      <c r="L38" s="162"/>
      <c r="M38" s="162"/>
      <c r="N38" s="131"/>
      <c r="O38" s="164"/>
      <c r="P38" s="164"/>
      <c r="Q38" s="164"/>
      <c r="R38" s="164"/>
      <c r="S38" s="165"/>
      <c r="T38" s="165"/>
      <c r="U38" s="16"/>
      <c r="V38" s="16" t="s">
        <v>121</v>
      </c>
      <c r="W38" s="16"/>
      <c r="X38" s="16"/>
      <c r="Y38" s="16"/>
      <c r="Z38" s="16"/>
      <c r="AA38" s="16"/>
      <c r="AB38" s="16"/>
      <c r="AC38" s="16"/>
      <c r="AD38" s="16"/>
      <c r="AE38" s="16"/>
      <c r="AF38" s="16"/>
      <c r="AG38" s="16"/>
      <c r="AH38" s="21"/>
      <c r="AI38" s="21"/>
      <c r="AJ38" s="16"/>
      <c r="AK38" s="16"/>
    </row>
    <row r="39" spans="1:37" ht="21" customHeight="1">
      <c r="A39" s="16"/>
      <c r="B39" s="162" t="s">
        <v>111</v>
      </c>
      <c r="C39" s="162"/>
      <c r="D39" s="129" t="s">
        <v>207</v>
      </c>
      <c r="E39" s="163" t="s">
        <v>208</v>
      </c>
      <c r="F39" s="163"/>
      <c r="G39" s="163"/>
      <c r="H39" s="163"/>
      <c r="I39" s="130" t="s">
        <v>124</v>
      </c>
      <c r="K39" s="162" t="s">
        <v>125</v>
      </c>
      <c r="L39" s="162"/>
      <c r="M39" s="162"/>
      <c r="N39" s="131"/>
      <c r="O39" s="164"/>
      <c r="P39" s="164"/>
      <c r="Q39" s="164"/>
      <c r="R39" s="164"/>
      <c r="S39" s="165"/>
      <c r="T39" s="165"/>
      <c r="U39" s="16"/>
      <c r="V39" s="16"/>
      <c r="W39" s="16"/>
      <c r="X39" s="16"/>
      <c r="Y39" s="16"/>
      <c r="Z39" s="16"/>
      <c r="AA39" s="16"/>
      <c r="AB39" s="16"/>
      <c r="AC39" s="16"/>
      <c r="AD39" s="16" t="s">
        <v>101</v>
      </c>
      <c r="AE39" s="16"/>
      <c r="AF39" s="16"/>
      <c r="AG39" s="16"/>
      <c r="AH39" s="21"/>
      <c r="AI39" s="21"/>
      <c r="AJ39" s="16"/>
      <c r="AK39" s="16"/>
    </row>
    <row r="40" spans="1:37" ht="19.5" customHeight="1">
      <c r="A40" s="16"/>
      <c r="B40" s="162" t="s">
        <v>111</v>
      </c>
      <c r="C40" s="162"/>
      <c r="D40" s="129"/>
      <c r="E40" s="163"/>
      <c r="F40" s="163"/>
      <c r="G40" s="163"/>
      <c r="H40" s="163"/>
      <c r="I40" s="130"/>
      <c r="K40" s="162" t="s">
        <v>126</v>
      </c>
      <c r="L40" s="162"/>
      <c r="M40" s="162"/>
      <c r="N40" s="131"/>
      <c r="O40" s="164"/>
      <c r="P40" s="164"/>
      <c r="Q40" s="164"/>
      <c r="R40" s="164"/>
      <c r="S40" s="165"/>
      <c r="T40" s="165"/>
      <c r="U40" s="16"/>
      <c r="V40" s="16"/>
      <c r="W40" s="16"/>
      <c r="X40" s="16"/>
      <c r="Y40" s="16"/>
      <c r="Z40" s="16"/>
      <c r="AA40" s="16"/>
      <c r="AB40" s="16"/>
      <c r="AC40" s="16"/>
      <c r="AD40" s="16"/>
      <c r="AE40" s="16"/>
      <c r="AF40" s="16"/>
      <c r="AG40" s="16"/>
      <c r="AH40" s="21"/>
      <c r="AI40" s="21"/>
      <c r="AJ40" s="16"/>
      <c r="AK40" s="16"/>
    </row>
    <row r="41" spans="1:37" ht="18.75" customHeight="1">
      <c r="B41" s="162" t="s">
        <v>111</v>
      </c>
      <c r="C41" s="162"/>
      <c r="D41" s="129"/>
      <c r="E41" s="163"/>
      <c r="F41" s="163"/>
      <c r="G41" s="163"/>
      <c r="H41" s="163"/>
      <c r="I41" s="130"/>
      <c r="J41" s="5"/>
      <c r="K41" s="162" t="s">
        <v>126</v>
      </c>
      <c r="L41" s="162"/>
      <c r="M41" s="162"/>
      <c r="N41" s="131"/>
      <c r="O41" s="164"/>
      <c r="P41" s="164"/>
      <c r="Q41" s="164"/>
      <c r="R41" s="164"/>
      <c r="S41" s="165"/>
      <c r="T41" s="165"/>
      <c r="U41" s="5"/>
      <c r="V41" s="5"/>
      <c r="W41" s="5"/>
      <c r="X41" s="5"/>
      <c r="Y41" s="5"/>
      <c r="Z41" s="5"/>
      <c r="AA41" s="5"/>
      <c r="AB41" s="5"/>
    </row>
    <row r="42" spans="1:37" ht="19.5" customHeight="1">
      <c r="B42" s="162" t="s">
        <v>127</v>
      </c>
      <c r="C42" s="162"/>
      <c r="D42" s="129" t="s">
        <v>175</v>
      </c>
      <c r="E42" s="163" t="s">
        <v>176</v>
      </c>
      <c r="F42" s="163"/>
      <c r="G42" s="163"/>
      <c r="H42" s="163"/>
      <c r="I42" s="130" t="s">
        <v>92</v>
      </c>
      <c r="J42" s="5"/>
      <c r="K42" s="162" t="s">
        <v>126</v>
      </c>
      <c r="L42" s="162"/>
      <c r="M42" s="162"/>
      <c r="N42" s="131"/>
      <c r="O42" s="164"/>
      <c r="P42" s="164"/>
      <c r="Q42" s="164"/>
      <c r="R42" s="164"/>
      <c r="S42" s="165"/>
      <c r="T42" s="165"/>
      <c r="U42" s="5"/>
      <c r="V42" s="5"/>
      <c r="W42" s="5"/>
      <c r="X42" s="5"/>
      <c r="Y42" s="5"/>
      <c r="Z42" s="5"/>
      <c r="AA42" s="5"/>
      <c r="AB42" s="5"/>
    </row>
    <row r="43" spans="1:37" ht="19.5" customHeight="1">
      <c r="B43" s="156"/>
      <c r="C43" s="156"/>
      <c r="D43" s="132"/>
      <c r="E43" s="157"/>
      <c r="F43" s="157"/>
      <c r="G43" s="157"/>
      <c r="H43" s="157"/>
      <c r="I43" s="133"/>
      <c r="J43" s="5"/>
      <c r="K43" s="156" t="s">
        <v>126</v>
      </c>
      <c r="L43" s="156"/>
      <c r="M43" s="156"/>
      <c r="N43" s="134"/>
      <c r="O43" s="158"/>
      <c r="P43" s="158"/>
      <c r="Q43" s="158"/>
      <c r="R43" s="158"/>
      <c r="S43" s="159"/>
      <c r="T43" s="159"/>
      <c r="U43" s="5"/>
      <c r="V43" s="5"/>
      <c r="W43" s="5"/>
      <c r="X43" s="5"/>
      <c r="Y43" s="5"/>
      <c r="Z43" s="5"/>
      <c r="AA43" s="5"/>
      <c r="AB43" s="5"/>
    </row>
    <row r="44" spans="1:37" ht="18.75" customHeight="1">
      <c r="B44" s="160"/>
      <c r="C44" s="160"/>
      <c r="D44" s="161"/>
      <c r="E44" s="161"/>
      <c r="F44" s="135"/>
      <c r="G44" s="161"/>
      <c r="H44" s="161"/>
      <c r="I44" s="161"/>
      <c r="J44" s="5"/>
      <c r="K44" s="161"/>
      <c r="L44" s="161"/>
      <c r="M44" s="161"/>
      <c r="N44" s="161"/>
      <c r="O44" s="161"/>
      <c r="P44" s="161"/>
      <c r="Q44" s="161"/>
      <c r="R44" s="161"/>
      <c r="S44" s="161"/>
      <c r="T44" s="161"/>
      <c r="U44" s="5"/>
      <c r="V44" s="5"/>
      <c r="W44" s="5"/>
      <c r="X44" s="5"/>
      <c r="Y44" s="5"/>
      <c r="Z44" s="5"/>
      <c r="AA44" s="5"/>
      <c r="AB44" s="5"/>
    </row>
    <row r="45" spans="1:37" ht="18" customHeight="1">
      <c r="B45" s="153" t="s">
        <v>130</v>
      </c>
      <c r="C45" s="153"/>
      <c r="D45" s="153"/>
      <c r="E45" s="153"/>
      <c r="F45" s="153"/>
      <c r="G45" s="153"/>
      <c r="H45" s="153"/>
      <c r="I45" s="153"/>
      <c r="J45" s="153"/>
      <c r="K45" s="153"/>
      <c r="L45" s="153"/>
      <c r="M45" s="153"/>
      <c r="N45" s="153"/>
      <c r="O45" s="153"/>
      <c r="P45" s="153"/>
      <c r="Q45" s="153"/>
      <c r="R45" s="153"/>
      <c r="S45" s="153"/>
      <c r="T45" s="153"/>
      <c r="U45" s="5"/>
      <c r="V45" s="5"/>
      <c r="W45" s="5"/>
      <c r="X45" s="5"/>
      <c r="Y45" s="5"/>
      <c r="Z45" s="5"/>
      <c r="AA45" s="5"/>
      <c r="AB45" s="5"/>
    </row>
    <row r="46" spans="1:37" ht="18" customHeight="1">
      <c r="B46" s="154" t="s">
        <v>314</v>
      </c>
      <c r="C46" s="154"/>
      <c r="D46" s="154"/>
      <c r="E46" s="154"/>
      <c r="F46" s="154"/>
      <c r="G46" s="154"/>
      <c r="H46" s="154"/>
      <c r="I46" s="154"/>
      <c r="J46" s="154"/>
      <c r="K46" s="154"/>
      <c r="L46" s="154"/>
      <c r="M46" s="154"/>
      <c r="N46" s="154"/>
      <c r="O46" s="154"/>
      <c r="P46" s="154"/>
      <c r="Q46" s="154"/>
      <c r="R46" s="154"/>
      <c r="S46" s="154"/>
      <c r="T46" s="154"/>
      <c r="U46" s="5"/>
      <c r="V46" s="5"/>
      <c r="W46" s="5"/>
      <c r="X46" s="5"/>
      <c r="Y46" s="5"/>
      <c r="Z46" s="5"/>
      <c r="AA46" s="5"/>
      <c r="AB46" s="5"/>
    </row>
    <row r="47" spans="1:37" ht="13.5" customHeight="1">
      <c r="B47" s="6" t="s">
        <v>315</v>
      </c>
      <c r="D47" s="136"/>
      <c r="E47" s="16"/>
      <c r="F47" s="16"/>
      <c r="G47" s="136"/>
      <c r="H47" s="16"/>
      <c r="I47" s="124"/>
      <c r="J47" s="16"/>
      <c r="K47" s="16"/>
      <c r="L47" s="16"/>
      <c r="M47" s="16"/>
      <c r="N47" s="16"/>
      <c r="O47" s="16"/>
      <c r="P47" s="16"/>
      <c r="Q47" s="16"/>
      <c r="R47" s="16"/>
      <c r="S47" s="16"/>
      <c r="T47" s="16"/>
      <c r="U47" s="16"/>
      <c r="V47" s="16"/>
      <c r="W47" s="16"/>
      <c r="X47" s="16"/>
      <c r="Y47" s="16"/>
      <c r="Z47" s="16"/>
      <c r="AA47" s="16"/>
    </row>
    <row r="48" spans="1:37" ht="13.5" customHeight="1">
      <c r="B48" s="137" t="s">
        <v>316</v>
      </c>
      <c r="C48" s="137"/>
      <c r="D48" s="138"/>
      <c r="E48" s="139"/>
      <c r="F48" s="139"/>
      <c r="G48" s="140"/>
      <c r="H48" s="141"/>
      <c r="I48" s="5"/>
      <c r="J48" s="16"/>
      <c r="K48" s="16"/>
      <c r="L48" s="16"/>
      <c r="M48" s="16"/>
      <c r="N48" s="16"/>
      <c r="O48" s="16"/>
      <c r="P48" s="16"/>
      <c r="Q48" s="16"/>
      <c r="R48" s="16"/>
      <c r="S48" s="16"/>
      <c r="T48" s="16"/>
      <c r="U48" s="16"/>
      <c r="V48" s="16"/>
      <c r="W48" s="16"/>
      <c r="X48" s="16"/>
      <c r="Y48" s="16"/>
      <c r="Z48" s="16"/>
      <c r="AA48" s="16"/>
    </row>
    <row r="49" spans="2:7" ht="15">
      <c r="B49" s="5" t="s">
        <v>317</v>
      </c>
    </row>
    <row r="50" spans="2:7" ht="12.75" customHeight="1">
      <c r="B50" s="5" t="s">
        <v>318</v>
      </c>
      <c r="E50" s="155"/>
      <c r="F50" s="155"/>
      <c r="G50" s="155"/>
    </row>
    <row r="51" spans="2:7" ht="15">
      <c r="B51" s="5" t="s">
        <v>319</v>
      </c>
    </row>
    <row r="52" spans="2:7" ht="15">
      <c r="B52" s="5" t="s">
        <v>320</v>
      </c>
    </row>
    <row r="53" spans="2:7" ht="15">
      <c r="B53" s="5" t="s">
        <v>321</v>
      </c>
    </row>
    <row r="54" spans="2:7" ht="15">
      <c r="B54" s="5" t="s">
        <v>322</v>
      </c>
    </row>
    <row r="55" spans="2:7" ht="15">
      <c r="B55" s="5" t="s">
        <v>323</v>
      </c>
    </row>
    <row r="56" spans="2:7" ht="15">
      <c r="B56" s="5" t="s">
        <v>324</v>
      </c>
    </row>
    <row r="57" spans="2:7" ht="15">
      <c r="B57" s="5" t="s">
        <v>325</v>
      </c>
    </row>
    <row r="58" spans="2:7" ht="15">
      <c r="B58" s="5" t="s">
        <v>326</v>
      </c>
    </row>
    <row r="59" spans="2:7" ht="15">
      <c r="B59" s="5" t="s">
        <v>327</v>
      </c>
    </row>
    <row r="60" spans="2:7" ht="15">
      <c r="B60" s="5" t="s">
        <v>328</v>
      </c>
    </row>
    <row r="61" spans="2:7" ht="15">
      <c r="B61" s="5" t="s">
        <v>329</v>
      </c>
    </row>
    <row r="62" spans="2:7" ht="15">
      <c r="B62" s="5" t="s">
        <v>330</v>
      </c>
    </row>
    <row r="63" spans="2:7" ht="15">
      <c r="B63" s="5" t="s">
        <v>331</v>
      </c>
    </row>
    <row r="64" spans="2:7" ht="15">
      <c r="B64" s="5" t="s">
        <v>332</v>
      </c>
    </row>
    <row r="65" spans="2:2" ht="15">
      <c r="B65" s="5" t="s">
        <v>333</v>
      </c>
    </row>
    <row r="66" spans="2:2" ht="15">
      <c r="B66" s="5" t="s">
        <v>334</v>
      </c>
    </row>
    <row r="67" spans="2:2" ht="15">
      <c r="B67" s="5" t="s">
        <v>335</v>
      </c>
    </row>
    <row r="68" spans="2:2" ht="15"/>
    <row r="69" spans="2:2" ht="15"/>
    <row r="70" spans="2:2" ht="15"/>
    <row r="71" spans="2:2" ht="15"/>
    <row r="72" spans="2:2" ht="15"/>
    <row r="73" spans="2:2" ht="15"/>
    <row r="74" spans="2:2" ht="15"/>
    <row r="75" spans="2:2" ht="15"/>
    <row r="76" spans="2:2" ht="15"/>
    <row r="77" spans="2:2" ht="15"/>
    <row r="78" spans="2:2" ht="15"/>
    <row r="79" spans="2:2" ht="15"/>
    <row r="80" spans="2:2" ht="15"/>
  </sheetData>
  <mergeCells count="102">
    <mergeCell ref="G2:R2"/>
    <mergeCell ref="G3:R3"/>
    <mergeCell ref="D5:I5"/>
    <mergeCell ref="K5:N5"/>
    <mergeCell ref="P5:S5"/>
    <mergeCell ref="U5:V5"/>
    <mergeCell ref="AJ6:AJ7"/>
    <mergeCell ref="B7:B8"/>
    <mergeCell ref="C7:C8"/>
    <mergeCell ref="D7:D8"/>
    <mergeCell ref="E7:E8"/>
    <mergeCell ref="F7:F8"/>
    <mergeCell ref="K10:M10"/>
    <mergeCell ref="N10:P10"/>
    <mergeCell ref="S10:T10"/>
    <mergeCell ref="K12:M12"/>
    <mergeCell ref="N12:P12"/>
    <mergeCell ref="S12:T12"/>
    <mergeCell ref="K14:M14"/>
    <mergeCell ref="N14:P14"/>
    <mergeCell ref="S14:T14"/>
    <mergeCell ref="K16:M16"/>
    <mergeCell ref="N16:P16"/>
    <mergeCell ref="S16:T16"/>
    <mergeCell ref="K18:M18"/>
    <mergeCell ref="N18:P18"/>
    <mergeCell ref="S18:T18"/>
    <mergeCell ref="K20:M20"/>
    <mergeCell ref="N20:P20"/>
    <mergeCell ref="S20:T20"/>
    <mergeCell ref="K22:M22"/>
    <mergeCell ref="N22:P22"/>
    <mergeCell ref="S22:T22"/>
    <mergeCell ref="K24:M24"/>
    <mergeCell ref="N24:P24"/>
    <mergeCell ref="S24:T24"/>
    <mergeCell ref="K26:M26"/>
    <mergeCell ref="N26:P26"/>
    <mergeCell ref="S26:T26"/>
    <mergeCell ref="K28:M28"/>
    <mergeCell ref="N28:P28"/>
    <mergeCell ref="S28:T28"/>
    <mergeCell ref="K30:M30"/>
    <mergeCell ref="N30:P30"/>
    <mergeCell ref="S30:T30"/>
    <mergeCell ref="K32:M32"/>
    <mergeCell ref="N32:P32"/>
    <mergeCell ref="S32:T32"/>
    <mergeCell ref="B35:C35"/>
    <mergeCell ref="E35:H35"/>
    <mergeCell ref="K35:M35"/>
    <mergeCell ref="O35:R35"/>
    <mergeCell ref="S35:T35"/>
    <mergeCell ref="B36:C36"/>
    <mergeCell ref="E36:H36"/>
    <mergeCell ref="K36:M36"/>
    <mergeCell ref="O36:R36"/>
    <mergeCell ref="S36:T36"/>
    <mergeCell ref="B37:C37"/>
    <mergeCell ref="E37:H37"/>
    <mergeCell ref="K37:M37"/>
    <mergeCell ref="O37:R37"/>
    <mergeCell ref="S37:T37"/>
    <mergeCell ref="B38:C38"/>
    <mergeCell ref="E38:H38"/>
    <mergeCell ref="K38:M38"/>
    <mergeCell ref="O38:R38"/>
    <mergeCell ref="S38:T38"/>
    <mergeCell ref="B39:C39"/>
    <mergeCell ref="E39:H39"/>
    <mergeCell ref="K39:M39"/>
    <mergeCell ref="O39:R39"/>
    <mergeCell ref="S39:T39"/>
    <mergeCell ref="B40:C40"/>
    <mergeCell ref="E40:H40"/>
    <mergeCell ref="K40:M40"/>
    <mergeCell ref="O40:R40"/>
    <mergeCell ref="S40:T40"/>
    <mergeCell ref="B41:C41"/>
    <mergeCell ref="E41:H41"/>
    <mergeCell ref="K41:M41"/>
    <mergeCell ref="O41:R41"/>
    <mergeCell ref="S41:T41"/>
    <mergeCell ref="B42:C42"/>
    <mergeCell ref="E42:H42"/>
    <mergeCell ref="K42:M42"/>
    <mergeCell ref="O42:R42"/>
    <mergeCell ref="S42:T42"/>
    <mergeCell ref="B45:T45"/>
    <mergeCell ref="B46:T46"/>
    <mergeCell ref="E50:G50"/>
    <mergeCell ref="B43:C43"/>
    <mergeCell ref="E43:H43"/>
    <mergeCell ref="K43:M43"/>
    <mergeCell ref="O43:R43"/>
    <mergeCell ref="S43:T43"/>
    <mergeCell ref="B44:C44"/>
    <mergeCell ref="D44:E44"/>
    <mergeCell ref="G44:I44"/>
    <mergeCell ref="K44:M44"/>
    <mergeCell ref="N44:O44"/>
    <mergeCell ref="P44:T44"/>
  </mergeCells>
  <conditionalFormatting sqref="K27">
    <cfRule type="cellIs" dxfId="29" priority="25" operator="lessThanOrEqual">
      <formula>0</formula>
    </cfRule>
    <cfRule type="cellIs" dxfId="28" priority="24" operator="between">
      <formula>1</formula>
      <formula>300</formula>
    </cfRule>
  </conditionalFormatting>
  <conditionalFormatting sqref="K29">
    <cfRule type="cellIs" dxfId="27" priority="23" operator="lessThanOrEqual">
      <formula>0</formula>
    </cfRule>
    <cfRule type="cellIs" dxfId="26" priority="22" operator="between">
      <formula>1</formula>
      <formula>300</formula>
    </cfRule>
  </conditionalFormatting>
  <conditionalFormatting sqref="K31">
    <cfRule type="cellIs" dxfId="25" priority="20" operator="between">
      <formula>1</formula>
      <formula>300</formula>
    </cfRule>
    <cfRule type="cellIs" dxfId="24" priority="21" operator="lessThanOrEqual">
      <formula>0</formula>
    </cfRule>
  </conditionalFormatting>
  <conditionalFormatting sqref="K9:P9">
    <cfRule type="cellIs" dxfId="23" priority="14" operator="between">
      <formula>1</formula>
      <formula>300</formula>
    </cfRule>
    <cfRule type="cellIs" dxfId="22" priority="15" operator="lessThanOrEqual">
      <formula>0</formula>
    </cfRule>
  </conditionalFormatting>
  <conditionalFormatting sqref="K11:P11">
    <cfRule type="cellIs" dxfId="21" priority="12" operator="between">
      <formula>1</formula>
      <formula>300</formula>
    </cfRule>
    <cfRule type="cellIs" dxfId="20" priority="13" operator="lessThanOrEqual">
      <formula>0</formula>
    </cfRule>
  </conditionalFormatting>
  <conditionalFormatting sqref="K13:P13">
    <cfRule type="cellIs" dxfId="19" priority="8" operator="between">
      <formula>1</formula>
      <formula>300</formula>
    </cfRule>
    <cfRule type="cellIs" dxfId="18" priority="9" operator="lessThanOrEqual">
      <formula>0</formula>
    </cfRule>
  </conditionalFormatting>
  <conditionalFormatting sqref="K15:P15">
    <cfRule type="cellIs" dxfId="17" priority="10" operator="between">
      <formula>1</formula>
      <formula>300</formula>
    </cfRule>
    <cfRule type="cellIs" dxfId="16" priority="11" operator="lessThanOrEqual">
      <formula>0</formula>
    </cfRule>
  </conditionalFormatting>
  <conditionalFormatting sqref="K17:P17">
    <cfRule type="cellIs" dxfId="15" priority="16" operator="between">
      <formula>1</formula>
      <formula>300</formula>
    </cfRule>
    <cfRule type="cellIs" dxfId="14" priority="17" operator="lessThanOrEqual">
      <formula>0</formula>
    </cfRule>
  </conditionalFormatting>
  <conditionalFormatting sqref="K19:P19">
    <cfRule type="cellIs" dxfId="13" priority="2" operator="between">
      <formula>1</formula>
      <formula>300</formula>
    </cfRule>
    <cfRule type="cellIs" dxfId="12" priority="3" operator="lessThanOrEqual">
      <formula>0</formula>
    </cfRule>
  </conditionalFormatting>
  <conditionalFormatting sqref="K21:P21">
    <cfRule type="cellIs" dxfId="11" priority="5" operator="lessThanOrEqual">
      <formula>0</formula>
    </cfRule>
    <cfRule type="cellIs" dxfId="10" priority="4" operator="between">
      <formula>1</formula>
      <formula>300</formula>
    </cfRule>
  </conditionalFormatting>
  <conditionalFormatting sqref="K23:P23">
    <cfRule type="cellIs" dxfId="9" priority="7" operator="lessThanOrEqual">
      <formula>0</formula>
    </cfRule>
    <cfRule type="cellIs" dxfId="8" priority="6" operator="between">
      <formula>1</formula>
      <formula>300</formula>
    </cfRule>
  </conditionalFormatting>
  <conditionalFormatting sqref="K25:P25">
    <cfRule type="cellIs" dxfId="7" priority="19" operator="lessThanOrEqual">
      <formula>0</formula>
    </cfRule>
    <cfRule type="cellIs" dxfId="6" priority="18" operator="between">
      <formula>1</formula>
      <formula>300</formula>
    </cfRule>
  </conditionalFormatting>
  <conditionalFormatting sqref="L27:N27">
    <cfRule type="cellIs" dxfId="5" priority="30" operator="between">
      <formula>1</formula>
      <formula>300</formula>
    </cfRule>
    <cfRule type="cellIs" dxfId="4" priority="31" operator="lessThanOrEqual">
      <formula>0</formula>
    </cfRule>
  </conditionalFormatting>
  <conditionalFormatting sqref="L29:N29">
    <cfRule type="cellIs" dxfId="3" priority="28" operator="between">
      <formula>1</formula>
      <formula>300</formula>
    </cfRule>
    <cfRule type="cellIs" dxfId="2" priority="29" operator="lessThanOrEqual">
      <formula>0</formula>
    </cfRule>
  </conditionalFormatting>
  <conditionalFormatting sqref="L31:N31">
    <cfRule type="cellIs" dxfId="1" priority="26" operator="between">
      <formula>1</formula>
      <formula>300</formula>
    </cfRule>
    <cfRule type="cellIs" dxfId="0" priority="27" operator="lessThanOrEqual">
      <formula>0</formula>
    </cfRule>
  </conditionalFormatting>
  <dataValidations count="6">
    <dataValidation type="list" allowBlank="1" showInputMessage="1" showErrorMessage="1" sqref="B36:C43 K36:M43" xr:uid="{00000000-0002-0000-0A00-000000000000}">
      <formula1>"Dommer,Stevnets leder,Jury,Sekretær,Speaker,Teknisk kontrollør,Chief Marshall,Tidtaker"</formula1>
      <formula2>0</formula2>
    </dataValidation>
    <dataValidation type="list" allowBlank="1" showInputMessage="1" showErrorMessage="1" sqref="C11 C9 C31 C29 C27 C25 C23 C21 C19 C17 C15 C13" xr:uid="{00000000-0002-0000-0A00-000001000000}">
      <formula1>"44,48,53,56,58,60,63,65,69,71,77,'+77,79,86,'+86,88,94,'+94,110,'+110"</formula1>
      <formula2>0</formula2>
    </dataValidation>
    <dataValidation type="list" allowBlank="1" showInputMessage="1" showErrorMessage="1" sqref="D5:I5" xr:uid="{00000000-0002-0000-0A00-00000D000000}">
      <formula1>"Nasjonalt stevne,Seriestevne,Seriestevne 5-kamp,Klubbmesterskap,Regionsmesterskap,Landsdelsmesterskap,Norgesmesterskap Senior,Norgesmesterskap Ungdom,Norgesmesterskap Junior,Norgesmesterskap Veteran,Norgesmesterskap 5-kamp,Norgesmesterskap Lag"</formula1>
      <formula2>0</formula2>
    </dataValidation>
    <dataValidation type="list" allowBlank="1" showInputMessage="1" showErrorMessage="1" sqref="E11 F12 E9 E31 E29 E27 E25 E23 E21 E19 E17 E15 E13" xr:uid="{00000000-0002-0000-0A00-00000E000000}">
      <formula1>"UM,JM,SM,UK,JK,SK,M35,M40,M45,M50,M55,M60,M65,M70,M75,M80,M85,M90,K35,K40,K45,K50,K55,K60,K65,K70,K75,K80,K85,K90"</formula1>
      <formula2>0</formula2>
    </dataValidation>
    <dataValidation type="list" allowBlank="1" showInputMessage="1" showErrorMessage="1" sqref="F11 F9 F31 F29 F27 F25 F23 F21 F19 F17 F15 F13" xr:uid="{00000000-0002-0000-0A00-00001A000000}">
      <formula1>"11-12,13-14,15-16,17-18,19-23,24-34,+35"</formula1>
      <formula2>0</formula2>
    </dataValidation>
    <dataValidation type="list" allowBlank="1" showInputMessage="1" showErrorMessage="1" prompt="Feil_i_kat. 5-kamp - Feil verdi i kategori 5-kamp" sqref="G12" xr:uid="{00000000-0002-0000-0A00-000027000000}">
      <formula1>"11-12,13-14,15-16,17-18,19-23,24-34,+35,35+"</formula1>
      <formula2>0</formula2>
    </dataValidation>
  </dataValidations>
  <pageMargins left="0.27569444444444402" right="0.35416666666666702" top="0.27569444444444402" bottom="0.27569444444444402" header="0.511811023622047" footer="0.511811023622047"/>
  <pageSetup paperSize="9" orientation="landscape" useFirstPageNumber="1" horizontalDpi="300" verticalDpi="300"/>
  <drawing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J80"/>
  <sheetViews>
    <sheetView zoomScaleNormal="100" workbookViewId="0">
      <selection activeCell="G1" sqref="G1:G1048576"/>
    </sheetView>
  </sheetViews>
  <sheetFormatPr baseColWidth="10" defaultColWidth="9.1640625" defaultRowHeight="12.75" customHeight="1"/>
  <cols>
    <col min="1" max="1" width="4.33203125" style="5" customWidth="1"/>
    <col min="2" max="2" width="10.1640625" style="5" customWidth="1"/>
    <col min="3" max="3" width="6.33203125" style="6" customWidth="1"/>
    <col min="4" max="4" width="8.6640625" style="6" customWidth="1"/>
    <col min="5" max="6" width="6.33203125" style="7" customWidth="1"/>
    <col min="7" max="7" width="10.6640625" style="6" hidden="1" customWidth="1"/>
    <col min="8" max="8" width="3.83203125" style="6" customWidth="1"/>
    <col min="9" max="9" width="27.83203125" style="8" customWidth="1"/>
    <col min="10" max="10" width="21" style="8" customWidth="1"/>
    <col min="11" max="11" width="6.83203125" style="6" customWidth="1"/>
    <col min="12" max="12" width="6.83203125" style="9" customWidth="1"/>
    <col min="13" max="13" width="6.83203125" style="6" customWidth="1"/>
    <col min="14" max="14" width="8.83203125" style="6" customWidth="1"/>
    <col min="15" max="19" width="6.83203125" style="6" customWidth="1"/>
    <col min="20" max="23" width="8" style="10" customWidth="1"/>
    <col min="24" max="24" width="9" style="10" customWidth="1"/>
    <col min="25" max="26" width="8" style="10" customWidth="1"/>
    <col min="27" max="27" width="4.33203125" style="10" customWidth="1"/>
    <col min="28" max="28" width="5.6640625" style="10" customWidth="1"/>
    <col min="29" max="29" width="9.6640625" style="5" hidden="1" customWidth="1"/>
    <col min="30" max="31" width="9.1640625" style="5" hidden="1"/>
    <col min="32" max="32" width="7.83203125" style="5" hidden="1" customWidth="1"/>
    <col min="33" max="33" width="9.1640625" style="5" hidden="1"/>
    <col min="34" max="35" width="9.1640625" style="11" hidden="1"/>
    <col min="36" max="36" width="9.1640625" style="5" hidden="1"/>
    <col min="37" max="16384" width="9.1640625" style="5"/>
  </cols>
  <sheetData>
    <row r="1" spans="1:36" ht="18.75" customHeight="1">
      <c r="A1" s="12"/>
      <c r="B1" s="12"/>
      <c r="C1" s="12"/>
      <c r="D1" s="12"/>
      <c r="E1" s="12"/>
      <c r="F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  <c r="T1" s="12"/>
      <c r="U1" s="12"/>
      <c r="V1" s="12"/>
      <c r="W1" s="12"/>
      <c r="X1" s="12"/>
      <c r="Y1" s="12"/>
    </row>
    <row r="2" spans="1:36" ht="75" customHeight="1">
      <c r="A2" s="12"/>
      <c r="B2" s="12"/>
      <c r="C2" s="12"/>
      <c r="D2" s="12"/>
      <c r="E2" s="12"/>
      <c r="F2" s="12"/>
      <c r="G2" s="174" t="s">
        <v>0</v>
      </c>
      <c r="H2" s="174"/>
      <c r="I2" s="174"/>
      <c r="J2" s="174"/>
      <c r="K2" s="174"/>
      <c r="L2" s="174"/>
      <c r="M2" s="174"/>
      <c r="N2" s="174"/>
      <c r="O2" s="174"/>
      <c r="P2" s="174"/>
      <c r="Q2" s="174"/>
      <c r="R2" s="174"/>
      <c r="S2" s="12"/>
      <c r="T2" s="12"/>
      <c r="U2" s="13" t="s">
        <v>1</v>
      </c>
      <c r="V2" s="12"/>
      <c r="W2" s="12"/>
      <c r="X2" s="12"/>
      <c r="Y2" s="12"/>
    </row>
    <row r="3" spans="1:36" ht="21.75" customHeight="1">
      <c r="A3" s="12"/>
      <c r="B3" s="12"/>
      <c r="C3" s="12"/>
      <c r="D3" s="12"/>
      <c r="E3" s="14"/>
      <c r="F3" s="12"/>
      <c r="G3" s="175" t="s">
        <v>2</v>
      </c>
      <c r="H3" s="175"/>
      <c r="I3" s="175"/>
      <c r="J3" s="175"/>
      <c r="K3" s="175"/>
      <c r="L3" s="175"/>
      <c r="M3" s="175"/>
      <c r="N3" s="175"/>
      <c r="O3" s="175"/>
      <c r="P3" s="175"/>
      <c r="Q3" s="175"/>
      <c r="R3" s="175"/>
      <c r="S3" s="15" t="s">
        <v>3</v>
      </c>
      <c r="T3" s="15"/>
      <c r="U3" s="15"/>
      <c r="V3" s="15"/>
      <c r="W3" s="15"/>
      <c r="X3" s="15"/>
      <c r="Y3" s="15"/>
      <c r="Z3" s="15"/>
    </row>
    <row r="4" spans="1:36" ht="12.75" customHeight="1">
      <c r="A4" s="12"/>
      <c r="B4" s="12"/>
      <c r="C4" s="12"/>
      <c r="D4" s="12"/>
      <c r="E4" s="12"/>
      <c r="F4" s="12"/>
      <c r="H4" s="12"/>
      <c r="I4" s="12"/>
      <c r="J4" s="12"/>
      <c r="K4" s="12"/>
      <c r="L4" s="12"/>
      <c r="M4" s="12"/>
      <c r="N4" s="12"/>
      <c r="O4" s="12"/>
      <c r="P4" s="12"/>
      <c r="Q4" s="12"/>
      <c r="R4" s="12"/>
      <c r="S4" s="12"/>
      <c r="T4" s="12"/>
      <c r="U4" s="12"/>
      <c r="V4" s="12"/>
      <c r="W4" s="12"/>
      <c r="X4" s="12"/>
      <c r="Y4" s="12"/>
    </row>
    <row r="5" spans="1:36" s="16" customFormat="1" ht="15" customHeight="1">
      <c r="C5" s="17" t="s">
        <v>4</v>
      </c>
      <c r="D5" s="176" t="s">
        <v>5</v>
      </c>
      <c r="E5" s="176"/>
      <c r="F5" s="176"/>
      <c r="G5" s="176"/>
      <c r="H5" s="176"/>
      <c r="I5" s="176"/>
      <c r="J5" s="17" t="s">
        <v>6</v>
      </c>
      <c r="K5" s="176" t="s">
        <v>7</v>
      </c>
      <c r="L5" s="176"/>
      <c r="M5" s="176"/>
      <c r="N5" s="176"/>
      <c r="O5" s="17" t="s">
        <v>8</v>
      </c>
      <c r="P5" s="177" t="s">
        <v>9</v>
      </c>
      <c r="Q5" s="177"/>
      <c r="R5" s="177"/>
      <c r="S5" s="177"/>
      <c r="T5" s="17" t="s">
        <v>10</v>
      </c>
      <c r="U5" s="177">
        <v>46263</v>
      </c>
      <c r="V5" s="177"/>
      <c r="W5" s="18"/>
      <c r="X5" s="18"/>
      <c r="Y5" s="18"/>
      <c r="Z5" s="19" t="s">
        <v>11</v>
      </c>
      <c r="AA5" s="19"/>
      <c r="AB5" s="20">
        <v>2</v>
      </c>
      <c r="AH5" s="21"/>
      <c r="AI5" s="21"/>
    </row>
    <row r="6" spans="1:36" ht="12.75" customHeight="1">
      <c r="AG6" s="22" t="s">
        <v>12</v>
      </c>
      <c r="AH6" s="22" t="s">
        <v>12</v>
      </c>
      <c r="AI6" s="22" t="s">
        <v>12</v>
      </c>
      <c r="AJ6" s="178" t="s">
        <v>13</v>
      </c>
    </row>
    <row r="7" spans="1:36" s="23" customFormat="1" ht="12.75" customHeight="1">
      <c r="B7" s="179" t="s">
        <v>14</v>
      </c>
      <c r="C7" s="180" t="s">
        <v>15</v>
      </c>
      <c r="D7" s="180" t="s">
        <v>16</v>
      </c>
      <c r="E7" s="181" t="s">
        <v>17</v>
      </c>
      <c r="F7" s="182" t="s">
        <v>131</v>
      </c>
      <c r="G7" s="24" t="s">
        <v>19</v>
      </c>
      <c r="H7" s="24" t="s">
        <v>20</v>
      </c>
      <c r="I7" s="24" t="s">
        <v>21</v>
      </c>
      <c r="J7" s="24" t="s">
        <v>22</v>
      </c>
      <c r="K7" s="25"/>
      <c r="L7" s="26" t="s">
        <v>23</v>
      </c>
      <c r="M7" s="24"/>
      <c r="N7" s="24"/>
      <c r="O7" s="27" t="s">
        <v>24</v>
      </c>
      <c r="P7" s="24"/>
      <c r="Q7" s="28" t="s">
        <v>25</v>
      </c>
      <c r="R7" s="24"/>
      <c r="S7" s="24" t="s">
        <v>26</v>
      </c>
      <c r="T7" s="29" t="s">
        <v>27</v>
      </c>
      <c r="U7" s="30" t="s">
        <v>27</v>
      </c>
      <c r="V7" s="31" t="s">
        <v>28</v>
      </c>
      <c r="W7" s="31" t="s">
        <v>29</v>
      </c>
      <c r="X7" s="31" t="s">
        <v>30</v>
      </c>
      <c r="Y7" s="32" t="s">
        <v>31</v>
      </c>
      <c r="Z7" s="33" t="s">
        <v>32</v>
      </c>
      <c r="AA7" s="34" t="s">
        <v>33</v>
      </c>
      <c r="AB7" s="29" t="s">
        <v>34</v>
      </c>
      <c r="AC7" s="11"/>
      <c r="AG7" s="35" t="s">
        <v>35</v>
      </c>
      <c r="AH7" s="35" t="s">
        <v>35</v>
      </c>
      <c r="AI7" s="35" t="s">
        <v>35</v>
      </c>
      <c r="AJ7" s="178"/>
    </row>
    <row r="8" spans="1:36" s="23" customFormat="1" ht="12.75" customHeight="1">
      <c r="B8" s="179"/>
      <c r="C8" s="180"/>
      <c r="D8" s="180"/>
      <c r="E8" s="181"/>
      <c r="F8" s="182"/>
      <c r="G8" s="36" t="s">
        <v>36</v>
      </c>
      <c r="H8" s="36" t="s">
        <v>37</v>
      </c>
      <c r="I8" s="36"/>
      <c r="J8" s="36"/>
      <c r="K8" s="37">
        <v>1</v>
      </c>
      <c r="L8" s="37">
        <v>2</v>
      </c>
      <c r="M8" s="38">
        <v>3</v>
      </c>
      <c r="N8" s="38">
        <v>1</v>
      </c>
      <c r="O8" s="37">
        <v>2</v>
      </c>
      <c r="P8" s="38">
        <v>3</v>
      </c>
      <c r="Q8" s="39" t="s">
        <v>38</v>
      </c>
      <c r="R8" s="36"/>
      <c r="S8" s="36" t="s">
        <v>39</v>
      </c>
      <c r="T8" s="40"/>
      <c r="U8" s="41" t="s">
        <v>40</v>
      </c>
      <c r="V8" s="31" t="s">
        <v>27</v>
      </c>
      <c r="W8" s="31" t="s">
        <v>27</v>
      </c>
      <c r="X8" s="31" t="s">
        <v>27</v>
      </c>
      <c r="Y8" s="42" t="s">
        <v>41</v>
      </c>
      <c r="Z8" s="43" t="s">
        <v>42</v>
      </c>
      <c r="AA8" s="43"/>
      <c r="AB8" s="40"/>
      <c r="AD8" s="6" t="s">
        <v>43</v>
      </c>
      <c r="AE8" s="6" t="s">
        <v>44</v>
      </c>
      <c r="AF8" s="11" t="s">
        <v>40</v>
      </c>
      <c r="AG8" s="35" t="s">
        <v>45</v>
      </c>
      <c r="AH8" s="35" t="s">
        <v>46</v>
      </c>
      <c r="AI8" s="35" t="s">
        <v>47</v>
      </c>
    </row>
    <row r="9" spans="1:36" s="44" customFormat="1" ht="19.5" customHeight="1">
      <c r="B9" s="45" t="s">
        <v>132</v>
      </c>
      <c r="C9" s="142" t="s">
        <v>67</v>
      </c>
      <c r="D9" s="56">
        <v>70.95</v>
      </c>
      <c r="E9" s="142" t="s">
        <v>133</v>
      </c>
      <c r="F9" s="142" t="s">
        <v>89</v>
      </c>
      <c r="G9" s="143">
        <v>39619</v>
      </c>
      <c r="H9" s="142" t="s">
        <v>134</v>
      </c>
      <c r="I9" s="144" t="s">
        <v>135</v>
      </c>
      <c r="J9" s="145" t="s">
        <v>96</v>
      </c>
      <c r="K9" s="52">
        <v>-55</v>
      </c>
      <c r="L9" s="52">
        <v>-55</v>
      </c>
      <c r="M9" s="52">
        <v>-55</v>
      </c>
      <c r="N9" s="52" t="s">
        <v>97</v>
      </c>
      <c r="O9" s="52" t="s">
        <v>97</v>
      </c>
      <c r="P9" s="52" t="s">
        <v>97</v>
      </c>
      <c r="Q9" s="53" t="str">
        <f>IF(MAX(K9:M9)&gt;0,IF(MAX(K9:M9)&lt;0,0,TRUNC(MAX(K9:M9)/1)*1),"")</f>
        <v/>
      </c>
      <c r="R9" s="54" t="str">
        <f>IF(MAX(N9:P9)&gt;0,IF(MAX(N9:P9)&lt;0,0,TRUNC(MAX(N9:P9)/1)*1),"")</f>
        <v/>
      </c>
      <c r="S9" s="54" t="str">
        <f>IF(Q9="","",IF(R9="","",IF(SUM(Q9:R9)=0,"",SUM(Q9:R9))))</f>
        <v/>
      </c>
      <c r="T9" s="55" t="str">
        <f>IF(S9="","",IF(D9="","",IF((AD9="k"),IF(D9&gt;153.757,S9,IF(D9&lt;28,10^(0.0787004341*LOG10(28/153.757)^2)*S9,10^(0.787004341*LOG10(D9/153.757)^2)*S9)),IF(D9&gt;193.609,S9,IF(D9&lt;32,10^(0.722762521*LOG10(32/193.609)^2)*S9,10^(0.722762521*LOG10(D9/193.609)^2)*S9)))))</f>
        <v/>
      </c>
      <c r="U9" s="56" t="str">
        <f>IF(AF9=1,T9*AI9,"")</f>
        <v/>
      </c>
      <c r="V9" s="57"/>
      <c r="W9" s="57"/>
      <c r="X9" s="57"/>
      <c r="Y9" s="55"/>
      <c r="Z9" s="56"/>
      <c r="AA9" s="56">
        <v>4</v>
      </c>
      <c r="AB9" s="58"/>
      <c r="AC9" s="59">
        <f>U5</f>
        <v>46263</v>
      </c>
      <c r="AD9" s="60" t="str">
        <f>IF(ISNUMBER(FIND("M",E9)),"m",IF(ISNUMBER(FIND("K",E9)),"k"))</f>
        <v>k</v>
      </c>
      <c r="AE9" s="61">
        <f>IF(OR(G9="",AC9=""),0,(YEAR(AC9)-YEAR(G9)))</f>
        <v>18</v>
      </c>
      <c r="AF9" s="62">
        <f>IF(AE9&gt;34,1,0)</f>
        <v>0</v>
      </c>
      <c r="AG9" s="44" t="b">
        <f>IF(AF9=1,LOOKUP(AE9,'Meltzer-Faber'!A3:A63,'Meltzer-Faber'!B3:B63))</f>
        <v>0</v>
      </c>
      <c r="AH9" s="63" t="b">
        <f>IF(AF9=1,LOOKUP(AE9,'Meltzer-Faber'!A3:A63,'Meltzer-Faber'!C3:C63))</f>
        <v>0</v>
      </c>
      <c r="AI9" s="63" t="b">
        <f>IF(AD9="m",AG9,IF(AD9="k",AH9,""))</f>
        <v>0</v>
      </c>
      <c r="AJ9" s="64">
        <f>IF(D9="","",IF(D9&gt;193.609,1,IF(D9&lt;32,10^(0.722762521*LOG10(32/193.609)^2),10^(0.722762521*LOG10(D9/193.609)^2))))</f>
        <v>1.3720733767129483</v>
      </c>
    </row>
    <row r="10" spans="1:36" s="44" customFormat="1" ht="19.5" customHeight="1">
      <c r="B10" s="65"/>
      <c r="C10" s="3"/>
      <c r="D10" s="3"/>
      <c r="E10" s="3"/>
      <c r="F10" s="66"/>
      <c r="G10" s="67"/>
      <c r="H10" s="68"/>
      <c r="I10" s="69"/>
      <c r="J10" s="69"/>
      <c r="K10" s="173"/>
      <c r="L10" s="173"/>
      <c r="M10" s="173"/>
      <c r="N10" s="172"/>
      <c r="O10" s="172"/>
      <c r="P10" s="172"/>
      <c r="Q10" s="70"/>
      <c r="R10" s="3"/>
      <c r="S10" s="173" t="str">
        <f>IF(T9="","",T9*1.2)</f>
        <v/>
      </c>
      <c r="T10" s="173"/>
      <c r="U10" s="3"/>
      <c r="V10" s="3" t="str">
        <f>IF(V9&gt;0,V9*20,"")</f>
        <v/>
      </c>
      <c r="W10" s="3" t="str">
        <f>IF(W9="","",(W9*10)*AJ9)</f>
        <v/>
      </c>
      <c r="X10" s="3" t="str">
        <f>IF(ROUNDUP(X9,1)&gt;0,IF((80+(8-ROUNDUP(X9,1))*40)&lt;0,0,80+(8-ROUNDUP(X9,1))*40),"")</f>
        <v/>
      </c>
      <c r="Y10" s="4" t="str">
        <f>IF(SUM(V10,W10,X10)&gt;0,SUM(V10,W10,X10),"")</f>
        <v/>
      </c>
      <c r="Z10" s="3" t="str">
        <f>IF(AE9&gt;34,(IF(OR(S10="",V10="",W10="",X10=""),"",SUM(S10,V10,W10,X10))*AI9),IF(OR(S10="",V10="",W10="",X10=""),"", SUM(S10,V10,W10,X10)))</f>
        <v/>
      </c>
      <c r="AA10" s="3"/>
      <c r="AB10" s="66"/>
      <c r="AC10" s="71"/>
      <c r="AD10" s="6"/>
      <c r="AE10" s="61"/>
      <c r="AF10" s="72"/>
      <c r="AH10" s="63"/>
      <c r="AI10" s="63"/>
      <c r="AJ10" s="64"/>
    </row>
    <row r="11" spans="1:36" s="44" customFormat="1" ht="19.5" customHeight="1">
      <c r="B11" s="73"/>
      <c r="C11" s="84"/>
      <c r="D11" s="78"/>
      <c r="E11" s="84"/>
      <c r="F11" s="84"/>
      <c r="G11" s="85"/>
      <c r="H11" s="84"/>
      <c r="I11" s="86"/>
      <c r="J11" s="87"/>
      <c r="K11" s="74"/>
      <c r="L11" s="74"/>
      <c r="M11" s="74"/>
      <c r="N11" s="74"/>
      <c r="O11" s="74"/>
      <c r="P11" s="74"/>
      <c r="Q11" s="75" t="str">
        <f>IF(MAX(K11:M11)&gt;0,IF(MAX(K11:M11)&lt;0,0,TRUNC(MAX(K11:M11)/1)*1),"")</f>
        <v/>
      </c>
      <c r="R11" s="76" t="str">
        <f>IF(MAX(N11:P11)&gt;0,IF(MAX(N11:P11)&lt;0,0,TRUNC(MAX(N11:P11)/1)*1),"")</f>
        <v/>
      </c>
      <c r="S11" s="76" t="str">
        <f>IF(Q11="","",IF(R11="","",IF(SUM(Q11:R11)=0,"",SUM(Q11:R11))))</f>
        <v/>
      </c>
      <c r="T11" s="77" t="str">
        <f>IF(S11="","",IF(D11="","",IF((AD11="k"),IF(D11&gt;153.757,S11,IF(D11&lt;28,10^(0.0787004341*LOG10(28/153.757)^2)*S11,10^(0.787004341*LOG10(D11/153.757)^2)*S11)),IF(D11&gt;193.609,S11,IF(D11&lt;32,10^(0.722762521*LOG10(32/193.609)^2)*S11,10^(0.722762521*LOG10(D11/193.609)^2)*S11)))))</f>
        <v/>
      </c>
      <c r="U11" s="78" t="str">
        <f>IF(AF11=1,T11*AI11,"")</f>
        <v/>
      </c>
      <c r="V11" s="79"/>
      <c r="W11" s="79"/>
      <c r="X11" s="79"/>
      <c r="Y11" s="80"/>
      <c r="Z11" s="78"/>
      <c r="AA11" s="78"/>
      <c r="AB11" s="81"/>
      <c r="AC11" s="71">
        <f>U5</f>
        <v>46263</v>
      </c>
      <c r="AD11" s="60" t="b">
        <f>IF(ISNUMBER(FIND("M",E11)),"m",IF(ISNUMBER(FIND("K",E11)),"k"))</f>
        <v>0</v>
      </c>
      <c r="AE11" s="61">
        <f>IF(OR(G11="",AC11=""),0,(YEAR(AC11)-YEAR(G11)))</f>
        <v>0</v>
      </c>
      <c r="AF11" s="62">
        <f>IF(AE11&gt;34,1,0)</f>
        <v>0</v>
      </c>
      <c r="AG11" s="44" t="b">
        <f>IF(AF11=1,LOOKUP(AE11,'Meltzer-Faber'!A3:A63,'Meltzer-Faber'!B3:B63))</f>
        <v>0</v>
      </c>
      <c r="AH11" s="63" t="b">
        <f>IF(AF11=1,LOOKUP(AE11,'Meltzer-Faber'!A3:A63,'Meltzer-Faber'!C3:C63))</f>
        <v>0</v>
      </c>
      <c r="AI11" s="63" t="str">
        <f>IF(AD11="m",AG11,IF(AD11="k",AH11,""))</f>
        <v/>
      </c>
      <c r="AJ11" s="64" t="str">
        <f>IF(D11="","",IF(D11&gt;193.609,1,IF(D11&lt;32,10^(0.722762521*LOG10(32/193.609)^2),10^(0.722762521*LOG10(D11/193.609)^2))))</f>
        <v/>
      </c>
    </row>
    <row r="12" spans="1:36" s="44" customFormat="1" ht="19.5" customHeight="1">
      <c r="B12" s="82"/>
      <c r="C12" s="3"/>
      <c r="D12" s="3"/>
      <c r="E12" s="3"/>
      <c r="F12" s="66"/>
      <c r="G12" s="67"/>
      <c r="H12" s="68"/>
      <c r="I12" s="69"/>
      <c r="J12" s="69"/>
      <c r="K12" s="173"/>
      <c r="L12" s="173"/>
      <c r="M12" s="173"/>
      <c r="N12" s="172"/>
      <c r="O12" s="172"/>
      <c r="P12" s="172"/>
      <c r="Q12" s="70"/>
      <c r="R12" s="3"/>
      <c r="S12" s="173" t="str">
        <f>IF(T11="","",T11*1.2)</f>
        <v/>
      </c>
      <c r="T12" s="173"/>
      <c r="U12" s="3"/>
      <c r="V12" s="3"/>
      <c r="W12" s="3"/>
      <c r="X12" s="3"/>
      <c r="Y12" s="4" t="str">
        <f>IF(SUM(V12,W12,X12)&gt;0,SUM(V12,W12,X12),"")</f>
        <v/>
      </c>
      <c r="Z12" s="3" t="str">
        <f>IF(AE11&gt;34,(IF(OR(S12="",V12="",W12="",X12=""),"",SUM(S12,V12,W12,X12))*AI11),IF(OR(S12="",V12="",W12="",X12=""),"", SUM(S12,V12,W12,X12)))</f>
        <v/>
      </c>
      <c r="AA12" s="3"/>
      <c r="AB12" s="66"/>
      <c r="AC12" s="71"/>
      <c r="AD12" s="6"/>
      <c r="AE12" s="61"/>
      <c r="AF12" s="62"/>
      <c r="AH12" s="63"/>
      <c r="AI12" s="63"/>
      <c r="AJ12" s="64"/>
    </row>
    <row r="13" spans="1:36" s="44" customFormat="1" ht="19.5" customHeight="1">
      <c r="B13" s="83"/>
      <c r="C13" s="84"/>
      <c r="D13" s="78"/>
      <c r="E13" s="84"/>
      <c r="F13" s="84"/>
      <c r="G13" s="85"/>
      <c r="H13" s="84"/>
      <c r="I13" s="86"/>
      <c r="J13" s="87"/>
      <c r="K13" s="74"/>
      <c r="L13" s="74"/>
      <c r="M13" s="74"/>
      <c r="N13" s="74"/>
      <c r="O13" s="74"/>
      <c r="P13" s="74"/>
      <c r="Q13" s="75" t="str">
        <f>IF(MAX(K13:M13)&gt;0,IF(MAX(K13:M13)&lt;0,0,TRUNC(MAX(K13:M13)/1)*1),"")</f>
        <v/>
      </c>
      <c r="R13" s="76" t="str">
        <f>IF(MAX(N13:P13)&gt;0,IF(MAX(N13:P13)&lt;0,0,TRUNC(MAX(N13:P13)/1)*1),"")</f>
        <v/>
      </c>
      <c r="S13" s="76" t="str">
        <f>IF(Q13="","",IF(R13="","",IF(SUM(Q13:R13)=0,"",SUM(Q13:R13))))</f>
        <v/>
      </c>
      <c r="T13" s="77" t="str">
        <f>IF(S13="","",IF(D13="","",IF((AD13="k"),IF(D13&gt;153.757,S13,IF(D13&lt;28,10^(0.0787004341*LOG10(28/153.757)^2)*S13,10^(0.787004341*LOG10(D13/153.757)^2)*S13)),IF(D13&gt;193.609,S13,IF(D13&lt;32,10^(0.722762521*LOG10(32/193.609)^2)*S13,10^(0.722762521*LOG10(D13/193.609)^2)*S13)))))</f>
        <v/>
      </c>
      <c r="U13" s="78" t="str">
        <f>IF(AF13=1,T13*AI13,"")</f>
        <v/>
      </c>
      <c r="V13" s="79"/>
      <c r="W13" s="79"/>
      <c r="X13" s="79"/>
      <c r="Y13" s="88"/>
      <c r="Z13" s="78"/>
      <c r="AA13" s="78"/>
      <c r="AB13" s="81"/>
      <c r="AC13" s="71">
        <f>U5</f>
        <v>46263</v>
      </c>
      <c r="AD13" s="60" t="b">
        <f>IF(ISNUMBER(FIND("M",E13)),"m",IF(ISNUMBER(FIND("K",E13)),"k"))</f>
        <v>0</v>
      </c>
      <c r="AE13" s="61">
        <f>IF(OR(G13="",AC13=""),0,(YEAR(AC13)-YEAR(G13)))</f>
        <v>0</v>
      </c>
      <c r="AF13" s="62">
        <f>IF(AE13&gt;34,1,0)</f>
        <v>0</v>
      </c>
      <c r="AG13" s="44" t="b">
        <f>IF(AF13=1,LOOKUP(AE13,'Meltzer-Faber'!A3:A63,'Meltzer-Faber'!B3:B63))</f>
        <v>0</v>
      </c>
      <c r="AH13" s="63" t="b">
        <f>IF(AF13=1,LOOKUP(AE13,'Meltzer-Faber'!A3:A63,'Meltzer-Faber'!C3:C63))</f>
        <v>0</v>
      </c>
      <c r="AI13" s="63" t="str">
        <f>IF(AD13="m",AG13,IF(AD13="k",AH13,""))</f>
        <v/>
      </c>
      <c r="AJ13" s="64" t="str">
        <f>IF(D13="","",IF(D13&gt;193.609,1,IF(D13&lt;32,10^(0.722762521*LOG10(32/193.609)^2),10^(0.722762521*LOG10(D13/193.609)^2))))</f>
        <v/>
      </c>
    </row>
    <row r="14" spans="1:36" s="44" customFormat="1" ht="19.5" customHeight="1">
      <c r="B14" s="82"/>
      <c r="C14" s="3"/>
      <c r="D14" s="3"/>
      <c r="E14" s="3"/>
      <c r="F14" s="66"/>
      <c r="G14" s="67"/>
      <c r="H14" s="68"/>
      <c r="I14" s="69"/>
      <c r="J14" s="69"/>
      <c r="K14" s="173"/>
      <c r="L14" s="173"/>
      <c r="M14" s="173"/>
      <c r="N14" s="172"/>
      <c r="O14" s="172"/>
      <c r="P14" s="172"/>
      <c r="Q14" s="70"/>
      <c r="R14" s="3"/>
      <c r="S14" s="173" t="str">
        <f>IF(T13="","",T13*1.2)</f>
        <v/>
      </c>
      <c r="T14" s="173"/>
      <c r="U14" s="3"/>
      <c r="V14" s="3"/>
      <c r="W14" s="3"/>
      <c r="X14" s="3"/>
      <c r="Y14" s="4" t="str">
        <f>IF(SUM(V14,W14,X14)&gt;0,SUM(V14,W14,X14),"")</f>
        <v/>
      </c>
      <c r="Z14" s="3" t="str">
        <f>IF(AE13&gt;34,(IF(OR(S14="",V14="",W14="",X14=""),"",SUM(S14,V14,W14,X14))*AI13),IF(OR(S14="",V14="",W14="",X14=""),"", SUM(S14,V14,W14,X14)))</f>
        <v/>
      </c>
      <c r="AA14" s="3"/>
      <c r="AB14" s="66"/>
      <c r="AC14" s="71"/>
      <c r="AD14" s="6"/>
      <c r="AE14" s="61"/>
      <c r="AF14" s="62"/>
      <c r="AH14" s="63"/>
      <c r="AI14" s="63"/>
      <c r="AJ14" s="64"/>
    </row>
    <row r="15" spans="1:36" s="44" customFormat="1" ht="19.5" customHeight="1">
      <c r="B15" s="83"/>
      <c r="C15" s="84"/>
      <c r="D15" s="78"/>
      <c r="E15" s="84"/>
      <c r="F15" s="84"/>
      <c r="G15" s="85"/>
      <c r="H15" s="84"/>
      <c r="I15" s="86"/>
      <c r="J15" s="87"/>
      <c r="K15" s="74"/>
      <c r="L15" s="74"/>
      <c r="M15" s="74"/>
      <c r="N15" s="74"/>
      <c r="O15" s="74"/>
      <c r="P15" s="74"/>
      <c r="Q15" s="75" t="str">
        <f>IF(MAX(K15:M15)&gt;0,IF(MAX(K15:M15)&lt;0,0,TRUNC(MAX(K15:M15)/1)*1),"")</f>
        <v/>
      </c>
      <c r="R15" s="76" t="str">
        <f>IF(MAX(N15:P15)&gt;0,IF(MAX(N15:P15)&lt;0,0,TRUNC(MAX(N15:P15)/1)*1),"")</f>
        <v/>
      </c>
      <c r="S15" s="76" t="str">
        <f>IF(Q15="","",IF(R15="","",IF(SUM(Q15:R15)=0,"",SUM(Q15:R15))))</f>
        <v/>
      </c>
      <c r="T15" s="77" t="str">
        <f>IF(S15="","",IF(D15="","",IF((AD15="k"),IF(D15&gt;153.757,S15,IF(D15&lt;28,10^(0.0787004341*LOG10(28/153.757)^2)*S15,10^(0.787004341*LOG10(D15/153.757)^2)*S15)),IF(D15&gt;193.609,S15,IF(D15&lt;32,10^(0.722762521*LOG10(32/193.609)^2)*S15,10^(0.722762521*LOG10(D15/193.609)^2)*S15)))))</f>
        <v/>
      </c>
      <c r="U15" s="78" t="str">
        <f>IF(AF15=1,T15*AI15,"")</f>
        <v/>
      </c>
      <c r="V15" s="79"/>
      <c r="W15" s="79"/>
      <c r="X15" s="79"/>
      <c r="Y15" s="80"/>
      <c r="Z15" s="78"/>
      <c r="AA15" s="78"/>
      <c r="AB15" s="81"/>
      <c r="AC15" s="71">
        <f>U5</f>
        <v>46263</v>
      </c>
      <c r="AD15" s="60" t="b">
        <f>IF(ISNUMBER(FIND("M",E15)),"m",IF(ISNUMBER(FIND("K",E15)),"k"))</f>
        <v>0</v>
      </c>
      <c r="AE15" s="61">
        <f>IF(OR(G15="",AC15=""),0,(YEAR(AC15)-YEAR(G15)))</f>
        <v>0</v>
      </c>
      <c r="AF15" s="62">
        <f>IF(AE15&gt;34,1,0)</f>
        <v>0</v>
      </c>
      <c r="AG15" s="44" t="b">
        <f>IF(AF15=1,LOOKUP(AE15,'Meltzer-Faber'!A3:A63,'Meltzer-Faber'!B3:B63))</f>
        <v>0</v>
      </c>
      <c r="AH15" s="63" t="b">
        <f>IF(AF15=1,LOOKUP(AE15,'Meltzer-Faber'!A3:A63,'Meltzer-Faber'!C3:C63))</f>
        <v>0</v>
      </c>
      <c r="AI15" s="63" t="str">
        <f>IF(AD15="m",AG15,IF(AD15="k",AH15,""))</f>
        <v/>
      </c>
      <c r="AJ15" s="64" t="str">
        <f>IF(D15="","",IF(D15&gt;193.609,1,IF(D15&lt;32,10^(0.722762521*LOG10(32/193.609)^2),10^(0.722762521*LOG10(D15/193.609)^2))))</f>
        <v/>
      </c>
    </row>
    <row r="16" spans="1:36" s="44" customFormat="1" ht="19.5" customHeight="1">
      <c r="B16" s="82"/>
      <c r="C16" s="3"/>
      <c r="D16" s="3"/>
      <c r="E16" s="3"/>
      <c r="F16" s="66"/>
      <c r="G16" s="67"/>
      <c r="H16" s="68"/>
      <c r="I16" s="69"/>
      <c r="J16" s="69"/>
      <c r="K16" s="173"/>
      <c r="L16" s="173"/>
      <c r="M16" s="173"/>
      <c r="N16" s="172"/>
      <c r="O16" s="172"/>
      <c r="P16" s="172"/>
      <c r="Q16" s="89"/>
      <c r="R16" s="90"/>
      <c r="S16" s="173" t="str">
        <f>IF(T15="","",T15*1.2)</f>
        <v/>
      </c>
      <c r="T16" s="173"/>
      <c r="U16" s="3"/>
      <c r="V16" s="3"/>
      <c r="W16" s="3"/>
      <c r="X16" s="3"/>
      <c r="Y16" s="4" t="str">
        <f>IF(SUM(V16,W16,X16)&gt;0,SUM(V16,W16,X16),"")</f>
        <v/>
      </c>
      <c r="Z16" s="3" t="str">
        <f>IF(AE15&gt;34,(IF(OR(S16="",V16="",W16="",X16=""),"",SUM(S16,V16,W16,X16))*AI15),IF(OR(S16="",V16="",W16="",X16=""),"", SUM(S16,V16,W16,X16)))</f>
        <v/>
      </c>
      <c r="AA16" s="3"/>
      <c r="AB16" s="66"/>
      <c r="AC16" s="71"/>
      <c r="AD16" s="6"/>
      <c r="AE16" s="61"/>
      <c r="AF16" s="62"/>
      <c r="AH16" s="63"/>
      <c r="AI16" s="63"/>
      <c r="AJ16" s="64"/>
    </row>
    <row r="17" spans="2:36" s="44" customFormat="1" ht="19.5" customHeight="1">
      <c r="B17" s="83"/>
      <c r="C17" s="84"/>
      <c r="D17" s="78"/>
      <c r="E17" s="84"/>
      <c r="F17" s="84"/>
      <c r="G17" s="85"/>
      <c r="H17" s="84"/>
      <c r="I17" s="91"/>
      <c r="J17" s="87"/>
      <c r="K17" s="74"/>
      <c r="L17" s="74"/>
      <c r="M17" s="74"/>
      <c r="N17" s="74"/>
      <c r="O17" s="74"/>
      <c r="P17" s="74"/>
      <c r="Q17" s="75" t="str">
        <f>IF(MAX(K17:M17)&gt;0,IF(MAX(K17:M17)&lt;0,0,TRUNC(MAX(K17:M17)/1)*1),"")</f>
        <v/>
      </c>
      <c r="R17" s="76" t="str">
        <f>IF(MAX(N17:P17)&gt;0,IF(MAX(N17:P17)&lt;0,0,TRUNC(MAX(N17:P17)/1)*1),"")</f>
        <v/>
      </c>
      <c r="S17" s="74" t="str">
        <f>IF(Q17="","",IF(R17="","",IF(SUM(Q17:R17)=0,"",SUM(Q17:R17))))</f>
        <v/>
      </c>
      <c r="T17" s="77" t="str">
        <f>IF(S17="","",IF(D17="","",IF((AD17="k"),IF(D17&gt;153.757,S17,IF(D17&lt;28,10^(0.0787004341*LOG10(28/153.757)^2)*S17,10^(0.787004341*LOG10(D17/153.757)^2)*S17)),IF(D17&gt;193.609,S17,IF(D17&lt;32,10^(0.722762521*LOG10(32/193.609)^2)*S17,10^(0.722762521*LOG10(D17/193.609)^2)*S17)))))</f>
        <v/>
      </c>
      <c r="U17" s="78" t="str">
        <f>IF(AF17=1,T17*AI17,"")</f>
        <v/>
      </c>
      <c r="V17" s="79"/>
      <c r="W17" s="79"/>
      <c r="X17" s="79"/>
      <c r="Y17" s="80"/>
      <c r="Z17" s="78"/>
      <c r="AA17" s="78"/>
      <c r="AB17" s="81"/>
      <c r="AC17" s="71">
        <f>U5</f>
        <v>46263</v>
      </c>
      <c r="AD17" s="60" t="b">
        <f>IF(ISNUMBER(FIND("M",E17)),"m",IF(ISNUMBER(FIND("K",E17)),"k"))</f>
        <v>0</v>
      </c>
      <c r="AE17" s="61">
        <f>IF(OR(G17="",AC17=""),0,(YEAR(AC17)-YEAR(G17)))</f>
        <v>0</v>
      </c>
      <c r="AF17" s="62">
        <f>IF(AE17&gt;34,1,0)</f>
        <v>0</v>
      </c>
      <c r="AG17" s="44" t="b">
        <f>IF(AF17=1,LOOKUP(AE17,'Meltzer-Faber'!A3:A63,'Meltzer-Faber'!B3:B63))</f>
        <v>0</v>
      </c>
      <c r="AH17" s="63" t="b">
        <f>IF(AF17=1,LOOKUP(AE17,'Meltzer-Faber'!A3:A63,'Meltzer-Faber'!C3:C63))</f>
        <v>0</v>
      </c>
      <c r="AI17" s="63" t="str">
        <f>IF(AD17="m",AG17,IF(AD17="k",AH17,""))</f>
        <v/>
      </c>
      <c r="AJ17" s="64" t="str">
        <f>IF(D17="","",IF(D17&gt;193.609,1,IF(D17&lt;32,10^(0.722762521*LOG10(32/193.609)^2),10^(0.722762521*LOG10(D17/193.609)^2))))</f>
        <v/>
      </c>
    </row>
    <row r="18" spans="2:36" s="44" customFormat="1" ht="19.5" customHeight="1">
      <c r="B18" s="82"/>
      <c r="C18" s="3"/>
      <c r="D18" s="3"/>
      <c r="E18" s="3"/>
      <c r="F18" s="66"/>
      <c r="G18" s="67"/>
      <c r="H18" s="68"/>
      <c r="I18" s="69"/>
      <c r="J18" s="69"/>
      <c r="K18" s="173"/>
      <c r="L18" s="173"/>
      <c r="M18" s="173"/>
      <c r="N18" s="172"/>
      <c r="O18" s="172"/>
      <c r="P18" s="172"/>
      <c r="Q18" s="70"/>
      <c r="R18" s="3"/>
      <c r="S18" s="173" t="str">
        <f>IF(T17="","",T17*1.2)</f>
        <v/>
      </c>
      <c r="T18" s="173"/>
      <c r="U18" s="3"/>
      <c r="V18" s="3"/>
      <c r="W18" s="3"/>
      <c r="X18" s="3"/>
      <c r="Y18" s="4" t="str">
        <f>IF(SUM(V18,W18,X18)&gt;0,SUM(V18,W18,X18),"")</f>
        <v/>
      </c>
      <c r="Z18" s="3" t="str">
        <f>IF(AE17&gt;34,(IF(OR(S18="",V18="",W18="",X18=""),"",SUM(S18,V18,W18,X18))*AI17),IF(OR(S18="",V18="",W18="",X18=""),"", SUM(S18,V18,W18,X18)))</f>
        <v/>
      </c>
      <c r="AA18" s="3"/>
      <c r="AB18" s="66"/>
      <c r="AC18" s="71"/>
      <c r="AD18" s="6"/>
      <c r="AE18" s="61"/>
      <c r="AF18" s="62"/>
      <c r="AH18" s="63"/>
      <c r="AI18" s="63"/>
      <c r="AJ18" s="64"/>
    </row>
    <row r="19" spans="2:36" s="44" customFormat="1" ht="19.5" customHeight="1">
      <c r="B19" s="83"/>
      <c r="C19" s="84"/>
      <c r="D19" s="78"/>
      <c r="E19" s="84"/>
      <c r="F19" s="84"/>
      <c r="G19" s="85"/>
      <c r="H19" s="84"/>
      <c r="I19" s="91"/>
      <c r="J19" s="87"/>
      <c r="K19" s="74"/>
      <c r="L19" s="74"/>
      <c r="M19" s="74"/>
      <c r="N19" s="74"/>
      <c r="O19" s="74"/>
      <c r="P19" s="74"/>
      <c r="Q19" s="75" t="str">
        <f>IF(MAX(K19:M19)&gt;0,IF(MAX(K19:M19)&lt;0,0,TRUNC(MAX(K19:M19)/1)*1),"")</f>
        <v/>
      </c>
      <c r="R19" s="76" t="str">
        <f>IF(MAX(N19:P19)&gt;0,IF(MAX(N19:P19)&lt;0,0,TRUNC(MAX(N19:P19)/1)*1),"")</f>
        <v/>
      </c>
      <c r="S19" s="74" t="str">
        <f>IF(Q19="","",IF(R19="","",IF(SUM(Q19:R19)=0,"",SUM(Q19:R19))))</f>
        <v/>
      </c>
      <c r="T19" s="77" t="str">
        <f>IF(S19="","",IF(D19="","",IF((AD19="k"),IF(D19&gt;153.757,S19,IF(D19&lt;28,10^(0.0787004341*LOG10(28/153.757)^2)*S19,10^(0.787004341*LOG10(D19/153.757)^2)*S19)),IF(D19&gt;193.609,S19,IF(D19&lt;32,10^(0.722762521*LOG10(32/193.609)^2)*S19,10^(0.722762521*LOG10(D19/193.609)^2)*S19)))))</f>
        <v/>
      </c>
      <c r="U19" s="78" t="str">
        <f>IF(AF19=1,T19*AI19,"")</f>
        <v/>
      </c>
      <c r="V19" s="79"/>
      <c r="W19" s="79"/>
      <c r="X19" s="79"/>
      <c r="Y19" s="80"/>
      <c r="Z19" s="78"/>
      <c r="AA19" s="78"/>
      <c r="AB19" s="81"/>
      <c r="AC19" s="71">
        <f>U5</f>
        <v>46263</v>
      </c>
      <c r="AD19" s="60" t="b">
        <f>IF(ISNUMBER(FIND("M",E19)),"m",IF(ISNUMBER(FIND("K",E19)),"k"))</f>
        <v>0</v>
      </c>
      <c r="AE19" s="61">
        <f>IF(OR(G19="",AC19=""),0,(YEAR(AC19)-YEAR(G19)))</f>
        <v>0</v>
      </c>
      <c r="AF19" s="62">
        <f>IF(AE19&gt;34,1,0)</f>
        <v>0</v>
      </c>
      <c r="AG19" s="44" t="b">
        <f>IF(AF19=1,LOOKUP(AE19,'Meltzer-Faber'!A3:A63,'Meltzer-Faber'!B3:B63))</f>
        <v>0</v>
      </c>
      <c r="AH19" s="63" t="b">
        <f>IF(AF19=1,LOOKUP(AE19,'Meltzer-Faber'!A3:A63,'Meltzer-Faber'!C3:C63))</f>
        <v>0</v>
      </c>
      <c r="AI19" s="63" t="str">
        <f>IF(AD19="m",AG19,IF(AD19="k",AH19,""))</f>
        <v/>
      </c>
      <c r="AJ19" s="64" t="str">
        <f>IF(D19="","",IF(D19&gt;193.609,1,IF(D19&lt;32,10^(0.722762521*LOG10(32/193.609)^2),10^(0.722762521*LOG10(D19/193.609)^2))))</f>
        <v/>
      </c>
    </row>
    <row r="20" spans="2:36" s="44" customFormat="1" ht="19.5" customHeight="1">
      <c r="B20" s="82"/>
      <c r="C20" s="3"/>
      <c r="D20" s="3"/>
      <c r="E20" s="3"/>
      <c r="F20" s="66"/>
      <c r="G20" s="67"/>
      <c r="H20" s="68"/>
      <c r="I20" s="69"/>
      <c r="J20" s="69"/>
      <c r="K20" s="173"/>
      <c r="L20" s="173"/>
      <c r="M20" s="173"/>
      <c r="N20" s="172"/>
      <c r="O20" s="172"/>
      <c r="P20" s="172"/>
      <c r="Q20" s="70"/>
      <c r="R20" s="3"/>
      <c r="S20" s="173" t="str">
        <f>IF(T19="","",T19*1.2)</f>
        <v/>
      </c>
      <c r="T20" s="173"/>
      <c r="U20" s="3"/>
      <c r="V20" s="3"/>
      <c r="W20" s="3"/>
      <c r="X20" s="3"/>
      <c r="Y20" s="4" t="str">
        <f>IF(SUM(V20,W20,X20)&gt;0,SUM(V20,W20,X20),"")</f>
        <v/>
      </c>
      <c r="Z20" s="3" t="str">
        <f>IF(AE19&gt;34,(IF(OR(S20="",V20="",W20="",X20=""),"",SUM(S20,V20,W20,X20))*AI19),IF(OR(S20="",V20="",W20="",X20=""),"", SUM(S20,V20,W20,X20)))</f>
        <v/>
      </c>
      <c r="AA20" s="3"/>
      <c r="AB20" s="66"/>
      <c r="AC20" s="71"/>
      <c r="AD20" s="6"/>
      <c r="AE20" s="61"/>
      <c r="AF20" s="62"/>
      <c r="AH20" s="63"/>
      <c r="AI20" s="63"/>
      <c r="AJ20" s="64"/>
    </row>
    <row r="21" spans="2:36" s="44" customFormat="1" ht="19.5" customHeight="1">
      <c r="B21" s="83"/>
      <c r="C21" s="84"/>
      <c r="D21" s="78"/>
      <c r="E21" s="84"/>
      <c r="F21" s="84"/>
      <c r="G21" s="85"/>
      <c r="H21" s="84"/>
      <c r="I21" s="86"/>
      <c r="J21" s="87"/>
      <c r="K21" s="74"/>
      <c r="L21" s="74"/>
      <c r="M21" s="74"/>
      <c r="N21" s="74"/>
      <c r="O21" s="74"/>
      <c r="P21" s="74"/>
      <c r="Q21" s="75" t="str">
        <f>IF(MAX(K21:M21)&gt;0,IF(MAX(K21:M21)&lt;0,0,TRUNC(MAX(K21:M21)/1)*1),"")</f>
        <v/>
      </c>
      <c r="R21" s="76" t="str">
        <f>IF(MAX(N21:P21)&gt;0,IF(MAX(N21:P21)&lt;0,0,TRUNC(MAX(N21:P21)/1)*1),"")</f>
        <v/>
      </c>
      <c r="S21" s="74" t="str">
        <f>IF(Q21="","",IF(R21="","",IF(SUM(Q21:R21)=0,"",SUM(Q21:R21))))</f>
        <v/>
      </c>
      <c r="T21" s="77" t="str">
        <f>IF(S21="","",IF(D21="","",IF((AD21="k"),IF(D21&gt;153.757,S21,IF(D21&lt;28,10^(0.0787004341*LOG10(28/153.757)^2)*S21,10^(0.787004341*LOG10(D21/153.757)^2)*S21)),IF(D21&gt;193.609,S21,IF(D21&lt;32,10^(0.722762521*LOG10(32/193.609)^2)*S21,10^(0.722762521*LOG10(D21/193.609)^2)*S21)))))</f>
        <v/>
      </c>
      <c r="U21" s="78" t="str">
        <f>IF(AF21=1,T21*AI21,"")</f>
        <v/>
      </c>
      <c r="V21" s="79"/>
      <c r="W21" s="79"/>
      <c r="X21" s="79"/>
      <c r="Y21" s="80"/>
      <c r="Z21" s="78"/>
      <c r="AA21" s="78"/>
      <c r="AB21" s="81"/>
      <c r="AC21" s="71">
        <f>U5</f>
        <v>46263</v>
      </c>
      <c r="AD21" s="60" t="b">
        <f>IF(ISNUMBER(FIND("M",E21)),"m",IF(ISNUMBER(FIND("K",E21)),"k"))</f>
        <v>0</v>
      </c>
      <c r="AE21" s="61">
        <f>IF(OR(G21="",AC21=""),0,(YEAR(AC21)-YEAR(G21)))</f>
        <v>0</v>
      </c>
      <c r="AF21" s="62">
        <f>IF(AE21&gt;34,1,0)</f>
        <v>0</v>
      </c>
      <c r="AG21" s="44" t="b">
        <f>IF(AF21=1,LOOKUP(AE21,'Meltzer-Faber'!A3:A63,'Meltzer-Faber'!B3:B63))</f>
        <v>0</v>
      </c>
      <c r="AH21" s="63" t="b">
        <f>IF(AF21=1,LOOKUP(AE21,'Meltzer-Faber'!A3:A63,'Meltzer-Faber'!C3:C63))</f>
        <v>0</v>
      </c>
      <c r="AI21" s="63" t="str">
        <f>IF(AD21="m",AG21,IF(AD21="k",AH21,""))</f>
        <v/>
      </c>
      <c r="AJ21" s="64" t="str">
        <f>IF(D21="","",IF(D21&gt;193.609,1,IF(D21&lt;32,10^(0.722762521*LOG10(32/193.609)^2),10^(0.722762521*LOG10(D21/193.609)^2))))</f>
        <v/>
      </c>
    </row>
    <row r="22" spans="2:36" s="44" customFormat="1" ht="19.5" customHeight="1">
      <c r="B22" s="82"/>
      <c r="C22" s="3"/>
      <c r="D22" s="3"/>
      <c r="E22" s="3"/>
      <c r="F22" s="66"/>
      <c r="G22" s="67"/>
      <c r="H22" s="68"/>
      <c r="I22" s="69"/>
      <c r="J22" s="69"/>
      <c r="K22" s="173"/>
      <c r="L22" s="173"/>
      <c r="M22" s="173"/>
      <c r="N22" s="172"/>
      <c r="O22" s="172"/>
      <c r="P22" s="172"/>
      <c r="Q22" s="70"/>
      <c r="R22" s="3"/>
      <c r="S22" s="173" t="str">
        <f>IF(T21="","",T21*1.2)</f>
        <v/>
      </c>
      <c r="T22" s="173"/>
      <c r="U22" s="3"/>
      <c r="V22" s="3"/>
      <c r="W22" s="3"/>
      <c r="X22" s="3"/>
      <c r="Y22" s="4" t="str">
        <f>IF(SUM(V22,W22,X22)&gt;0,SUM(V22,W22,X22),"")</f>
        <v/>
      </c>
      <c r="Z22" s="3" t="str">
        <f>IF(AE21&gt;34,(IF(OR(S22="",V22="",W22="",X22=""),"",SUM(S22,V22,W22,X22))*AI21),IF(OR(S22="",V22="",W22="",X22=""),"", SUM(S22,V22,W22,X22)))</f>
        <v/>
      </c>
      <c r="AA22" s="3"/>
      <c r="AB22" s="66"/>
      <c r="AC22" s="71"/>
      <c r="AD22" s="6"/>
      <c r="AE22" s="61"/>
      <c r="AF22" s="62"/>
      <c r="AH22" s="63"/>
      <c r="AI22" s="63"/>
      <c r="AJ22" s="64"/>
    </row>
    <row r="23" spans="2:36" s="44" customFormat="1" ht="19.5" customHeight="1">
      <c r="B23" s="83"/>
      <c r="C23" s="84"/>
      <c r="D23" s="78"/>
      <c r="E23" s="84"/>
      <c r="F23" s="84"/>
      <c r="G23" s="85"/>
      <c r="H23" s="84"/>
      <c r="I23" s="86"/>
      <c r="J23" s="87"/>
      <c r="K23" s="74"/>
      <c r="L23" s="74"/>
      <c r="M23" s="74"/>
      <c r="N23" s="74"/>
      <c r="O23" s="74"/>
      <c r="P23" s="74"/>
      <c r="Q23" s="75" t="str">
        <f>IF(MAX(K23:M23)&gt;0,IF(MAX(K23:M23)&lt;0,0,TRUNC(MAX(K23:M23)/1)*1),"")</f>
        <v/>
      </c>
      <c r="R23" s="76" t="str">
        <f>IF(MAX(N23:P23)&gt;0,IF(MAX(N23:P23)&lt;0,0,TRUNC(MAX(N23:P23)/1)*1),"")</f>
        <v/>
      </c>
      <c r="S23" s="74" t="str">
        <f>IF(Q23="","",IF(R23="","",IF(SUM(Q23:R23)=0,"",SUM(Q23:R23))))</f>
        <v/>
      </c>
      <c r="T23" s="77" t="str">
        <f>IF(S23="","",IF(D23="","",IF((AD23="k"),IF(D23&gt;153.757,S23,IF(C23&lt;28,10^(0.0787004341*LOG10(28/153.757)^2)*S23,10^(0.787004341*LOG10(D23/153.757)^2)*S23)),IF(D23&gt;193.609,S23,IF(D23&lt;32,10^(0.722762521*LOG10(32/193.609)^2)*S23,10^(0.722762521*LOG10(D23/193.609)^2)*S23)))))</f>
        <v/>
      </c>
      <c r="U23" s="78" t="str">
        <f>IF(AF23=1,T23*AI23,"")</f>
        <v/>
      </c>
      <c r="V23" s="79"/>
      <c r="W23" s="79"/>
      <c r="X23" s="79"/>
      <c r="Y23" s="80"/>
      <c r="Z23" s="78"/>
      <c r="AA23" s="78"/>
      <c r="AB23" s="81"/>
      <c r="AC23" s="71">
        <f>U5</f>
        <v>46263</v>
      </c>
      <c r="AD23" s="60" t="b">
        <f>IF(ISNUMBER(FIND("M",E23)),"m",IF(ISNUMBER(FIND("K",E23)),"k"))</f>
        <v>0</v>
      </c>
      <c r="AE23" s="92">
        <f>IF(OR(G23="",AC23=""),0,(YEAR(AC23)-YEAR(G23)))</f>
        <v>0</v>
      </c>
      <c r="AF23" s="62">
        <f>IF(AE23&gt;34,1,0)</f>
        <v>0</v>
      </c>
      <c r="AG23" s="44" t="b">
        <f>IF(AF23=1,LOOKUP(AE23,'Meltzer-Faber'!A3:A63,'Meltzer-Faber'!B3:B63))</f>
        <v>0</v>
      </c>
      <c r="AH23" s="63" t="b">
        <f>IF(AF23=1,LOOKUP(AE23,'Meltzer-Faber'!A3:A63,'Meltzer-Faber'!C3:C63))</f>
        <v>0</v>
      </c>
      <c r="AI23" s="63" t="str">
        <f>IF(AD23="m",AG23,IF(AD23="k",AH23,""))</f>
        <v/>
      </c>
      <c r="AJ23" s="64" t="str">
        <f>IF(D23="","",IF(D23&gt;193.609,1,IF(D23&lt;32,10^(0.722762521*LOG10(32/193.609)^2),10^(0.722762521*LOG10(D23/193.609)^2))))</f>
        <v/>
      </c>
    </row>
    <row r="24" spans="2:36" s="44" customFormat="1" ht="19.5" customHeight="1">
      <c r="B24" s="82"/>
      <c r="C24" s="3"/>
      <c r="D24" s="3"/>
      <c r="E24" s="3"/>
      <c r="F24" s="66"/>
      <c r="G24" s="67"/>
      <c r="H24" s="68"/>
      <c r="I24" s="69"/>
      <c r="J24" s="69"/>
      <c r="K24" s="173"/>
      <c r="L24" s="173"/>
      <c r="M24" s="173"/>
      <c r="N24" s="172"/>
      <c r="O24" s="172"/>
      <c r="P24" s="172"/>
      <c r="Q24" s="70"/>
      <c r="R24" s="3"/>
      <c r="S24" s="173" t="str">
        <f>IF(T23="","",T23*1.2)</f>
        <v/>
      </c>
      <c r="T24" s="173"/>
      <c r="U24" s="3"/>
      <c r="V24" s="3"/>
      <c r="W24" s="3"/>
      <c r="X24" s="3"/>
      <c r="Y24" s="4" t="str">
        <f>IF(SUM(V24,W24,X24)&gt;0,SUM(V24,W24,X24),"")</f>
        <v/>
      </c>
      <c r="Z24" s="3" t="str">
        <f>IF(AE23&gt;34,(IF(OR(S24="",V24="",W24="",X24=""),"",SUM(S24,V24,W24,X24))*AI23),IF(OR(S24="",V24="",W24="",X24=""),"", SUM(S24,V24,W24,X24)))</f>
        <v/>
      </c>
      <c r="AA24" s="3"/>
      <c r="AB24" s="66"/>
      <c r="AC24" s="71"/>
      <c r="AD24" s="6"/>
      <c r="AE24" s="61"/>
      <c r="AF24" s="62"/>
      <c r="AH24" s="63"/>
      <c r="AI24" s="63"/>
      <c r="AJ24" s="64"/>
    </row>
    <row r="25" spans="2:36" s="44" customFormat="1" ht="19.5" customHeight="1">
      <c r="B25" s="83"/>
      <c r="C25" s="84"/>
      <c r="D25" s="78"/>
      <c r="E25" s="84"/>
      <c r="F25" s="84"/>
      <c r="G25" s="85"/>
      <c r="H25" s="84"/>
      <c r="I25" s="86"/>
      <c r="J25" s="87"/>
      <c r="K25" s="74"/>
      <c r="L25" s="74"/>
      <c r="M25" s="74"/>
      <c r="N25" s="74"/>
      <c r="O25" s="74"/>
      <c r="P25" s="74"/>
      <c r="Q25" s="75" t="str">
        <f>IF(MAX(K25:M25)&gt;0,IF(MAX(K25:M25)&lt;0,0,TRUNC(MAX(K25:M25)/1)*1),"")</f>
        <v/>
      </c>
      <c r="R25" s="76" t="str">
        <f>IF(MAX(N25:P25)&gt;0,IF(MAX(N25:P25)&lt;0,0,TRUNC(MAX(N25:P25)/1)*1),"")</f>
        <v/>
      </c>
      <c r="S25" s="74" t="str">
        <f>IF(Q25="","",IF(R25="","",IF(SUM(Q25:R25)=0,"",SUM(Q25:R25))))</f>
        <v/>
      </c>
      <c r="T25" s="77" t="str">
        <f>IF(S25="","",IF(D25="","",IF((AD25="k"),IF(D25&gt;153.757,S25,IF(C25&lt;28,10^(0.0787004341*LOG10(28/153.757)^2)*S25,10^(0.787004341*LOG10(D25/153.757)^2)*S25)),IF(D25&gt;193.609,S25,IF(D25&lt;32,10^(0.722762521*LOG10(32/193.609)^2)*S25,10^(0.722762521*LOG10(D25/193.609)^2)*S25)))))</f>
        <v/>
      </c>
      <c r="U25" s="78" t="str">
        <f>IF(AF25=1,T25*AI25,"")</f>
        <v/>
      </c>
      <c r="V25" s="79"/>
      <c r="W25" s="79"/>
      <c r="X25" s="79"/>
      <c r="Y25" s="80"/>
      <c r="Z25" s="78"/>
      <c r="AA25" s="78"/>
      <c r="AB25" s="81"/>
      <c r="AC25" s="71">
        <f>U5</f>
        <v>46263</v>
      </c>
      <c r="AD25" s="60" t="b">
        <f>IF(ISNUMBER(FIND("M",E25)),"m",IF(ISNUMBER(FIND("K",E25)),"k"))</f>
        <v>0</v>
      </c>
      <c r="AE25" s="92">
        <f>IF(OR(G25="",AC25=""),0,(YEAR(AC25)-YEAR(G25)))</f>
        <v>0</v>
      </c>
      <c r="AF25" s="62">
        <f>IF(AE25&gt;34,1,0)</f>
        <v>0</v>
      </c>
      <c r="AG25" s="44" t="b">
        <f>IF(AF25=1,LOOKUP(AE25,'Meltzer-Faber'!A3:A63,'Meltzer-Faber'!B3:B63))</f>
        <v>0</v>
      </c>
      <c r="AH25" s="63" t="b">
        <f>IF(AF25=1,LOOKUP(AE25,'Meltzer-Faber'!A3:A63,'Meltzer-Faber'!C3:C63))</f>
        <v>0</v>
      </c>
      <c r="AI25" s="63" t="str">
        <f>IF(AD25="m",AG25,IF(AD25="k",AH25,""))</f>
        <v/>
      </c>
      <c r="AJ25" s="64" t="str">
        <f>IF(D25="","",IF(D25&gt;193.609,1,IF(D25&lt;32,10^(0.722762521*LOG10(32/193.609)^2),10^(0.722762521*LOG10(D25/193.609)^2))))</f>
        <v/>
      </c>
    </row>
    <row r="26" spans="2:36" s="44" customFormat="1" ht="19.5" customHeight="1">
      <c r="B26" s="82"/>
      <c r="C26" s="3"/>
      <c r="D26" s="3"/>
      <c r="E26" s="3"/>
      <c r="F26" s="66"/>
      <c r="G26" s="67"/>
      <c r="H26" s="68"/>
      <c r="I26" s="69"/>
      <c r="J26" s="69"/>
      <c r="K26" s="173"/>
      <c r="L26" s="173"/>
      <c r="M26" s="173"/>
      <c r="N26" s="172"/>
      <c r="O26" s="172"/>
      <c r="P26" s="172"/>
      <c r="Q26" s="70"/>
      <c r="R26" s="3"/>
      <c r="S26" s="173" t="str">
        <f>IF(T25="","",T25*1.2)</f>
        <v/>
      </c>
      <c r="T26" s="173"/>
      <c r="U26" s="3"/>
      <c r="V26" s="3"/>
      <c r="W26" s="3"/>
      <c r="X26" s="3"/>
      <c r="Y26" s="4" t="str">
        <f>IF(SUM(V26,W26,X26)&gt;0,SUM(V26,W26,X26),"")</f>
        <v/>
      </c>
      <c r="Z26" s="3" t="str">
        <f>IF(AE25&gt;34,(IF(OR(S26="",V26="",W26="",X26=""),"",SUM(S26,V26,W26,X26))*AI25),IF(OR(S26="",V26="",W26="",X26=""),"", SUM(S26,V26,W26,X26)))</f>
        <v/>
      </c>
      <c r="AA26" s="3"/>
      <c r="AB26" s="66"/>
      <c r="AC26" s="71"/>
      <c r="AD26" s="6"/>
      <c r="AE26" s="61"/>
      <c r="AF26" s="62"/>
      <c r="AH26" s="63"/>
      <c r="AI26" s="63"/>
      <c r="AJ26" s="64"/>
    </row>
    <row r="27" spans="2:36" s="44" customFormat="1" ht="19.5" customHeight="1">
      <c r="B27" s="83"/>
      <c r="C27" s="93"/>
      <c r="D27" s="78"/>
      <c r="E27" s="94"/>
      <c r="F27" s="95"/>
      <c r="G27" s="85"/>
      <c r="H27" s="84"/>
      <c r="I27" s="87"/>
      <c r="J27" s="87"/>
      <c r="K27" s="96"/>
      <c r="L27" s="97"/>
      <c r="M27" s="97"/>
      <c r="N27" s="97"/>
      <c r="O27" s="98"/>
      <c r="P27" s="98"/>
      <c r="Q27" s="75" t="str">
        <f>IF(MAX(K27:M27)&gt;0,IF(MAX(K27:M27)&lt;0,0,TRUNC(MAX(K27:M27)/1)*1),"")</f>
        <v/>
      </c>
      <c r="R27" s="76" t="str">
        <f>IF(MAX(N27:P27)&gt;0,IF(MAX(N27:P27)&lt;0,0,TRUNC(MAX(N27:P27)/1)*1),"")</f>
        <v/>
      </c>
      <c r="S27" s="74" t="str">
        <f>IF(Q27="","",IF(R27="","",IF(SUM(Q27:R27)=0,"",SUM(Q27:R27))))</f>
        <v/>
      </c>
      <c r="T27" s="77" t="str">
        <f>IF(S27="","",IF(D27="","",IF((AD27="k"),IF(D27&gt;153.757,S27,IF(C27&lt;28,10^(0.0787004341*LOG10(28/153.757)^2)*S27,10^(0.787004341*LOG10(D27/153.757)^2)*S27)),IF(D27&gt;193.609,S27,IF(D27&lt;32,10^(0.722762521*LOG10(32/193.609)^2)*S27,10^(0.722762521*LOG10(D27/193.609)^2)*S27)))))</f>
        <v/>
      </c>
      <c r="U27" s="78" t="str">
        <f>IF(AF27=1,T27*AI27,"")</f>
        <v/>
      </c>
      <c r="V27" s="79"/>
      <c r="W27" s="79"/>
      <c r="X27" s="79"/>
      <c r="Y27" s="80"/>
      <c r="Z27" s="78"/>
      <c r="AA27" s="78"/>
      <c r="AB27" s="81"/>
      <c r="AC27" s="71">
        <f>U5</f>
        <v>46263</v>
      </c>
      <c r="AD27" s="60" t="b">
        <f>IF(ISNUMBER(FIND("M",E27)),"m",IF(ISNUMBER(FIND("K",E27)),"k"))</f>
        <v>0</v>
      </c>
      <c r="AE27" s="92">
        <f>IF(OR(G27="",AC27=""),0,(YEAR(AC27)-YEAR(G27)))</f>
        <v>0</v>
      </c>
      <c r="AF27" s="62">
        <f>IF(AE27&gt;34,1,0)</f>
        <v>0</v>
      </c>
      <c r="AG27" s="44" t="b">
        <f>IF(AF27=1,LOOKUP(AE27,'Meltzer-Faber'!A3:A63,'Meltzer-Faber'!B3:B63))</f>
        <v>0</v>
      </c>
      <c r="AH27" s="63" t="b">
        <f>IF(AF27=1,LOOKUP(AE27,'Meltzer-Faber'!A3:A63,'Meltzer-Faber'!C3:C63))</f>
        <v>0</v>
      </c>
      <c r="AI27" s="63" t="str">
        <f>IF(AD27="m",AG27,IF(AD27="k",AH27,""))</f>
        <v/>
      </c>
      <c r="AJ27" s="64" t="str">
        <f>IF(D27="","",IF(D27&gt;193.609,1,IF(D27&lt;32,10^(0.722762521*LOG10(32/193.609)^2),10^(0.722762521*LOG10(D27/193.609)^2))))</f>
        <v/>
      </c>
    </row>
    <row r="28" spans="2:36" s="44" customFormat="1" ht="19.5" customHeight="1">
      <c r="B28" s="82"/>
      <c r="C28" s="99"/>
      <c r="D28" s="3"/>
      <c r="E28" s="66"/>
      <c r="F28" s="66"/>
      <c r="G28" s="67"/>
      <c r="H28" s="67"/>
      <c r="I28" s="69"/>
      <c r="J28" s="69"/>
      <c r="K28" s="172"/>
      <c r="L28" s="172"/>
      <c r="M28" s="172"/>
      <c r="N28" s="172"/>
      <c r="O28" s="172"/>
      <c r="P28" s="172"/>
      <c r="Q28" s="70"/>
      <c r="R28" s="3"/>
      <c r="S28" s="173" t="str">
        <f>IF(T27="","",T27*1.2)</f>
        <v/>
      </c>
      <c r="T28" s="173"/>
      <c r="U28" s="3"/>
      <c r="V28" s="3"/>
      <c r="W28" s="3"/>
      <c r="X28" s="3"/>
      <c r="Y28" s="4" t="str">
        <f>IF(SUM(V28,W28,X28)&gt;0,SUM(V28,W28,X28),"")</f>
        <v/>
      </c>
      <c r="Z28" s="3" t="str">
        <f>IF(AE27&gt;34,(IF(OR(S28="",V28="",W28="",X28=""),"",SUM(S28,V28,W28,X28))*AI27),IF(OR(S28="",V28="",W28="",X28=""),"", SUM(S28,V28,W28,X28)))</f>
        <v/>
      </c>
      <c r="AA28" s="3"/>
      <c r="AB28" s="66"/>
      <c r="AC28" s="71"/>
      <c r="AD28" s="6"/>
      <c r="AE28" s="61"/>
      <c r="AF28" s="62"/>
      <c r="AH28" s="63"/>
      <c r="AI28" s="63"/>
      <c r="AJ28" s="64"/>
    </row>
    <row r="29" spans="2:36" s="44" customFormat="1" ht="19.5" customHeight="1">
      <c r="B29" s="83"/>
      <c r="C29" s="93"/>
      <c r="D29" s="78"/>
      <c r="E29" s="94"/>
      <c r="F29" s="95"/>
      <c r="G29" s="85"/>
      <c r="H29" s="84"/>
      <c r="I29" s="87"/>
      <c r="J29" s="87"/>
      <c r="K29" s="96"/>
      <c r="L29" s="97"/>
      <c r="M29" s="97"/>
      <c r="N29" s="97"/>
      <c r="O29" s="98"/>
      <c r="P29" s="98"/>
      <c r="Q29" s="75" t="str">
        <f>IF(MAX(K29:M29)&gt;0,IF(MAX(K29:M29)&lt;0,0,TRUNC(MAX(K29:M29)/1)*1),"")</f>
        <v/>
      </c>
      <c r="R29" s="76" t="str">
        <f>IF(MAX(N29:P29)&gt;0,IF(MAX(N29:P29)&lt;0,0,TRUNC(MAX(N29:P29)/1)*1),"")</f>
        <v/>
      </c>
      <c r="S29" s="74" t="str">
        <f>IF(Q29="","",IF(R29="","",IF(SUM(Q29:R29)=0,"",SUM(Q29:R29))))</f>
        <v/>
      </c>
      <c r="T29" s="77" t="str">
        <f>IF(S29="","",IF(D29="","",IF((AD29="k"),IF(D29&gt;153.757,S29,IF(C29&lt;28,10^(0.0787004341*LOG10(28/153.757)^2)*S29,10^(0.787004341*LOG10(D29/153.757)^2)*S29)),IF(D29&gt;193.609,S29,IF(D29&lt;32,10^(0.722762521*LOG10(32/193.609)^2)*S29,10^(0.722762521*LOG10(D29/193.609)^2)*S29)))))</f>
        <v/>
      </c>
      <c r="U29" s="78" t="str">
        <f>IF(AF29=1,T29*AI29,"")</f>
        <v/>
      </c>
      <c r="V29" s="79"/>
      <c r="W29" s="79"/>
      <c r="X29" s="79"/>
      <c r="Y29" s="80"/>
      <c r="Z29" s="78"/>
      <c r="AA29" s="78"/>
      <c r="AB29" s="81"/>
      <c r="AC29" s="71">
        <f>U5</f>
        <v>46263</v>
      </c>
      <c r="AD29" s="60" t="b">
        <f>IF(ISNUMBER(FIND("M",E29)),"m",IF(ISNUMBER(FIND("K",E29)),"k"))</f>
        <v>0</v>
      </c>
      <c r="AE29" s="92">
        <f>IF(OR(G29="",AC29=""),0,(YEAR(AC29)-YEAR(G29)))</f>
        <v>0</v>
      </c>
      <c r="AF29" s="62">
        <f>IF(AE29&gt;34,1,0)</f>
        <v>0</v>
      </c>
      <c r="AG29" s="44" t="b">
        <f>IF(AF29=1,LOOKUP(AE29,'Meltzer-Faber'!A3:A63,'Meltzer-Faber'!B3:B63))</f>
        <v>0</v>
      </c>
      <c r="AH29" s="63" t="b">
        <f>IF(AF29=1,LOOKUP(AE29,'Meltzer-Faber'!A3:A63,'Meltzer-Faber'!C3:C63))</f>
        <v>0</v>
      </c>
      <c r="AI29" s="63" t="str">
        <f>IF(AD29="m",AG29,IF(AD29="k",AH29,""))</f>
        <v/>
      </c>
      <c r="AJ29" s="64" t="str">
        <f>IF(D29="","",IF(D29&gt;193.609,1,IF(D29&lt;32,10^(0.722762521*LOG10(32/193.609)^2),10^(0.722762521*LOG10(D29/193.609)^2))))</f>
        <v/>
      </c>
    </row>
    <row r="30" spans="2:36" s="44" customFormat="1" ht="19.5" customHeight="1">
      <c r="B30" s="82"/>
      <c r="C30" s="99"/>
      <c r="D30" s="3"/>
      <c r="E30" s="66"/>
      <c r="F30" s="66"/>
      <c r="G30" s="67"/>
      <c r="H30" s="67"/>
      <c r="I30" s="69"/>
      <c r="J30" s="69"/>
      <c r="K30" s="172"/>
      <c r="L30" s="172"/>
      <c r="M30" s="172"/>
      <c r="N30" s="172"/>
      <c r="O30" s="172"/>
      <c r="P30" s="172"/>
      <c r="Q30" s="70"/>
      <c r="R30" s="3"/>
      <c r="S30" s="173" t="str">
        <f>IF(T29="","",T29*1.2)</f>
        <v/>
      </c>
      <c r="T30" s="173"/>
      <c r="U30" s="3"/>
      <c r="V30" s="3"/>
      <c r="W30" s="3"/>
      <c r="X30" s="3"/>
      <c r="Y30" s="4" t="str">
        <f>IF(SUM(V30,W30,X30)&gt;0,SUM(V30,W30,X30),"")</f>
        <v/>
      </c>
      <c r="Z30" s="3" t="str">
        <f>IF(AE29&gt;34,(IF(OR(S30="",V30="",W30="",X30=""),"",SUM(S30,V30,W30,X30))*AI29),IF(OR(S30="",V30="",W30="",X30=""),"", SUM(S30,V30,W30,X30)))</f>
        <v/>
      </c>
      <c r="AA30" s="3"/>
      <c r="AB30" s="66"/>
      <c r="AC30" s="71"/>
      <c r="AD30" s="6"/>
      <c r="AE30" s="61"/>
      <c r="AF30" s="62"/>
      <c r="AH30" s="63"/>
      <c r="AI30" s="63"/>
      <c r="AJ30" s="64"/>
    </row>
    <row r="31" spans="2:36" s="44" customFormat="1" ht="19.5" customHeight="1">
      <c r="B31" s="83"/>
      <c r="C31" s="93"/>
      <c r="D31" s="78"/>
      <c r="E31" s="94"/>
      <c r="F31" s="95"/>
      <c r="G31" s="85"/>
      <c r="H31" s="84"/>
      <c r="I31" s="87"/>
      <c r="J31" s="87"/>
      <c r="K31" s="96"/>
      <c r="L31" s="97"/>
      <c r="M31" s="97"/>
      <c r="N31" s="97"/>
      <c r="O31" s="98"/>
      <c r="P31" s="98"/>
      <c r="Q31" s="75" t="str">
        <f>IF(MAX(K31:M31)&gt;0,IF(MAX(K31:M31)&lt;0,0,TRUNC(MAX(K31:M31)/1)*1),"")</f>
        <v/>
      </c>
      <c r="R31" s="76" t="str">
        <f>IF(MAX(N31:P31)&gt;0,IF(MAX(N31:P31)&lt;0,0,TRUNC(MAX(N31:P31)/1)*1),"")</f>
        <v/>
      </c>
      <c r="S31" s="74" t="str">
        <f>IF(Q31="","",IF(R31="","",IF(SUM(Q31:R31)=0,"",SUM(Q31:R31))))</f>
        <v/>
      </c>
      <c r="T31" s="77" t="str">
        <f>IF(S31="","",IF(D31="","",IF((AD31="k"),IF(D31&gt;153.757,S31,IF(C31&lt;28,10^(0.0787004341*LOG10(28/153.757)^2)*S31,10^(0.787004341*LOG10(D31/153.757)^2)*S31)),IF(D31&gt;193.609,S31,IF(D31&lt;32,10^(0.722762521*LOG10(32/193.609)^2)*S31,10^(0.722762521*LOG10(D31/193.609)^2)*S31)))))</f>
        <v/>
      </c>
      <c r="U31" s="78" t="str">
        <f>IF(AF31=1,T31*AI31,"")</f>
        <v/>
      </c>
      <c r="V31" s="79"/>
      <c r="W31" s="79"/>
      <c r="X31" s="79"/>
      <c r="Y31" s="80"/>
      <c r="Z31" s="78"/>
      <c r="AA31" s="78"/>
      <c r="AB31" s="81"/>
      <c r="AC31" s="71">
        <f>U5</f>
        <v>46263</v>
      </c>
      <c r="AD31" s="60" t="b">
        <f>IF(ISNUMBER(FIND("M",E31)),"m",IF(ISNUMBER(FIND("K",E31)),"k"))</f>
        <v>0</v>
      </c>
      <c r="AE31" s="92">
        <f>IF(OR(G31="",AC31=""),0,(YEAR(AC31)-YEAR(G31)))</f>
        <v>0</v>
      </c>
      <c r="AF31" s="62">
        <f>IF(AE31&gt;34,1,0)</f>
        <v>0</v>
      </c>
      <c r="AG31" s="44" t="b">
        <f>IF(AF31=1,LOOKUP(AE31,'Meltzer-Faber'!A3:A63,'Meltzer-Faber'!B3:B63))</f>
        <v>0</v>
      </c>
      <c r="AH31" s="63" t="b">
        <f>IF(AF31=1,LOOKUP(AE31,'Meltzer-Faber'!A3:A63,'Meltzer-Faber'!C3:C63))</f>
        <v>0</v>
      </c>
      <c r="AI31" s="63" t="str">
        <f>IF(AD31="m",AG31,IF(AD31="k",AH31,""))</f>
        <v/>
      </c>
      <c r="AJ31" s="64" t="str">
        <f>IF(D31="","",IF(D31&gt;193.609,1,IF(D31&lt;32,10^(0.722762521*LOG10(32/193.609)^2),10^(0.722762521*LOG10(D31/193.609)^2))))</f>
        <v/>
      </c>
    </row>
    <row r="32" spans="2:36" s="44" customFormat="1" ht="19.5" customHeight="1">
      <c r="B32" s="82"/>
      <c r="C32" s="99"/>
      <c r="D32" s="3"/>
      <c r="E32" s="66"/>
      <c r="F32" s="66"/>
      <c r="G32" s="67"/>
      <c r="H32" s="67"/>
      <c r="I32" s="69"/>
      <c r="J32" s="69"/>
      <c r="K32" s="172"/>
      <c r="L32" s="172"/>
      <c r="M32" s="172"/>
      <c r="N32" s="172"/>
      <c r="O32" s="172"/>
      <c r="P32" s="172"/>
      <c r="Q32" s="70"/>
      <c r="R32" s="3"/>
      <c r="S32" s="173" t="str">
        <f>IF(T31="","",T31*1.2)</f>
        <v/>
      </c>
      <c r="T32" s="173"/>
      <c r="U32" s="3"/>
      <c r="V32" s="3" t="str">
        <f>IF(V31&gt;0,V31*20,"")</f>
        <v/>
      </c>
      <c r="W32" s="3" t="str">
        <f>IF(W31="","",(W31*10)*AJ31)</f>
        <v/>
      </c>
      <c r="X32" s="3" t="str">
        <f>IF(ROUNDUP(X31,1)&gt;0,IF((80+(8-ROUNDUP(X31,1))*40)&lt;0,0,80+(8-ROUNDUP(X31,1))*40),"")</f>
        <v/>
      </c>
      <c r="Y32" s="4" t="str">
        <f>IF(SUM(V32,W32,X32)&gt;0,SUM(V32,W32,X32),"")</f>
        <v/>
      </c>
      <c r="Z32" s="3" t="str">
        <f>IF(AE31&gt;34,(IF(OR(S32="",V32="",W32="",X32=""),"",SUM(S32,V32,W32,X32))*AI31),IF(OR(S32="",V32="",W32="",X32=""),"", SUM(S32,V32,W32,X32)))</f>
        <v/>
      </c>
      <c r="AA32" s="3"/>
      <c r="AB32" s="66"/>
      <c r="AC32" s="71"/>
      <c r="AD32" s="6"/>
      <c r="AE32" s="61"/>
      <c r="AF32" s="62"/>
      <c r="AH32" s="63"/>
      <c r="AI32" s="63"/>
      <c r="AJ32" s="64"/>
    </row>
    <row r="33" spans="2:35" s="114" customFormat="1" ht="18.75" customHeight="1">
      <c r="D33" s="115"/>
      <c r="E33" s="116"/>
      <c r="F33" s="116"/>
      <c r="G33" s="116"/>
      <c r="H33" s="117"/>
      <c r="K33" s="118"/>
      <c r="L33" s="119"/>
      <c r="M33" s="118"/>
      <c r="N33" s="118" t="s">
        <v>101</v>
      </c>
      <c r="O33" s="118"/>
      <c r="P33" s="118"/>
      <c r="Q33" s="116"/>
      <c r="R33" s="116"/>
      <c r="S33" s="116"/>
      <c r="T33" s="120"/>
      <c r="U33" s="120"/>
      <c r="V33" s="120"/>
      <c r="W33" s="120"/>
      <c r="X33" s="120"/>
      <c r="Y33" s="120"/>
      <c r="Z33" s="120"/>
      <c r="AA33" s="120"/>
      <c r="AB33" s="120"/>
      <c r="AC33" s="6"/>
      <c r="AD33" s="121"/>
      <c r="AE33" s="122">
        <f>(YEAR(AC33)-YEAR(G33))</f>
        <v>0</v>
      </c>
      <c r="AF33" s="62">
        <f>IF(AE35&gt;34,1,0)</f>
        <v>0</v>
      </c>
      <c r="AH33" s="117"/>
      <c r="AI33" s="117"/>
    </row>
    <row r="34" spans="2:35" s="114" customFormat="1" ht="21" customHeight="1">
      <c r="D34" s="115"/>
      <c r="E34" s="116"/>
      <c r="F34" s="116"/>
      <c r="G34" s="116"/>
      <c r="H34" s="117"/>
      <c r="K34" s="118"/>
      <c r="L34" s="119"/>
      <c r="M34" s="118"/>
      <c r="N34" s="118"/>
      <c r="O34" s="118"/>
      <c r="P34" s="118"/>
      <c r="Q34" s="116"/>
      <c r="R34" s="116"/>
      <c r="S34" s="116"/>
      <c r="T34" s="120"/>
      <c r="U34" s="120"/>
      <c r="V34" s="120"/>
      <c r="W34" s="120"/>
      <c r="X34" s="120"/>
      <c r="Y34" s="120"/>
      <c r="Z34" s="120"/>
      <c r="AA34" s="120"/>
      <c r="AB34" s="120"/>
      <c r="AC34" s="6"/>
      <c r="AD34" s="121"/>
      <c r="AE34" s="122"/>
      <c r="AF34" s="62"/>
      <c r="AH34" s="117"/>
      <c r="AI34" s="117"/>
    </row>
    <row r="35" spans="2:35" ht="22.5" customHeight="1">
      <c r="B35" s="166" t="s">
        <v>102</v>
      </c>
      <c r="C35" s="166"/>
      <c r="D35" s="123" t="s">
        <v>14</v>
      </c>
      <c r="E35" s="166" t="s">
        <v>21</v>
      </c>
      <c r="F35" s="166"/>
      <c r="G35" s="166"/>
      <c r="H35" s="166"/>
      <c r="I35" s="2" t="s">
        <v>103</v>
      </c>
      <c r="J35" s="124"/>
      <c r="K35" s="166" t="s">
        <v>102</v>
      </c>
      <c r="L35" s="166"/>
      <c r="M35" s="166"/>
      <c r="N35" s="1" t="s">
        <v>14</v>
      </c>
      <c r="O35" s="167" t="s">
        <v>21</v>
      </c>
      <c r="P35" s="167"/>
      <c r="Q35" s="167"/>
      <c r="R35" s="167"/>
      <c r="S35" s="167" t="s">
        <v>103</v>
      </c>
      <c r="T35" s="167"/>
      <c r="U35" s="12"/>
      <c r="V35" s="12"/>
      <c r="W35" s="12"/>
      <c r="X35" s="12"/>
      <c r="Y35" s="12"/>
      <c r="Z35" s="12"/>
      <c r="AA35" s="12"/>
      <c r="AB35" s="12"/>
      <c r="AF35" s="6"/>
      <c r="AH35" s="125"/>
      <c r="AI35" s="125"/>
    </row>
    <row r="36" spans="2:35" s="16" customFormat="1" ht="19.5" customHeight="1">
      <c r="B36" s="168" t="s">
        <v>104</v>
      </c>
      <c r="C36" s="168"/>
      <c r="D36" s="126" t="s">
        <v>105</v>
      </c>
      <c r="E36" s="169" t="s">
        <v>106</v>
      </c>
      <c r="F36" s="169"/>
      <c r="G36" s="169"/>
      <c r="H36" s="169"/>
      <c r="I36" s="127" t="s">
        <v>107</v>
      </c>
      <c r="J36" s="8"/>
      <c r="K36" s="168" t="s">
        <v>108</v>
      </c>
      <c r="L36" s="168"/>
      <c r="M36" s="168"/>
      <c r="N36" s="128" t="s">
        <v>109</v>
      </c>
      <c r="O36" s="170" t="s">
        <v>110</v>
      </c>
      <c r="P36" s="170"/>
      <c r="Q36" s="170"/>
      <c r="R36" s="170"/>
      <c r="S36" s="171" t="s">
        <v>96</v>
      </c>
      <c r="T36" s="171"/>
      <c r="AF36" s="6"/>
      <c r="AH36" s="21"/>
      <c r="AI36" s="21"/>
    </row>
    <row r="37" spans="2:35" s="16" customFormat="1" ht="21" customHeight="1">
      <c r="B37" s="162" t="s">
        <v>111</v>
      </c>
      <c r="C37" s="162"/>
      <c r="D37" s="129" t="s">
        <v>112</v>
      </c>
      <c r="E37" s="163" t="s">
        <v>113</v>
      </c>
      <c r="F37" s="163"/>
      <c r="G37" s="163"/>
      <c r="H37" s="163"/>
      <c r="I37" s="130" t="s">
        <v>114</v>
      </c>
      <c r="J37" s="8"/>
      <c r="K37" s="162" t="s">
        <v>115</v>
      </c>
      <c r="L37" s="162"/>
      <c r="M37" s="162"/>
      <c r="N37" s="131" t="s">
        <v>116</v>
      </c>
      <c r="O37" s="164" t="s">
        <v>117</v>
      </c>
      <c r="P37" s="164"/>
      <c r="Q37" s="164"/>
      <c r="R37" s="164"/>
      <c r="S37" s="165" t="s">
        <v>54</v>
      </c>
      <c r="T37" s="165"/>
      <c r="AH37" s="21"/>
      <c r="AI37" s="21"/>
    </row>
    <row r="38" spans="2:35" s="16" customFormat="1" ht="18.75" customHeight="1">
      <c r="B38" s="162" t="s">
        <v>111</v>
      </c>
      <c r="C38" s="162"/>
      <c r="D38" s="129" t="s">
        <v>118</v>
      </c>
      <c r="E38" s="163" t="s">
        <v>119</v>
      </c>
      <c r="F38" s="163"/>
      <c r="G38" s="163"/>
      <c r="H38" s="163"/>
      <c r="I38" s="130" t="s">
        <v>96</v>
      </c>
      <c r="J38" s="8"/>
      <c r="K38" s="162" t="s">
        <v>120</v>
      </c>
      <c r="L38" s="162"/>
      <c r="M38" s="162"/>
      <c r="N38" s="131"/>
      <c r="O38" s="164"/>
      <c r="P38" s="164"/>
      <c r="Q38" s="164"/>
      <c r="R38" s="164"/>
      <c r="S38" s="165"/>
      <c r="T38" s="165"/>
      <c r="V38" s="16" t="s">
        <v>121</v>
      </c>
      <c r="AH38" s="21"/>
      <c r="AI38" s="21"/>
    </row>
    <row r="39" spans="2:35" s="16" customFormat="1" ht="21" customHeight="1">
      <c r="B39" s="162" t="s">
        <v>111</v>
      </c>
      <c r="C39" s="162"/>
      <c r="D39" s="129" t="s">
        <v>122</v>
      </c>
      <c r="E39" s="163" t="s">
        <v>123</v>
      </c>
      <c r="F39" s="163"/>
      <c r="G39" s="163"/>
      <c r="H39" s="163"/>
      <c r="I39" s="130" t="s">
        <v>124</v>
      </c>
      <c r="J39" s="8"/>
      <c r="K39" s="162" t="s">
        <v>125</v>
      </c>
      <c r="L39" s="162"/>
      <c r="M39" s="162"/>
      <c r="N39" s="131"/>
      <c r="O39" s="164"/>
      <c r="P39" s="164"/>
      <c r="Q39" s="164"/>
      <c r="R39" s="164"/>
      <c r="S39" s="165"/>
      <c r="T39" s="165"/>
      <c r="AD39" s="16" t="s">
        <v>101</v>
      </c>
      <c r="AH39" s="21"/>
      <c r="AI39" s="21"/>
    </row>
    <row r="40" spans="2:35" s="16" customFormat="1" ht="19.5" customHeight="1">
      <c r="B40" s="162" t="s">
        <v>111</v>
      </c>
      <c r="C40" s="162"/>
      <c r="D40" s="129"/>
      <c r="E40" s="163"/>
      <c r="F40" s="163"/>
      <c r="G40" s="163"/>
      <c r="H40" s="163"/>
      <c r="I40" s="130"/>
      <c r="J40" s="8"/>
      <c r="K40" s="162" t="s">
        <v>126</v>
      </c>
      <c r="L40" s="162"/>
      <c r="M40" s="162"/>
      <c r="N40" s="131"/>
      <c r="O40" s="164"/>
      <c r="P40" s="164"/>
      <c r="Q40" s="164"/>
      <c r="R40" s="164"/>
      <c r="S40" s="165"/>
      <c r="T40" s="165"/>
      <c r="AH40" s="21"/>
      <c r="AI40" s="21"/>
    </row>
    <row r="41" spans="2:35" ht="18.75" customHeight="1">
      <c r="B41" s="162" t="s">
        <v>111</v>
      </c>
      <c r="C41" s="162"/>
      <c r="D41" s="129"/>
      <c r="E41" s="163"/>
      <c r="F41" s="163"/>
      <c r="G41" s="163"/>
      <c r="H41" s="163"/>
      <c r="I41" s="130"/>
      <c r="J41" s="5"/>
      <c r="K41" s="162" t="s">
        <v>126</v>
      </c>
      <c r="L41" s="162"/>
      <c r="M41" s="162"/>
      <c r="N41" s="131"/>
      <c r="O41" s="164"/>
      <c r="P41" s="164"/>
      <c r="Q41" s="164"/>
      <c r="R41" s="164"/>
      <c r="S41" s="165"/>
      <c r="T41" s="165"/>
      <c r="U41" s="5"/>
      <c r="V41" s="5"/>
      <c r="W41" s="5"/>
      <c r="X41" s="5"/>
      <c r="Y41" s="5"/>
      <c r="Z41" s="5"/>
      <c r="AA41" s="5"/>
      <c r="AB41" s="5"/>
    </row>
    <row r="42" spans="2:35" ht="19.5" customHeight="1">
      <c r="B42" s="162" t="s">
        <v>127</v>
      </c>
      <c r="C42" s="162"/>
      <c r="D42" s="129" t="s">
        <v>128</v>
      </c>
      <c r="E42" s="163" t="s">
        <v>129</v>
      </c>
      <c r="F42" s="163"/>
      <c r="G42" s="163"/>
      <c r="H42" s="163"/>
      <c r="I42" s="130" t="s">
        <v>92</v>
      </c>
      <c r="J42" s="5"/>
      <c r="K42" s="162" t="s">
        <v>126</v>
      </c>
      <c r="L42" s="162"/>
      <c r="M42" s="162"/>
      <c r="N42" s="131"/>
      <c r="O42" s="164"/>
      <c r="P42" s="164"/>
      <c r="Q42" s="164"/>
      <c r="R42" s="164"/>
      <c r="S42" s="165"/>
      <c r="T42" s="165"/>
      <c r="U42" s="5"/>
      <c r="V42" s="5"/>
      <c r="W42" s="5"/>
      <c r="X42" s="5"/>
      <c r="Y42" s="5"/>
      <c r="Z42" s="5"/>
      <c r="AA42" s="5"/>
      <c r="AB42" s="5"/>
    </row>
    <row r="43" spans="2:35" ht="19.5" customHeight="1">
      <c r="B43" s="156"/>
      <c r="C43" s="156"/>
      <c r="D43" s="132"/>
      <c r="E43" s="157"/>
      <c r="F43" s="157"/>
      <c r="G43" s="157"/>
      <c r="H43" s="157"/>
      <c r="I43" s="133"/>
      <c r="J43" s="5"/>
      <c r="K43" s="156" t="s">
        <v>126</v>
      </c>
      <c r="L43" s="156"/>
      <c r="M43" s="156"/>
      <c r="N43" s="134"/>
      <c r="O43" s="158"/>
      <c r="P43" s="158"/>
      <c r="Q43" s="158"/>
      <c r="R43" s="158"/>
      <c r="S43" s="159"/>
      <c r="T43" s="159"/>
      <c r="U43" s="5"/>
      <c r="V43" s="5"/>
      <c r="W43" s="5"/>
      <c r="X43" s="5"/>
      <c r="Y43" s="5"/>
      <c r="Z43" s="5"/>
      <c r="AA43" s="5"/>
      <c r="AB43" s="5"/>
    </row>
    <row r="44" spans="2:35" ht="18.75" customHeight="1">
      <c r="B44" s="160"/>
      <c r="C44" s="160"/>
      <c r="D44" s="161"/>
      <c r="E44" s="161"/>
      <c r="F44" s="135"/>
      <c r="G44" s="161"/>
      <c r="H44" s="161"/>
      <c r="I44" s="161"/>
      <c r="J44" s="5"/>
      <c r="K44" s="161"/>
      <c r="L44" s="161"/>
      <c r="M44" s="161"/>
      <c r="N44" s="161"/>
      <c r="O44" s="161"/>
      <c r="P44" s="161"/>
      <c r="Q44" s="161"/>
      <c r="R44" s="161"/>
      <c r="S44" s="161"/>
      <c r="T44" s="161"/>
      <c r="U44" s="5"/>
      <c r="V44" s="5"/>
      <c r="W44" s="5"/>
      <c r="X44" s="5"/>
      <c r="Y44" s="5"/>
      <c r="Z44" s="5"/>
      <c r="AA44" s="5"/>
      <c r="AB44" s="5"/>
    </row>
    <row r="45" spans="2:35" ht="18" customHeight="1">
      <c r="B45" s="153" t="s">
        <v>130</v>
      </c>
      <c r="C45" s="153"/>
      <c r="D45" s="153"/>
      <c r="E45" s="153"/>
      <c r="F45" s="153"/>
      <c r="G45" s="153"/>
      <c r="H45" s="153"/>
      <c r="I45" s="153"/>
      <c r="J45" s="153"/>
      <c r="K45" s="153"/>
      <c r="L45" s="153"/>
      <c r="M45" s="153"/>
      <c r="N45" s="153"/>
      <c r="O45" s="153"/>
      <c r="P45" s="153"/>
      <c r="Q45" s="153"/>
      <c r="R45" s="153"/>
      <c r="S45" s="153"/>
      <c r="T45" s="153"/>
      <c r="U45" s="5"/>
      <c r="V45" s="5"/>
      <c r="W45" s="5"/>
      <c r="X45" s="5"/>
      <c r="Y45" s="5"/>
      <c r="Z45" s="5"/>
      <c r="AA45" s="5"/>
      <c r="AB45" s="5"/>
    </row>
    <row r="46" spans="2:35" ht="18" customHeight="1">
      <c r="B46" s="154"/>
      <c r="C46" s="154"/>
      <c r="D46" s="154"/>
      <c r="E46" s="154"/>
      <c r="F46" s="154"/>
      <c r="G46" s="154"/>
      <c r="H46" s="154"/>
      <c r="I46" s="154"/>
      <c r="J46" s="154"/>
      <c r="K46" s="154"/>
      <c r="L46" s="154"/>
      <c r="M46" s="154"/>
      <c r="N46" s="154"/>
      <c r="O46" s="154"/>
      <c r="P46" s="154"/>
      <c r="Q46" s="154"/>
      <c r="R46" s="154"/>
      <c r="S46" s="154"/>
      <c r="T46" s="154"/>
      <c r="U46" s="5"/>
      <c r="V46" s="5"/>
      <c r="W46" s="5"/>
      <c r="X46" s="5"/>
      <c r="Y46" s="5"/>
      <c r="Z46" s="5"/>
      <c r="AA46" s="5"/>
      <c r="AB46" s="5"/>
    </row>
    <row r="47" spans="2:35" ht="13.5" customHeight="1">
      <c r="B47" s="6"/>
      <c r="D47" s="136"/>
      <c r="E47" s="16"/>
      <c r="F47" s="16"/>
      <c r="G47" s="136"/>
      <c r="H47" s="16"/>
      <c r="I47" s="124"/>
      <c r="J47" s="16"/>
      <c r="K47" s="16"/>
      <c r="L47" s="16"/>
      <c r="M47" s="16"/>
      <c r="N47" s="16"/>
      <c r="O47" s="16"/>
      <c r="P47" s="16"/>
      <c r="Q47" s="16"/>
      <c r="R47" s="16"/>
      <c r="S47" s="16"/>
      <c r="T47" s="16"/>
      <c r="U47" s="16"/>
      <c r="V47" s="16"/>
      <c r="W47" s="16"/>
      <c r="X47" s="16"/>
      <c r="Y47" s="16"/>
      <c r="Z47" s="16"/>
      <c r="AA47" s="16"/>
    </row>
    <row r="48" spans="2:35" ht="13.5" customHeight="1">
      <c r="B48" s="137"/>
      <c r="C48" s="137"/>
      <c r="D48" s="138"/>
      <c r="E48" s="139"/>
      <c r="F48" s="139"/>
      <c r="G48" s="140"/>
      <c r="H48" s="141"/>
      <c r="I48" s="5"/>
      <c r="J48" s="16"/>
      <c r="K48" s="16"/>
      <c r="L48" s="16"/>
      <c r="M48" s="16"/>
      <c r="N48" s="16"/>
      <c r="O48" s="16"/>
      <c r="P48" s="16"/>
      <c r="Q48" s="16"/>
      <c r="R48" s="16"/>
      <c r="S48" s="16"/>
      <c r="T48" s="16"/>
      <c r="U48" s="16"/>
      <c r="V48" s="16"/>
      <c r="W48" s="16"/>
      <c r="X48" s="16"/>
      <c r="Y48" s="16"/>
      <c r="Z48" s="16"/>
      <c r="AA48" s="16"/>
    </row>
    <row r="49" spans="5:7" ht="13"/>
    <row r="50" spans="5:7" ht="12.75" customHeight="1">
      <c r="E50" s="155"/>
      <c r="F50" s="155"/>
      <c r="G50" s="155"/>
    </row>
    <row r="51" spans="5:7" ht="13"/>
    <row r="52" spans="5:7" ht="13"/>
    <row r="53" spans="5:7" ht="13"/>
    <row r="54" spans="5:7" ht="13"/>
    <row r="55" spans="5:7" ht="13"/>
    <row r="56" spans="5:7" ht="13"/>
    <row r="57" spans="5:7" ht="13"/>
    <row r="58" spans="5:7" ht="13"/>
    <row r="59" spans="5:7" ht="13"/>
    <row r="60" spans="5:7" ht="13"/>
    <row r="61" spans="5:7" ht="13"/>
    <row r="62" spans="5:7" ht="13"/>
    <row r="63" spans="5:7" ht="13"/>
    <row r="64" spans="5:7" ht="13"/>
    <row r="65" ht="13"/>
    <row r="66" ht="13"/>
    <row r="67" ht="13"/>
    <row r="68" ht="13"/>
    <row r="69" ht="13"/>
    <row r="70" ht="13"/>
    <row r="71" ht="13"/>
    <row r="72" ht="13"/>
    <row r="73" ht="13"/>
    <row r="74" ht="13"/>
    <row r="75" ht="13"/>
    <row r="76" ht="13"/>
    <row r="77" ht="13"/>
    <row r="78" ht="13"/>
    <row r="79" ht="13"/>
    <row r="80" ht="13"/>
  </sheetData>
  <mergeCells count="102">
    <mergeCell ref="G2:R2"/>
    <mergeCell ref="G3:R3"/>
    <mergeCell ref="D5:I5"/>
    <mergeCell ref="K5:N5"/>
    <mergeCell ref="P5:S5"/>
    <mergeCell ref="U5:V5"/>
    <mergeCell ref="AJ6:AJ7"/>
    <mergeCell ref="B7:B8"/>
    <mergeCell ref="C7:C8"/>
    <mergeCell ref="D7:D8"/>
    <mergeCell ref="E7:E8"/>
    <mergeCell ref="F7:F8"/>
    <mergeCell ref="K10:M10"/>
    <mergeCell ref="N10:P10"/>
    <mergeCell ref="S10:T10"/>
    <mergeCell ref="K12:M12"/>
    <mergeCell ref="N12:P12"/>
    <mergeCell ref="S12:T12"/>
    <mergeCell ref="K14:M14"/>
    <mergeCell ref="N14:P14"/>
    <mergeCell ref="S14:T14"/>
    <mergeCell ref="K16:M16"/>
    <mergeCell ref="N16:P16"/>
    <mergeCell ref="S16:T16"/>
    <mergeCell ref="K18:M18"/>
    <mergeCell ref="N18:P18"/>
    <mergeCell ref="S18:T18"/>
    <mergeCell ref="K20:M20"/>
    <mergeCell ref="N20:P20"/>
    <mergeCell ref="S20:T20"/>
    <mergeCell ref="K22:M22"/>
    <mergeCell ref="N22:P22"/>
    <mergeCell ref="S22:T22"/>
    <mergeCell ref="K24:M24"/>
    <mergeCell ref="N24:P24"/>
    <mergeCell ref="S24:T24"/>
    <mergeCell ref="K26:M26"/>
    <mergeCell ref="N26:P26"/>
    <mergeCell ref="S26:T26"/>
    <mergeCell ref="K28:M28"/>
    <mergeCell ref="N28:P28"/>
    <mergeCell ref="S28:T28"/>
    <mergeCell ref="K30:M30"/>
    <mergeCell ref="N30:P30"/>
    <mergeCell ref="S30:T30"/>
    <mergeCell ref="K32:M32"/>
    <mergeCell ref="N32:P32"/>
    <mergeCell ref="S32:T32"/>
    <mergeCell ref="B35:C35"/>
    <mergeCell ref="E35:H35"/>
    <mergeCell ref="K35:M35"/>
    <mergeCell ref="O35:R35"/>
    <mergeCell ref="S35:T35"/>
    <mergeCell ref="B36:C36"/>
    <mergeCell ref="E36:H36"/>
    <mergeCell ref="K36:M36"/>
    <mergeCell ref="O36:R36"/>
    <mergeCell ref="S36:T36"/>
    <mergeCell ref="B37:C37"/>
    <mergeCell ref="E37:H37"/>
    <mergeCell ref="K37:M37"/>
    <mergeCell ref="O37:R37"/>
    <mergeCell ref="S37:T37"/>
    <mergeCell ref="B38:C38"/>
    <mergeCell ref="E38:H38"/>
    <mergeCell ref="K38:M38"/>
    <mergeCell ref="O38:R38"/>
    <mergeCell ref="S38:T38"/>
    <mergeCell ref="B39:C39"/>
    <mergeCell ref="E39:H39"/>
    <mergeCell ref="K39:M39"/>
    <mergeCell ref="O39:R39"/>
    <mergeCell ref="S39:T39"/>
    <mergeCell ref="B40:C40"/>
    <mergeCell ref="E40:H40"/>
    <mergeCell ref="K40:M40"/>
    <mergeCell ref="O40:R40"/>
    <mergeCell ref="S40:T40"/>
    <mergeCell ref="B41:C41"/>
    <mergeCell ref="E41:H41"/>
    <mergeCell ref="K41:M41"/>
    <mergeCell ref="O41:R41"/>
    <mergeCell ref="S41:T41"/>
    <mergeCell ref="B42:C42"/>
    <mergeCell ref="E42:H42"/>
    <mergeCell ref="K42:M42"/>
    <mergeCell ref="O42:R42"/>
    <mergeCell ref="S42:T42"/>
    <mergeCell ref="B45:T45"/>
    <mergeCell ref="B46:T46"/>
    <mergeCell ref="E50:G50"/>
    <mergeCell ref="B43:C43"/>
    <mergeCell ref="E43:H43"/>
    <mergeCell ref="K43:M43"/>
    <mergeCell ref="O43:R43"/>
    <mergeCell ref="S43:T43"/>
    <mergeCell ref="B44:C44"/>
    <mergeCell ref="D44:E44"/>
    <mergeCell ref="G44:I44"/>
    <mergeCell ref="K44:M44"/>
    <mergeCell ref="N44:O44"/>
    <mergeCell ref="P44:T44"/>
  </mergeCells>
  <conditionalFormatting sqref="K27">
    <cfRule type="cellIs" dxfId="239" priority="25" operator="lessThanOrEqual">
      <formula>0</formula>
    </cfRule>
    <cfRule type="cellIs" dxfId="238" priority="24" operator="between">
      <formula>1</formula>
      <formula>300</formula>
    </cfRule>
  </conditionalFormatting>
  <conditionalFormatting sqref="K29">
    <cfRule type="cellIs" dxfId="237" priority="23" operator="lessThanOrEqual">
      <formula>0</formula>
    </cfRule>
    <cfRule type="cellIs" dxfId="236" priority="22" operator="between">
      <formula>1</formula>
      <formula>300</formula>
    </cfRule>
  </conditionalFormatting>
  <conditionalFormatting sqref="K31">
    <cfRule type="cellIs" dxfId="235" priority="20" operator="between">
      <formula>1</formula>
      <formula>300</formula>
    </cfRule>
    <cfRule type="cellIs" dxfId="234" priority="21" operator="lessThanOrEqual">
      <formula>0</formula>
    </cfRule>
  </conditionalFormatting>
  <conditionalFormatting sqref="K9:P9">
    <cfRule type="cellIs" dxfId="233" priority="14" operator="between">
      <formula>1</formula>
      <formula>300</formula>
    </cfRule>
    <cfRule type="cellIs" dxfId="232" priority="15" operator="lessThanOrEqual">
      <formula>0</formula>
    </cfRule>
  </conditionalFormatting>
  <conditionalFormatting sqref="K11:P11">
    <cfRule type="cellIs" dxfId="231" priority="12" operator="between">
      <formula>1</formula>
      <formula>300</formula>
    </cfRule>
    <cfRule type="cellIs" dxfId="230" priority="13" operator="lessThanOrEqual">
      <formula>0</formula>
    </cfRule>
  </conditionalFormatting>
  <conditionalFormatting sqref="K13:P13">
    <cfRule type="cellIs" dxfId="229" priority="8" operator="between">
      <formula>1</formula>
      <formula>300</formula>
    </cfRule>
    <cfRule type="cellIs" dxfId="228" priority="9" operator="lessThanOrEqual">
      <formula>0</formula>
    </cfRule>
  </conditionalFormatting>
  <conditionalFormatting sqref="K15:P15">
    <cfRule type="cellIs" dxfId="227" priority="10" operator="between">
      <formula>1</formula>
      <formula>300</formula>
    </cfRule>
    <cfRule type="cellIs" dxfId="226" priority="11" operator="lessThanOrEqual">
      <formula>0</formula>
    </cfRule>
  </conditionalFormatting>
  <conditionalFormatting sqref="K17:P17">
    <cfRule type="cellIs" dxfId="225" priority="16" operator="between">
      <formula>1</formula>
      <formula>300</formula>
    </cfRule>
    <cfRule type="cellIs" dxfId="224" priority="17" operator="lessThanOrEqual">
      <formula>0</formula>
    </cfRule>
  </conditionalFormatting>
  <conditionalFormatting sqref="K19:P19">
    <cfRule type="cellIs" dxfId="223" priority="2" operator="between">
      <formula>1</formula>
      <formula>300</formula>
    </cfRule>
    <cfRule type="cellIs" dxfId="222" priority="3" operator="lessThanOrEqual">
      <formula>0</formula>
    </cfRule>
  </conditionalFormatting>
  <conditionalFormatting sqref="K21:P21">
    <cfRule type="cellIs" dxfId="221" priority="5" operator="lessThanOrEqual">
      <formula>0</formula>
    </cfRule>
    <cfRule type="cellIs" dxfId="220" priority="4" operator="between">
      <formula>1</formula>
      <formula>300</formula>
    </cfRule>
  </conditionalFormatting>
  <conditionalFormatting sqref="K23:P23">
    <cfRule type="cellIs" dxfId="219" priority="7" operator="lessThanOrEqual">
      <formula>0</formula>
    </cfRule>
    <cfRule type="cellIs" dxfId="218" priority="6" operator="between">
      <formula>1</formula>
      <formula>300</formula>
    </cfRule>
  </conditionalFormatting>
  <conditionalFormatting sqref="K25:P25">
    <cfRule type="cellIs" dxfId="217" priority="19" operator="lessThanOrEqual">
      <formula>0</formula>
    </cfRule>
    <cfRule type="cellIs" dxfId="216" priority="18" operator="between">
      <formula>1</formula>
      <formula>300</formula>
    </cfRule>
  </conditionalFormatting>
  <conditionalFormatting sqref="L27:N27">
    <cfRule type="cellIs" dxfId="215" priority="30" operator="between">
      <formula>1</formula>
      <formula>300</formula>
    </cfRule>
    <cfRule type="cellIs" dxfId="214" priority="31" operator="lessThanOrEqual">
      <formula>0</formula>
    </cfRule>
  </conditionalFormatting>
  <conditionalFormatting sqref="L29:N29">
    <cfRule type="cellIs" dxfId="213" priority="28" operator="between">
      <formula>1</formula>
      <formula>300</formula>
    </cfRule>
    <cfRule type="cellIs" dxfId="212" priority="29" operator="lessThanOrEqual">
      <formula>0</formula>
    </cfRule>
  </conditionalFormatting>
  <conditionalFormatting sqref="L31:N31">
    <cfRule type="cellIs" dxfId="211" priority="26" operator="between">
      <formula>1</formula>
      <formula>300</formula>
    </cfRule>
    <cfRule type="cellIs" dxfId="210" priority="27" operator="lessThanOrEqual">
      <formula>0</formula>
    </cfRule>
  </conditionalFormatting>
  <dataValidations count="6">
    <dataValidation type="list" allowBlank="1" showInputMessage="1" showErrorMessage="1" sqref="B36:C43 K36:M43" xr:uid="{00000000-0002-0000-0100-000000000000}">
      <formula1>"Dommer,Stevnets leder,Jury,Sekretær,Speaker,Teknisk kontrollør,Chief Marshall,Tidtaker"</formula1>
      <formula2>0</formula2>
    </dataValidation>
    <dataValidation type="list" allowBlank="1" showInputMessage="1" showErrorMessage="1" sqref="C11 C9 C31 C29 C27 C25 C23 C21 C19 C17 C15 C13" xr:uid="{00000000-0002-0000-0100-000001000000}">
      <formula1>"44,48,53,56,58,60,63,65,69,71,77,'+77,79,86,'+86,88,94,'+94,110,'+110"</formula1>
      <formula2>0</formula2>
    </dataValidation>
    <dataValidation type="list" allowBlank="1" showInputMessage="1" showErrorMessage="1" sqref="D5:I5" xr:uid="{00000000-0002-0000-0100-00000D000000}">
      <formula1>"Nasjonalt stevne,Seriestevne,Seriestevne 5-kamp,Klubbmesterskap,Regionsmesterskap,Landsdelsmesterskap,Norgesmesterskap Senior,Norgesmesterskap Ungdom,Norgesmesterskap Junior,Norgesmesterskap Veteran,Norgesmesterskap 5-kamp,Norgesmesterskap Lag"</formula1>
      <formula2>0</formula2>
    </dataValidation>
    <dataValidation type="list" allowBlank="1" showInputMessage="1" showErrorMessage="1" sqref="E11 F12 E9 E31 E29 E27 E25 E23 E21 E19 E17 E15 E13" xr:uid="{00000000-0002-0000-0100-00000E000000}">
      <formula1>"UM,JM,SM,UK,JK,SK,M35,M40,M45,M50,M55,M60,M65,M70,M75,M80,M85,M90,K35,K40,K45,K50,K55,K60,K65,K70,K75,K80,K85,K90"</formula1>
      <formula2>0</formula2>
    </dataValidation>
    <dataValidation type="list" allowBlank="1" showInputMessage="1" showErrorMessage="1" sqref="F11 F9 F31 F29 F27 F25 F23 F21 F19 F17 F15 F13" xr:uid="{00000000-0002-0000-0100-00001A000000}">
      <formula1>"11-12,13-14,15-16,17-18,19-23,24-34,+35"</formula1>
      <formula2>0</formula2>
    </dataValidation>
    <dataValidation type="list" allowBlank="1" showInputMessage="1" showErrorMessage="1" prompt="Feil_i_kat. 5-kamp - Feil verdi i kategori 5-kamp" sqref="G12" xr:uid="{00000000-0002-0000-0100-000027000000}">
      <formula1>"11-12,13-14,15-16,17-18,19-23,24-34,+35,35+"</formula1>
      <formula2>0</formula2>
    </dataValidation>
  </dataValidations>
  <pageMargins left="0.27569444444444402" right="0.35416666666666702" top="0.27569444444444402" bottom="0.27569444444444402" header="0.511811023622047" footer="0.511811023622047"/>
  <pageSetup paperSize="9" orientation="landscape" useFirstPageNumber="1" horizontalDpi="300" verticalDpi="300"/>
  <drawing r:id="rId1"/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C63"/>
  <sheetViews>
    <sheetView zoomScaleNormal="100" workbookViewId="0">
      <selection activeCell="E57" sqref="E57"/>
    </sheetView>
  </sheetViews>
  <sheetFormatPr baseColWidth="10" defaultColWidth="9.1640625" defaultRowHeight="12.75" customHeight="1"/>
  <cols>
    <col min="1" max="1" width="11.33203125" customWidth="1"/>
    <col min="2" max="2" width="11.6640625" style="146" customWidth="1"/>
    <col min="3" max="3" width="12.33203125" customWidth="1"/>
  </cols>
  <sheetData>
    <row r="1" spans="1:3" ht="12.75" customHeight="1">
      <c r="A1" s="183" t="s">
        <v>136</v>
      </c>
      <c r="B1" s="183"/>
      <c r="C1" s="183"/>
    </row>
    <row r="2" spans="1:3" ht="12.75" customHeight="1">
      <c r="A2" s="147" t="s">
        <v>44</v>
      </c>
      <c r="B2" s="148" t="s">
        <v>137</v>
      </c>
      <c r="C2" t="s">
        <v>138</v>
      </c>
    </row>
    <row r="3" spans="1:3" ht="12.75" customHeight="1">
      <c r="A3" s="149">
        <v>30</v>
      </c>
      <c r="B3" s="148">
        <v>1</v>
      </c>
      <c r="C3" s="147">
        <v>1</v>
      </c>
    </row>
    <row r="4" spans="1:3" ht="12.75" customHeight="1">
      <c r="A4" s="149">
        <v>31</v>
      </c>
      <c r="B4" s="148">
        <v>1.016</v>
      </c>
      <c r="C4" s="148">
        <v>1.016</v>
      </c>
    </row>
    <row r="5" spans="1:3" ht="12.75" customHeight="1">
      <c r="A5" s="149">
        <v>32</v>
      </c>
      <c r="B5" s="148">
        <v>1.0309999999999999</v>
      </c>
      <c r="C5" s="148">
        <v>1.0169999999999999</v>
      </c>
    </row>
    <row r="6" spans="1:3" ht="12.75" customHeight="1">
      <c r="A6" s="149">
        <v>33</v>
      </c>
      <c r="B6" s="148">
        <v>1.046</v>
      </c>
      <c r="C6" s="148">
        <v>1.046</v>
      </c>
    </row>
    <row r="7" spans="1:3" ht="12.75" customHeight="1">
      <c r="A7" s="149">
        <v>34</v>
      </c>
      <c r="B7" s="148">
        <v>1.0589999999999999</v>
      </c>
      <c r="C7" s="148">
        <v>1.0589999999999999</v>
      </c>
    </row>
    <row r="8" spans="1:3" ht="12.75" customHeight="1">
      <c r="A8" s="149">
        <v>35</v>
      </c>
      <c r="B8" s="148">
        <v>1.0720000000000001</v>
      </c>
      <c r="C8" s="148">
        <v>1.0720000000000001</v>
      </c>
    </row>
    <row r="9" spans="1:3" ht="12.75" customHeight="1">
      <c r="A9" s="149">
        <v>36</v>
      </c>
      <c r="B9" s="148">
        <v>1.083</v>
      </c>
      <c r="C9" s="148">
        <v>1.0840000000000001</v>
      </c>
    </row>
    <row r="10" spans="1:3" ht="12.75" customHeight="1">
      <c r="A10" s="149">
        <v>37</v>
      </c>
      <c r="B10" s="148">
        <v>1.0960000000000001</v>
      </c>
      <c r="C10" s="148">
        <v>1.097</v>
      </c>
    </row>
    <row r="11" spans="1:3" ht="12.75" customHeight="1">
      <c r="A11" s="149">
        <v>38</v>
      </c>
      <c r="B11" s="148">
        <v>1.109</v>
      </c>
      <c r="C11" s="148">
        <v>1.1100000000000001</v>
      </c>
    </row>
    <row r="12" spans="1:3" ht="12.75" customHeight="1">
      <c r="A12" s="149">
        <v>39</v>
      </c>
      <c r="B12" s="148">
        <v>1.1220000000000001</v>
      </c>
      <c r="C12" s="148">
        <v>1.1240000000000001</v>
      </c>
    </row>
    <row r="13" spans="1:3" ht="12.75" customHeight="1">
      <c r="A13" s="149">
        <v>40</v>
      </c>
      <c r="B13" s="148">
        <v>1.135</v>
      </c>
      <c r="C13" s="148">
        <v>1.1379999999999999</v>
      </c>
    </row>
    <row r="14" spans="1:3" ht="12.75" customHeight="1">
      <c r="A14" s="149">
        <v>41</v>
      </c>
      <c r="B14" s="148">
        <v>1.149</v>
      </c>
      <c r="C14" s="148">
        <v>1.153</v>
      </c>
    </row>
    <row r="15" spans="1:3" ht="12.75" customHeight="1">
      <c r="A15" s="149">
        <v>42</v>
      </c>
      <c r="B15" s="148">
        <v>1.1619999999999999</v>
      </c>
      <c r="C15" s="148">
        <v>1.17</v>
      </c>
    </row>
    <row r="16" spans="1:3" ht="12.75" customHeight="1">
      <c r="A16" s="149">
        <v>43</v>
      </c>
      <c r="B16" s="148">
        <v>1.1759999999999999</v>
      </c>
      <c r="C16" s="148">
        <v>1.1870000000000001</v>
      </c>
    </row>
    <row r="17" spans="1:3" ht="12.75" customHeight="1">
      <c r="A17" s="149">
        <v>44</v>
      </c>
      <c r="B17" s="148">
        <v>1.1890000000000001</v>
      </c>
      <c r="C17" s="148">
        <v>1.2050000000000001</v>
      </c>
    </row>
    <row r="18" spans="1:3" ht="12.75" customHeight="1">
      <c r="A18" s="149">
        <v>45</v>
      </c>
      <c r="B18" s="148">
        <v>1.2030000000000001</v>
      </c>
      <c r="C18" s="148">
        <v>1.2230000000000001</v>
      </c>
    </row>
    <row r="19" spans="1:3" ht="12.75" customHeight="1">
      <c r="A19" s="149">
        <v>46</v>
      </c>
      <c r="B19" s="148">
        <v>1.218</v>
      </c>
      <c r="C19" s="148">
        <v>1.244</v>
      </c>
    </row>
    <row r="20" spans="1:3" ht="12.75" customHeight="1">
      <c r="A20" s="149">
        <v>47</v>
      </c>
      <c r="B20" s="148">
        <v>1.2330000000000001</v>
      </c>
      <c r="C20" s="148">
        <v>1.2649999999999999</v>
      </c>
    </row>
    <row r="21" spans="1:3" ht="12.75" customHeight="1">
      <c r="A21" s="149">
        <v>48</v>
      </c>
      <c r="B21" s="148">
        <v>1.248</v>
      </c>
      <c r="C21" s="148">
        <v>1.288</v>
      </c>
    </row>
    <row r="22" spans="1:3" ht="12.75" customHeight="1">
      <c r="A22" s="149">
        <v>49</v>
      </c>
      <c r="B22" s="148">
        <v>1.2629999999999999</v>
      </c>
      <c r="C22" s="148">
        <v>1.3129999999999999</v>
      </c>
    </row>
    <row r="23" spans="1:3" ht="12.75" customHeight="1">
      <c r="A23" s="149">
        <v>50</v>
      </c>
      <c r="B23" s="148">
        <v>1.2789999999999999</v>
      </c>
      <c r="C23" s="148">
        <v>1.34</v>
      </c>
    </row>
    <row r="24" spans="1:3" ht="12.75" customHeight="1">
      <c r="A24" s="149">
        <v>51</v>
      </c>
      <c r="B24" s="148">
        <v>1.2969999999999999</v>
      </c>
      <c r="C24" s="148">
        <v>1.369</v>
      </c>
    </row>
    <row r="25" spans="1:3" ht="12.75" customHeight="1">
      <c r="A25" s="149">
        <v>52</v>
      </c>
      <c r="B25" s="148">
        <v>1.3160000000000001</v>
      </c>
      <c r="C25" s="148">
        <v>1.401</v>
      </c>
    </row>
    <row r="26" spans="1:3" ht="12.75" customHeight="1">
      <c r="A26" s="149">
        <v>53</v>
      </c>
      <c r="B26" s="148">
        <v>1.3380000000000001</v>
      </c>
      <c r="C26" s="148">
        <v>1.4350000000000001</v>
      </c>
    </row>
    <row r="27" spans="1:3" ht="12.75" customHeight="1">
      <c r="A27" s="149">
        <v>54</v>
      </c>
      <c r="B27" s="148">
        <v>1.361</v>
      </c>
      <c r="C27" s="148">
        <v>1.47</v>
      </c>
    </row>
    <row r="28" spans="1:3" ht="12.75" customHeight="1">
      <c r="A28" s="149">
        <v>55</v>
      </c>
      <c r="B28" s="148">
        <v>1.385</v>
      </c>
      <c r="C28" s="148">
        <v>1.5069999999999999</v>
      </c>
    </row>
    <row r="29" spans="1:3" ht="13.5" customHeight="1">
      <c r="A29" s="149">
        <v>56</v>
      </c>
      <c r="B29" s="148">
        <v>1.411</v>
      </c>
      <c r="C29" s="150">
        <v>1.5449999999999999</v>
      </c>
    </row>
    <row r="30" spans="1:3" ht="13.5" customHeight="1">
      <c r="A30" s="149">
        <v>57</v>
      </c>
      <c r="B30" s="148">
        <v>1.4370000000000001</v>
      </c>
      <c r="C30" s="151">
        <v>1.585</v>
      </c>
    </row>
    <row r="31" spans="1:3" ht="13.5" customHeight="1">
      <c r="A31" s="149">
        <v>58</v>
      </c>
      <c r="B31" s="148">
        <v>1.462</v>
      </c>
      <c r="C31" s="150">
        <v>1.625</v>
      </c>
    </row>
    <row r="32" spans="1:3" ht="13.5" customHeight="1">
      <c r="A32" s="149">
        <v>59</v>
      </c>
      <c r="B32" s="148">
        <v>1.488</v>
      </c>
      <c r="C32" s="151">
        <v>1.665</v>
      </c>
    </row>
    <row r="33" spans="1:3" ht="13.5" customHeight="1">
      <c r="A33" s="149">
        <v>60</v>
      </c>
      <c r="B33" s="148">
        <v>1.514</v>
      </c>
      <c r="C33" s="150">
        <v>1.7050000000000001</v>
      </c>
    </row>
    <row r="34" spans="1:3" ht="13.5" customHeight="1">
      <c r="A34" s="149">
        <v>61</v>
      </c>
      <c r="B34" s="148">
        <v>1.5409999999999999</v>
      </c>
      <c r="C34" s="151">
        <v>1.744</v>
      </c>
    </row>
    <row r="35" spans="1:3" ht="13.5" customHeight="1">
      <c r="A35" s="149">
        <v>62</v>
      </c>
      <c r="B35" s="148">
        <v>1.5680000000000001</v>
      </c>
      <c r="C35" s="150">
        <v>1.778</v>
      </c>
    </row>
    <row r="36" spans="1:3" ht="13.5" customHeight="1">
      <c r="A36" s="149">
        <v>63</v>
      </c>
      <c r="B36" s="148">
        <v>1.5980000000000001</v>
      </c>
      <c r="C36" s="151">
        <v>1.8080000000000001</v>
      </c>
    </row>
    <row r="37" spans="1:3" ht="13.5" customHeight="1">
      <c r="A37" s="149">
        <v>64</v>
      </c>
      <c r="B37" s="148">
        <v>1.629</v>
      </c>
      <c r="C37" s="150">
        <v>1.839</v>
      </c>
    </row>
    <row r="38" spans="1:3" ht="13.5" customHeight="1">
      <c r="A38" s="149">
        <v>65</v>
      </c>
      <c r="B38" s="148">
        <v>1.663</v>
      </c>
      <c r="C38" s="151">
        <v>1.873</v>
      </c>
    </row>
    <row r="39" spans="1:3" ht="13.5" customHeight="1">
      <c r="A39" s="149">
        <v>66</v>
      </c>
      <c r="B39" s="148">
        <v>1.6990000000000001</v>
      </c>
      <c r="C39" s="150">
        <v>1.909</v>
      </c>
    </row>
    <row r="40" spans="1:3" ht="13.5" customHeight="1">
      <c r="A40" s="149">
        <v>67</v>
      </c>
      <c r="B40" s="148">
        <v>1.738</v>
      </c>
      <c r="C40" s="151">
        <v>1.948</v>
      </c>
    </row>
    <row r="41" spans="1:3" ht="13.5" customHeight="1">
      <c r="A41" s="149">
        <v>68</v>
      </c>
      <c r="B41" s="148">
        <v>1.7789999999999999</v>
      </c>
      <c r="C41" s="150">
        <v>1.9890000000000001</v>
      </c>
    </row>
    <row r="42" spans="1:3" ht="13.5" customHeight="1">
      <c r="A42" s="149">
        <v>69</v>
      </c>
      <c r="B42" s="148">
        <v>1.823</v>
      </c>
      <c r="C42" s="151">
        <v>2.0329999999999999</v>
      </c>
    </row>
    <row r="43" spans="1:3" ht="13.5" customHeight="1">
      <c r="A43" s="149">
        <v>70</v>
      </c>
      <c r="B43" s="148">
        <v>1.867</v>
      </c>
      <c r="C43" s="150">
        <v>2.077</v>
      </c>
    </row>
    <row r="44" spans="1:3" ht="13.5" customHeight="1">
      <c r="A44" s="149">
        <v>71</v>
      </c>
      <c r="B44" s="148">
        <v>1.91</v>
      </c>
      <c r="C44" s="151">
        <v>2.12</v>
      </c>
    </row>
    <row r="45" spans="1:3" ht="13.5" customHeight="1">
      <c r="A45" s="149">
        <v>72</v>
      </c>
      <c r="B45" s="148">
        <v>1.9530000000000001</v>
      </c>
      <c r="C45" s="150">
        <v>2.1629999999999998</v>
      </c>
    </row>
    <row r="46" spans="1:3" ht="13.5" customHeight="1">
      <c r="A46" s="149">
        <v>73</v>
      </c>
      <c r="B46" s="148">
        <v>2.004</v>
      </c>
      <c r="C46" s="151">
        <v>2.214</v>
      </c>
    </row>
    <row r="47" spans="1:3" ht="13.5" customHeight="1">
      <c r="A47" s="149">
        <v>74</v>
      </c>
      <c r="B47" s="148">
        <v>2.06</v>
      </c>
      <c r="C47" s="150">
        <v>2.27</v>
      </c>
    </row>
    <row r="48" spans="1:3" ht="13.5" customHeight="1">
      <c r="A48" s="149">
        <v>75</v>
      </c>
      <c r="B48" s="148">
        <v>2.117</v>
      </c>
      <c r="C48" s="151">
        <v>2.327</v>
      </c>
    </row>
    <row r="49" spans="1:3" ht="13.5" customHeight="1">
      <c r="A49" s="149">
        <v>76</v>
      </c>
      <c r="B49" s="148">
        <v>2.181</v>
      </c>
      <c r="C49" s="150">
        <v>2.391</v>
      </c>
    </row>
    <row r="50" spans="1:3" ht="13.5" customHeight="1">
      <c r="A50" s="149">
        <v>77</v>
      </c>
      <c r="B50" s="148">
        <v>2.2549999999999999</v>
      </c>
      <c r="C50" s="151">
        <v>2.4649999999999999</v>
      </c>
    </row>
    <row r="51" spans="1:3" ht="13.5" customHeight="1">
      <c r="A51" s="149">
        <v>78</v>
      </c>
      <c r="B51" s="148">
        <v>2.3359999999999999</v>
      </c>
      <c r="C51" s="150">
        <v>2.5459999999999998</v>
      </c>
    </row>
    <row r="52" spans="1:3" ht="13.5" customHeight="1">
      <c r="A52" s="149">
        <v>79</v>
      </c>
      <c r="B52" s="148">
        <v>2.419</v>
      </c>
      <c r="C52" s="151">
        <v>2.629</v>
      </c>
    </row>
    <row r="53" spans="1:3" ht="13.5" customHeight="1">
      <c r="A53" s="149">
        <v>80</v>
      </c>
      <c r="B53" s="148">
        <v>2.504</v>
      </c>
      <c r="C53" s="150">
        <v>2.714</v>
      </c>
    </row>
    <row r="54" spans="1:3" ht="13.5" customHeight="1">
      <c r="A54" s="149">
        <v>81</v>
      </c>
      <c r="B54" s="148">
        <v>2.597</v>
      </c>
      <c r="C54" s="152"/>
    </row>
    <row r="55" spans="1:3" ht="13.5" customHeight="1">
      <c r="A55" s="149">
        <v>82</v>
      </c>
      <c r="B55" s="148">
        <v>2.702</v>
      </c>
      <c r="C55" s="152"/>
    </row>
    <row r="56" spans="1:3" ht="13.5" customHeight="1">
      <c r="A56" s="149">
        <v>83</v>
      </c>
      <c r="B56" s="148">
        <v>2.831</v>
      </c>
      <c r="C56" s="152"/>
    </row>
    <row r="57" spans="1:3" ht="13.5" customHeight="1">
      <c r="A57" s="149">
        <v>84</v>
      </c>
      <c r="B57" s="148">
        <v>2.9809999999999999</v>
      </c>
      <c r="C57" s="152"/>
    </row>
    <row r="58" spans="1:3" ht="13.5" customHeight="1">
      <c r="A58" s="149">
        <v>85</v>
      </c>
      <c r="B58" s="148">
        <v>3.153</v>
      </c>
      <c r="C58" s="152"/>
    </row>
    <row r="59" spans="1:3" ht="13.5" customHeight="1">
      <c r="A59" s="149">
        <v>86</v>
      </c>
      <c r="B59" s="148">
        <v>3.3519999999999999</v>
      </c>
      <c r="C59" s="152"/>
    </row>
    <row r="60" spans="1:3" ht="13.5" customHeight="1">
      <c r="A60" s="149">
        <v>87</v>
      </c>
      <c r="B60" s="148">
        <v>3.58</v>
      </c>
      <c r="C60" s="152"/>
    </row>
    <row r="61" spans="1:3" ht="13.5" customHeight="1">
      <c r="A61" s="149">
        <v>88</v>
      </c>
      <c r="B61" s="148">
        <v>3.8420000000000001</v>
      </c>
      <c r="C61" s="152"/>
    </row>
    <row r="62" spans="1:3" ht="13.5" customHeight="1">
      <c r="A62" s="149">
        <v>89</v>
      </c>
      <c r="B62" s="148">
        <v>4.1449999999999996</v>
      </c>
      <c r="C62" s="152"/>
    </row>
    <row r="63" spans="1:3" ht="13.5" customHeight="1">
      <c r="A63" s="149">
        <v>90</v>
      </c>
      <c r="B63" s="148">
        <v>4.4930000000000003</v>
      </c>
      <c r="C63" s="152"/>
    </row>
  </sheetData>
  <mergeCells count="1">
    <mergeCell ref="A1:C1"/>
  </mergeCells>
  <pageMargins left="0.75" right="0.75" top="1" bottom="1" header="0.511811023622047" footer="0.511811023622047"/>
  <pageSetup paperSize="9" orientation="portrait" useFirstPageNumber="1" horizontalDpi="300" verticalDpi="30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"/>
  <sheetViews>
    <sheetView zoomScaleNormal="100" workbookViewId="0"/>
  </sheetViews>
  <sheetFormatPr baseColWidth="10" defaultColWidth="10.6640625" defaultRowHeight="12.75" customHeight="1"/>
  <sheetData/>
  <pageMargins left="0.7" right="0.7" top="0.75" bottom="0.75" header="0.511811023622047" footer="0.511811023622047"/>
  <pageSetup paperSize="9" orientation="portrait" useFirstPageNumber="1" horizontalDpi="300" verticalDpi="30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K80"/>
  <sheetViews>
    <sheetView zoomScaleNormal="100" workbookViewId="0">
      <selection activeCell="G1" sqref="G1:G1048576"/>
    </sheetView>
  </sheetViews>
  <sheetFormatPr baseColWidth="10" defaultColWidth="9.1640625" defaultRowHeight="12.75" customHeight="1"/>
  <cols>
    <col min="1" max="1" width="4.33203125" style="5" customWidth="1"/>
    <col min="2" max="2" width="10.1640625" style="5" customWidth="1"/>
    <col min="3" max="3" width="6.33203125" style="6" customWidth="1"/>
    <col min="4" max="4" width="8.6640625" style="6" customWidth="1"/>
    <col min="5" max="6" width="6.33203125" style="7" customWidth="1"/>
    <col min="7" max="7" width="10.6640625" style="6" hidden="1" customWidth="1"/>
    <col min="8" max="8" width="3.83203125" style="6" customWidth="1"/>
    <col min="9" max="9" width="27.83203125" style="8" customWidth="1"/>
    <col min="10" max="10" width="21" style="8" customWidth="1"/>
    <col min="11" max="11" width="6.83203125" style="6" customWidth="1"/>
    <col min="12" max="12" width="6.83203125" style="9" customWidth="1"/>
    <col min="13" max="13" width="6.83203125" style="6" customWidth="1"/>
    <col min="14" max="14" width="8.83203125" style="6" customWidth="1"/>
    <col min="15" max="19" width="6.83203125" style="6" customWidth="1"/>
    <col min="20" max="23" width="8" style="10" customWidth="1"/>
    <col min="24" max="24" width="9" style="10" customWidth="1"/>
    <col min="25" max="26" width="8" style="10" customWidth="1"/>
    <col min="27" max="27" width="4.33203125" style="10" customWidth="1"/>
    <col min="28" max="28" width="5.6640625" style="10" customWidth="1"/>
    <col min="29" max="29" width="9.6640625" style="5" hidden="1" customWidth="1"/>
    <col min="30" max="31" width="9.1640625" style="5" hidden="1"/>
    <col min="32" max="32" width="7.83203125" style="5" hidden="1" customWidth="1"/>
    <col min="33" max="33" width="9.1640625" style="5" hidden="1"/>
    <col min="34" max="35" width="9.1640625" style="11" hidden="1"/>
    <col min="36" max="36" width="9.1640625" style="5" hidden="1"/>
    <col min="37" max="37" width="9.1640625" style="5"/>
  </cols>
  <sheetData>
    <row r="1" spans="1:37" ht="18.75" customHeight="1">
      <c r="A1" s="12"/>
      <c r="B1" s="12"/>
      <c r="C1" s="12"/>
      <c r="D1" s="12"/>
      <c r="E1" s="12"/>
      <c r="F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  <c r="T1" s="12"/>
      <c r="U1" s="12"/>
      <c r="V1" s="12"/>
      <c r="W1" s="12"/>
      <c r="X1" s="12"/>
      <c r="Y1" s="12"/>
    </row>
    <row r="2" spans="1:37" ht="75" customHeight="1">
      <c r="A2" s="12"/>
      <c r="B2" s="12"/>
      <c r="C2" s="12"/>
      <c r="D2" s="12"/>
      <c r="E2" s="12"/>
      <c r="F2" s="12"/>
      <c r="G2" s="174" t="s">
        <v>0</v>
      </c>
      <c r="H2" s="174"/>
      <c r="I2" s="174"/>
      <c r="J2" s="174"/>
      <c r="K2" s="174"/>
      <c r="L2" s="174"/>
      <c r="M2" s="174"/>
      <c r="N2" s="174"/>
      <c r="O2" s="174"/>
      <c r="P2" s="174"/>
      <c r="Q2" s="174"/>
      <c r="R2" s="174"/>
      <c r="S2" s="12"/>
      <c r="T2" s="12"/>
      <c r="U2" s="13" t="s">
        <v>1</v>
      </c>
      <c r="V2" s="12"/>
      <c r="W2" s="12"/>
      <c r="X2" s="12"/>
      <c r="Y2" s="12"/>
    </row>
    <row r="3" spans="1:37" ht="21.75" customHeight="1">
      <c r="A3" s="12"/>
      <c r="B3" s="12"/>
      <c r="C3" s="12"/>
      <c r="D3" s="12"/>
      <c r="E3" s="14"/>
      <c r="F3" s="12"/>
      <c r="G3" s="175" t="s">
        <v>2</v>
      </c>
      <c r="H3" s="175"/>
      <c r="I3" s="175"/>
      <c r="J3" s="175"/>
      <c r="K3" s="175"/>
      <c r="L3" s="175"/>
      <c r="M3" s="175"/>
      <c r="N3" s="175"/>
      <c r="O3" s="175"/>
      <c r="P3" s="175"/>
      <c r="Q3" s="175"/>
      <c r="R3" s="175"/>
      <c r="S3" s="15" t="s">
        <v>3</v>
      </c>
      <c r="T3" s="15"/>
      <c r="U3" s="15"/>
      <c r="V3" s="15"/>
      <c r="W3" s="15"/>
      <c r="X3" s="15"/>
      <c r="Y3" s="15"/>
      <c r="Z3" s="15"/>
    </row>
    <row r="4" spans="1:37" ht="12.75" customHeight="1">
      <c r="A4" s="12"/>
      <c r="B4" s="12"/>
      <c r="C4" s="12"/>
      <c r="D4" s="12"/>
      <c r="E4" s="12"/>
      <c r="F4" s="12"/>
      <c r="H4" s="12"/>
      <c r="I4" s="12"/>
      <c r="J4" s="12"/>
      <c r="K4" s="12"/>
      <c r="L4" s="12"/>
      <c r="M4" s="12"/>
      <c r="N4" s="12"/>
      <c r="O4" s="12"/>
      <c r="P4" s="12"/>
      <c r="Q4" s="12"/>
      <c r="R4" s="12"/>
      <c r="S4" s="12"/>
      <c r="T4" s="12"/>
      <c r="U4" s="12"/>
      <c r="V4" s="12"/>
      <c r="W4" s="12"/>
      <c r="X4" s="12"/>
      <c r="Y4" s="12"/>
    </row>
    <row r="5" spans="1:37" ht="15" customHeight="1">
      <c r="A5" s="16"/>
      <c r="B5" s="16"/>
      <c r="C5" s="17" t="s">
        <v>4</v>
      </c>
      <c r="D5" s="176" t="s">
        <v>5</v>
      </c>
      <c r="E5" s="176"/>
      <c r="F5" s="176"/>
      <c r="G5" s="176"/>
      <c r="H5" s="176"/>
      <c r="I5" s="176"/>
      <c r="J5" s="17" t="s">
        <v>6</v>
      </c>
      <c r="K5" s="176" t="s">
        <v>7</v>
      </c>
      <c r="L5" s="176"/>
      <c r="M5" s="176"/>
      <c r="N5" s="176"/>
      <c r="O5" s="17" t="s">
        <v>8</v>
      </c>
      <c r="P5" s="177" t="s">
        <v>9</v>
      </c>
      <c r="Q5" s="177"/>
      <c r="R5" s="177"/>
      <c r="S5" s="177"/>
      <c r="T5" s="17" t="s">
        <v>10</v>
      </c>
      <c r="U5" s="177">
        <v>46263</v>
      </c>
      <c r="V5" s="177"/>
      <c r="W5" s="18"/>
      <c r="X5" s="18"/>
      <c r="Y5" s="18"/>
      <c r="Z5" s="19" t="s">
        <v>11</v>
      </c>
      <c r="AA5" s="19"/>
      <c r="AB5" s="20">
        <v>3</v>
      </c>
      <c r="AC5" s="16"/>
      <c r="AD5" s="16"/>
      <c r="AE5" s="16"/>
      <c r="AF5" s="16"/>
      <c r="AG5" s="16"/>
      <c r="AH5" s="21"/>
      <c r="AI5" s="21"/>
      <c r="AJ5" s="16"/>
      <c r="AK5" s="16"/>
    </row>
    <row r="6" spans="1:37" ht="12.75" customHeight="1">
      <c r="AG6" s="22" t="s">
        <v>12</v>
      </c>
      <c r="AH6" s="22" t="s">
        <v>12</v>
      </c>
      <c r="AI6" s="22" t="s">
        <v>12</v>
      </c>
      <c r="AJ6" s="178" t="s">
        <v>13</v>
      </c>
    </row>
    <row r="7" spans="1:37" ht="12.75" customHeight="1">
      <c r="A7" s="6"/>
      <c r="B7" s="179" t="s">
        <v>14</v>
      </c>
      <c r="C7" s="180" t="s">
        <v>15</v>
      </c>
      <c r="D7" s="180" t="s">
        <v>16</v>
      </c>
      <c r="E7" s="181" t="s">
        <v>17</v>
      </c>
      <c r="F7" s="182" t="s">
        <v>131</v>
      </c>
      <c r="G7" s="24" t="s">
        <v>19</v>
      </c>
      <c r="H7" s="24" t="s">
        <v>20</v>
      </c>
      <c r="I7" s="24" t="s">
        <v>21</v>
      </c>
      <c r="J7" s="24" t="s">
        <v>22</v>
      </c>
      <c r="K7" s="25"/>
      <c r="L7" s="26" t="s">
        <v>23</v>
      </c>
      <c r="M7" s="24"/>
      <c r="N7" s="24"/>
      <c r="O7" s="27" t="s">
        <v>24</v>
      </c>
      <c r="P7" s="24"/>
      <c r="Q7" s="28" t="s">
        <v>25</v>
      </c>
      <c r="R7" s="24"/>
      <c r="S7" s="24" t="s">
        <v>26</v>
      </c>
      <c r="T7" s="29" t="s">
        <v>27</v>
      </c>
      <c r="U7" s="30" t="s">
        <v>27</v>
      </c>
      <c r="V7" s="31" t="s">
        <v>28</v>
      </c>
      <c r="W7" s="31" t="s">
        <v>29</v>
      </c>
      <c r="X7" s="31" t="s">
        <v>30</v>
      </c>
      <c r="Y7" s="32" t="s">
        <v>31</v>
      </c>
      <c r="Z7" s="33" t="s">
        <v>32</v>
      </c>
      <c r="AA7" s="34" t="s">
        <v>33</v>
      </c>
      <c r="AB7" s="29" t="s">
        <v>34</v>
      </c>
      <c r="AC7" s="11"/>
      <c r="AD7" s="6"/>
      <c r="AE7" s="6"/>
      <c r="AF7" s="6"/>
      <c r="AG7" s="35" t="s">
        <v>35</v>
      </c>
      <c r="AH7" s="35" t="s">
        <v>35</v>
      </c>
      <c r="AI7" s="35" t="s">
        <v>35</v>
      </c>
      <c r="AJ7" s="178"/>
      <c r="AK7" s="6"/>
    </row>
    <row r="8" spans="1:37" ht="12.75" customHeight="1">
      <c r="A8" s="6"/>
      <c r="B8" s="179"/>
      <c r="C8" s="180"/>
      <c r="D8" s="180"/>
      <c r="E8" s="181"/>
      <c r="F8" s="182"/>
      <c r="G8" s="36" t="s">
        <v>36</v>
      </c>
      <c r="H8" s="36" t="s">
        <v>37</v>
      </c>
      <c r="I8" s="36"/>
      <c r="J8" s="36"/>
      <c r="K8" s="37">
        <v>1</v>
      </c>
      <c r="L8" s="37">
        <v>2</v>
      </c>
      <c r="M8" s="38">
        <v>3</v>
      </c>
      <c r="N8" s="38">
        <v>1</v>
      </c>
      <c r="O8" s="37">
        <v>2</v>
      </c>
      <c r="P8" s="38">
        <v>3</v>
      </c>
      <c r="Q8" s="39" t="s">
        <v>38</v>
      </c>
      <c r="R8" s="36"/>
      <c r="S8" s="36" t="s">
        <v>39</v>
      </c>
      <c r="T8" s="40"/>
      <c r="U8" s="41" t="s">
        <v>40</v>
      </c>
      <c r="V8" s="31" t="s">
        <v>27</v>
      </c>
      <c r="W8" s="31" t="s">
        <v>27</v>
      </c>
      <c r="X8" s="31" t="s">
        <v>27</v>
      </c>
      <c r="Y8" s="42" t="s">
        <v>41</v>
      </c>
      <c r="Z8" s="43" t="s">
        <v>42</v>
      </c>
      <c r="AA8" s="43"/>
      <c r="AB8" s="40"/>
      <c r="AC8" s="6"/>
      <c r="AD8" s="6" t="s">
        <v>43</v>
      </c>
      <c r="AE8" s="6" t="s">
        <v>44</v>
      </c>
      <c r="AF8" s="11" t="s">
        <v>40</v>
      </c>
      <c r="AG8" s="35" t="s">
        <v>45</v>
      </c>
      <c r="AH8" s="35" t="s">
        <v>46</v>
      </c>
      <c r="AI8" s="35" t="s">
        <v>47</v>
      </c>
      <c r="AJ8" s="6"/>
      <c r="AK8" s="6"/>
    </row>
    <row r="9" spans="1:37" ht="19.5" customHeight="1">
      <c r="A9" s="44"/>
      <c r="B9" s="45" t="s">
        <v>139</v>
      </c>
      <c r="C9" s="142" t="s">
        <v>140</v>
      </c>
      <c r="D9" s="56">
        <v>57.93</v>
      </c>
      <c r="E9" s="142" t="s">
        <v>141</v>
      </c>
      <c r="F9" s="142" t="s">
        <v>51</v>
      </c>
      <c r="G9" s="143">
        <v>41342</v>
      </c>
      <c r="H9" s="142" t="s">
        <v>86</v>
      </c>
      <c r="I9" s="144" t="s">
        <v>142</v>
      </c>
      <c r="J9" s="145" t="s">
        <v>92</v>
      </c>
      <c r="K9" s="52">
        <v>45</v>
      </c>
      <c r="L9" s="52">
        <v>48</v>
      </c>
      <c r="M9" s="52">
        <v>50</v>
      </c>
      <c r="N9" s="52">
        <v>62</v>
      </c>
      <c r="O9" s="52">
        <v>65</v>
      </c>
      <c r="P9" s="52">
        <v>67</v>
      </c>
      <c r="Q9" s="53">
        <f>IF(MAX(K9:M9)&gt;0,IF(MAX(K9:M9)&lt;0,0,TRUNC(MAX(K9:M9)/1)*1),"")</f>
        <v>50</v>
      </c>
      <c r="R9" s="54">
        <f>IF(MAX(N9:P9)&gt;0,IF(MAX(N9:P9)&lt;0,0,TRUNC(MAX(N9:P9)/1)*1),"")</f>
        <v>67</v>
      </c>
      <c r="S9" s="54">
        <f>IF(Q9="","",IF(R9="","",IF(SUM(Q9:R9)=0,"",SUM(Q9:R9))))</f>
        <v>117</v>
      </c>
      <c r="T9" s="55">
        <f>IF(S9="","",IF(D9="","",IF((AD9="k"),IF(D9&gt;153.757,S9,IF(D9&lt;28,10^(0.0787004341*LOG10(28/153.757)^2)*S9,10^(0.787004341*LOG10(D9/153.757)^2)*S9)),IF(D9&gt;193.609,S9,IF(D9&lt;32,10^(0.722762521*LOG10(32/193.609)^2)*S9,10^(0.722762521*LOG10(D9/193.609)^2)*S9)))))</f>
        <v>184.78034692416298</v>
      </c>
      <c r="U9" s="56" t="str">
        <f>IF(AF9=1,T9*AI9,"")</f>
        <v/>
      </c>
      <c r="V9" s="57">
        <v>7.15</v>
      </c>
      <c r="W9" s="57">
        <v>11.28</v>
      </c>
      <c r="X9" s="57">
        <v>6.75</v>
      </c>
      <c r="Y9" s="55"/>
      <c r="Z9" s="56"/>
      <c r="AA9" s="56">
        <v>1</v>
      </c>
      <c r="AB9" s="58"/>
      <c r="AC9" s="59">
        <f>U5</f>
        <v>46263</v>
      </c>
      <c r="AD9" s="60" t="str">
        <f>IF(ISNUMBER(FIND("M",E9)),"m",IF(ISNUMBER(FIND("K",E9)),"k"))</f>
        <v>m</v>
      </c>
      <c r="AE9" s="61">
        <f>IF(OR(G9="",AC9=""),0,(YEAR(AC9)-YEAR(G9)))</f>
        <v>13</v>
      </c>
      <c r="AF9" s="62">
        <f>IF(AE9&gt;34,1,0)</f>
        <v>0</v>
      </c>
      <c r="AG9" s="44" t="b">
        <f>IF(AF9=1,LOOKUP(AE9,'Meltzer-Faber'!A3:A63,'Meltzer-Faber'!B3:B63))</f>
        <v>0</v>
      </c>
      <c r="AH9" s="63" t="b">
        <f>IF(AF9=1,LOOKUP(AE9,'Meltzer-Faber'!A3:A63,'Meltzer-Faber'!C3:C63))</f>
        <v>0</v>
      </c>
      <c r="AI9" s="63" t="b">
        <f>IF(AD9="m",AG9,IF(AD9="k",AH9,""))</f>
        <v>0</v>
      </c>
      <c r="AJ9" s="64">
        <f>IF(D9="","",IF(D9&gt;193.609,1,IF(D9&lt;32,10^(0.722762521*LOG10(32/193.609)^2),10^(0.722762521*LOG10(D9/193.609)^2))))</f>
        <v>1.5793192044800255</v>
      </c>
      <c r="AK9" s="44"/>
    </row>
    <row r="10" spans="1:37" ht="19.5" customHeight="1">
      <c r="A10" s="44"/>
      <c r="B10" s="65"/>
      <c r="C10" s="3"/>
      <c r="D10" s="3"/>
      <c r="E10" s="3"/>
      <c r="F10" s="66"/>
      <c r="G10" s="67"/>
      <c r="H10" s="68"/>
      <c r="I10" s="69"/>
      <c r="J10" s="69"/>
      <c r="K10" s="173"/>
      <c r="L10" s="173"/>
      <c r="M10" s="173"/>
      <c r="N10" s="172"/>
      <c r="O10" s="172"/>
      <c r="P10" s="172"/>
      <c r="Q10" s="70"/>
      <c r="R10" s="3"/>
      <c r="S10" s="173">
        <f>IF(T9="","",T9*1.2)</f>
        <v>221.73641630899559</v>
      </c>
      <c r="T10" s="173"/>
      <c r="U10" s="3"/>
      <c r="V10" s="3">
        <f>IF(V9&gt;0,V9*20,"")</f>
        <v>143</v>
      </c>
      <c r="W10" s="3">
        <f>IF(W9="","",(W9*10)*AJ9)</f>
        <v>178.14720626534688</v>
      </c>
      <c r="X10" s="3">
        <f>IF(ROUNDUP(X9,1)&gt;0,IF((80+(8-ROUNDUP(X9,1))*40)&lt;0,0,80+(8-ROUNDUP(X9,1))*40),"")</f>
        <v>128</v>
      </c>
      <c r="Y10" s="4">
        <f>IF(SUM(V10,W10,X10)&gt;0,SUM(V10,W10,X10),"")</f>
        <v>449.14720626534688</v>
      </c>
      <c r="Z10" s="3">
        <f>IF(AE9&gt;34,(IF(OR(S10="",V10="",W10="",X10=""),"",SUM(S10,V10,W10,X10))*AI9),IF(OR(S10="",V10="",W10="",X10=""),"", SUM(S10,V10,W10,X10)))</f>
        <v>670.88362257434244</v>
      </c>
      <c r="AA10" s="3"/>
      <c r="AB10" s="66"/>
      <c r="AC10" s="71"/>
      <c r="AD10" s="6"/>
      <c r="AE10" s="61"/>
      <c r="AF10" s="72"/>
      <c r="AG10" s="44"/>
      <c r="AH10" s="63"/>
      <c r="AI10" s="63"/>
      <c r="AJ10" s="64"/>
      <c r="AK10" s="44"/>
    </row>
    <row r="11" spans="1:37" ht="19.5" customHeight="1">
      <c r="A11" s="44"/>
      <c r="B11" s="73" t="s">
        <v>143</v>
      </c>
      <c r="C11" s="84" t="s">
        <v>144</v>
      </c>
      <c r="D11" s="78">
        <v>63.66</v>
      </c>
      <c r="E11" s="84" t="s">
        <v>141</v>
      </c>
      <c r="F11" s="84" t="s">
        <v>51</v>
      </c>
      <c r="G11" s="85">
        <v>41110</v>
      </c>
      <c r="H11" s="84" t="s">
        <v>82</v>
      </c>
      <c r="I11" s="86" t="s">
        <v>145</v>
      </c>
      <c r="J11" s="87" t="s">
        <v>58</v>
      </c>
      <c r="K11" s="74">
        <v>45</v>
      </c>
      <c r="L11" s="74">
        <v>47</v>
      </c>
      <c r="M11" s="74">
        <v>-50</v>
      </c>
      <c r="N11" s="74">
        <v>64</v>
      </c>
      <c r="O11" s="74">
        <v>-67</v>
      </c>
      <c r="P11" s="74">
        <v>68</v>
      </c>
      <c r="Q11" s="75">
        <f>IF(MAX(K11:M11)&gt;0,IF(MAX(K11:M11)&lt;0,0,TRUNC(MAX(K11:M11)/1)*1),"")</f>
        <v>47</v>
      </c>
      <c r="R11" s="76">
        <f>IF(MAX(N11:P11)&gt;0,IF(MAX(N11:P11)&lt;0,0,TRUNC(MAX(N11:P11)/1)*1),"")</f>
        <v>68</v>
      </c>
      <c r="S11" s="76">
        <f>IF(Q11="","",IF(R11="","",IF(SUM(Q11:R11)=0,"",SUM(Q11:R11))))</f>
        <v>115</v>
      </c>
      <c r="T11" s="77">
        <f>IF(S11="","",IF(D11="","",IF((AD11="k"),IF(D11&gt;153.757,S11,IF(D11&lt;28,10^(0.0787004341*LOG10(28/153.757)^2)*S11,10^(0.787004341*LOG10(D11/153.757)^2)*S11)),IF(D11&gt;193.609,S11,IF(D11&lt;32,10^(0.722762521*LOG10(32/193.609)^2)*S11,10^(0.722762521*LOG10(D11/193.609)^2)*S11)))))</f>
        <v>169.57097496247937</v>
      </c>
      <c r="U11" s="78" t="str">
        <f>IF(AF11=1,T11*AI11,"")</f>
        <v/>
      </c>
      <c r="V11" s="79">
        <v>6.51</v>
      </c>
      <c r="W11" s="79">
        <v>10.74</v>
      </c>
      <c r="X11" s="79">
        <v>7.12</v>
      </c>
      <c r="Y11" s="80"/>
      <c r="Z11" s="78"/>
      <c r="AA11" s="78">
        <v>2</v>
      </c>
      <c r="AB11" s="81"/>
      <c r="AC11" s="71">
        <f>U5</f>
        <v>46263</v>
      </c>
      <c r="AD11" s="60" t="str">
        <f>IF(ISNUMBER(FIND("M",E11)),"m",IF(ISNUMBER(FIND("K",E11)),"k"))</f>
        <v>m</v>
      </c>
      <c r="AE11" s="61">
        <f>IF(OR(G11="",AC11=""),0,(YEAR(AC11)-YEAR(G11)))</f>
        <v>14</v>
      </c>
      <c r="AF11" s="62">
        <f>IF(AE11&gt;34,1,0)</f>
        <v>0</v>
      </c>
      <c r="AG11" s="44" t="b">
        <f>IF(AF11=1,LOOKUP(AE11,'Meltzer-Faber'!A3:A63,'Meltzer-Faber'!B3:B63))</f>
        <v>0</v>
      </c>
      <c r="AH11" s="63" t="b">
        <f>IF(AF11=1,LOOKUP(AE11,'Meltzer-Faber'!A3:A63,'Meltzer-Faber'!C3:C63))</f>
        <v>0</v>
      </c>
      <c r="AI11" s="63" t="b">
        <f>IF(AD11="m",AG11,IF(AD11="k",AH11,""))</f>
        <v>0</v>
      </c>
      <c r="AJ11" s="64">
        <f>IF(D11="","",IF(D11&gt;193.609,1,IF(D11&lt;32,10^(0.722762521*LOG10(32/193.609)^2),10^(0.722762521*LOG10(D11/193.609)^2))))</f>
        <v>1.4745302170650381</v>
      </c>
      <c r="AK11" s="44"/>
    </row>
    <row r="12" spans="1:37" ht="19.5" customHeight="1">
      <c r="A12" s="44"/>
      <c r="B12" s="82"/>
      <c r="C12" s="3"/>
      <c r="D12" s="3"/>
      <c r="E12" s="3"/>
      <c r="F12" s="66"/>
      <c r="G12" s="67"/>
      <c r="H12" s="68"/>
      <c r="I12" s="69"/>
      <c r="J12" s="69"/>
      <c r="K12" s="173"/>
      <c r="L12" s="173"/>
      <c r="M12" s="173"/>
      <c r="N12" s="172"/>
      <c r="O12" s="172"/>
      <c r="P12" s="172"/>
      <c r="Q12" s="70"/>
      <c r="R12" s="3"/>
      <c r="S12" s="173">
        <f>IF(T11="","",T11*1.2)</f>
        <v>203.48516995497525</v>
      </c>
      <c r="T12" s="173"/>
      <c r="U12" s="3"/>
      <c r="V12" s="3">
        <f>IF(V11&gt;0,V11*20,"")</f>
        <v>130.19999999999999</v>
      </c>
      <c r="W12" s="3">
        <f>IF(W11="","",(W11*10)*AJ11)</f>
        <v>158.36454531278508</v>
      </c>
      <c r="X12" s="3">
        <f>IF(ROUNDUP(X11,1)&gt;0,IF((80+(8-ROUNDUP(X11,1))*40)&lt;0,0,80+(8-ROUNDUP(X11,1))*40),"")</f>
        <v>112.00000000000003</v>
      </c>
      <c r="Y12" s="4">
        <f>IF(SUM(V12,W12,X12)&gt;0,SUM(V12,W12,X12),"")</f>
        <v>400.56454531278507</v>
      </c>
      <c r="Z12" s="3">
        <f>IF(AE11&gt;34,(IF(OR(S12="",V12="",W12="",X12=""),"",SUM(S12,V12,W12,X12))*AI11),IF(OR(S12="",V12="",W12="",X12=""),"", SUM(S12,V12,W12,X12)))</f>
        <v>604.04971526776035</v>
      </c>
      <c r="AA12" s="3"/>
      <c r="AB12" s="66"/>
      <c r="AC12" s="71"/>
      <c r="AD12" s="6"/>
      <c r="AE12" s="61"/>
      <c r="AF12" s="62"/>
      <c r="AG12" s="44"/>
      <c r="AH12" s="63"/>
      <c r="AI12" s="63"/>
      <c r="AJ12" s="64"/>
      <c r="AK12" s="44"/>
    </row>
    <row r="13" spans="1:37" ht="19.5" customHeight="1">
      <c r="A13" s="44"/>
      <c r="B13" s="83" t="s">
        <v>146</v>
      </c>
      <c r="C13" s="84" t="s">
        <v>147</v>
      </c>
      <c r="D13" s="78">
        <v>89.23</v>
      </c>
      <c r="E13" s="84" t="s">
        <v>141</v>
      </c>
      <c r="F13" s="84" t="s">
        <v>51</v>
      </c>
      <c r="G13" s="85">
        <v>40973</v>
      </c>
      <c r="H13" s="84" t="s">
        <v>77</v>
      </c>
      <c r="I13" s="86" t="s">
        <v>148</v>
      </c>
      <c r="J13" s="87" t="s">
        <v>96</v>
      </c>
      <c r="K13" s="74">
        <v>58</v>
      </c>
      <c r="L13" s="74">
        <v>-61</v>
      </c>
      <c r="M13" s="74">
        <v>61</v>
      </c>
      <c r="N13" s="74">
        <v>73</v>
      </c>
      <c r="O13" s="74">
        <v>76</v>
      </c>
      <c r="P13" s="74">
        <v>80</v>
      </c>
      <c r="Q13" s="75">
        <f>IF(MAX(K13:M13)&gt;0,IF(MAX(K13:M13)&lt;0,0,TRUNC(MAX(K13:M13)/1)*1),"")</f>
        <v>61</v>
      </c>
      <c r="R13" s="76">
        <f>IF(MAX(N13:P13)&gt;0,IF(MAX(N13:P13)&lt;0,0,TRUNC(MAX(N13:P13)/1)*1),"")</f>
        <v>80</v>
      </c>
      <c r="S13" s="76">
        <f>IF(Q13="","",IF(R13="","",IF(SUM(Q13:R13)=0,"",SUM(Q13:R13))))</f>
        <v>141</v>
      </c>
      <c r="T13" s="77">
        <f>IF(S13="","",IF(D13="","",IF((AD13="k"),IF(D13&gt;153.757,S13,IF(D13&lt;28,10^(0.0787004341*LOG10(28/153.757)^2)*S13,10^(0.787004341*LOG10(D13/153.757)^2)*S13)),IF(D13&gt;193.609,S13,IF(D13&lt;32,10^(0.722762521*LOG10(32/193.609)^2)*S13,10^(0.722762521*LOG10(D13/193.609)^2)*S13)))))</f>
        <v>170.22276001312508</v>
      </c>
      <c r="U13" s="78" t="str">
        <f>IF(AF13=1,T13*AI13,"")</f>
        <v/>
      </c>
      <c r="V13" s="79">
        <v>6.33</v>
      </c>
      <c r="W13" s="79">
        <v>11.03</v>
      </c>
      <c r="X13" s="79">
        <v>7.73</v>
      </c>
      <c r="Y13" s="88"/>
      <c r="Z13" s="78"/>
      <c r="AA13" s="78">
        <v>3</v>
      </c>
      <c r="AB13" s="81"/>
      <c r="AC13" s="71">
        <f>U5</f>
        <v>46263</v>
      </c>
      <c r="AD13" s="60" t="str">
        <f>IF(ISNUMBER(FIND("M",E13)),"m",IF(ISNUMBER(FIND("K",E13)),"k"))</f>
        <v>m</v>
      </c>
      <c r="AE13" s="61">
        <f>IF(OR(G13="",AC13=""),0,(YEAR(AC13)-YEAR(G13)))</f>
        <v>14</v>
      </c>
      <c r="AF13" s="62">
        <f>IF(AE13&gt;34,1,0)</f>
        <v>0</v>
      </c>
      <c r="AG13" s="44" t="b">
        <f>IF(AF13=1,LOOKUP(AE13,'Meltzer-Faber'!A3:A63,'Meltzer-Faber'!B3:B63))</f>
        <v>0</v>
      </c>
      <c r="AH13" s="63" t="b">
        <f>IF(AF13=1,LOOKUP(AE13,'Meltzer-Faber'!A3:A63,'Meltzer-Faber'!C3:C63))</f>
        <v>0</v>
      </c>
      <c r="AI13" s="63" t="b">
        <f>IF(AD13="m",AG13,IF(AD13="k",AH13,""))</f>
        <v>0</v>
      </c>
      <c r="AJ13" s="64">
        <f>IF(D13="","",IF(D13&gt;193.609,1,IF(D13&lt;32,10^(0.722762521*LOG10(32/193.609)^2),10^(0.722762521*LOG10(D13/193.609)^2))))</f>
        <v>1.2072536171143622</v>
      </c>
      <c r="AK13" s="44"/>
    </row>
    <row r="14" spans="1:37" ht="19.5" customHeight="1">
      <c r="A14" s="44"/>
      <c r="B14" s="82"/>
      <c r="C14" s="3"/>
      <c r="D14" s="3"/>
      <c r="E14" s="3"/>
      <c r="F14" s="66"/>
      <c r="G14" s="67"/>
      <c r="H14" s="68"/>
      <c r="I14" s="69"/>
      <c r="J14" s="69"/>
      <c r="K14" s="173"/>
      <c r="L14" s="173"/>
      <c r="M14" s="173"/>
      <c r="N14" s="172"/>
      <c r="O14" s="172"/>
      <c r="P14" s="172"/>
      <c r="Q14" s="70"/>
      <c r="R14" s="3"/>
      <c r="S14" s="173">
        <f>IF(T13="","",T13*1.2)</f>
        <v>204.26731201575009</v>
      </c>
      <c r="T14" s="173"/>
      <c r="U14" s="3"/>
      <c r="V14" s="3">
        <f>IF(V13&gt;0,V13*20,"")</f>
        <v>126.6</v>
      </c>
      <c r="W14" s="3">
        <f>IF(W13="","",(W13*10)*AJ13)</f>
        <v>133.16007396771414</v>
      </c>
      <c r="X14" s="3">
        <f>IF(ROUNDUP(X13,1)&gt;0,IF((80+(8-ROUNDUP(X13,1))*40)&lt;0,0,80+(8-ROUNDUP(X13,1))*40),"")</f>
        <v>88</v>
      </c>
      <c r="Y14" s="4">
        <f>IF(SUM(V14,W14,X14)&gt;0,SUM(V14,W14,X14),"")</f>
        <v>347.76007396771411</v>
      </c>
      <c r="Z14" s="3">
        <f>IF(AE13&gt;34,(IF(OR(S14="",V14="",W14="",X14=""),"",SUM(S14,V14,W14,X14))*AI13),IF(OR(S14="",V14="",W14="",X14=""),"", SUM(S14,V14,W14,X14)))</f>
        <v>552.02738598346423</v>
      </c>
      <c r="AA14" s="3"/>
      <c r="AB14" s="66"/>
      <c r="AC14" s="71"/>
      <c r="AD14" s="6"/>
      <c r="AE14" s="61"/>
      <c r="AF14" s="62"/>
      <c r="AG14" s="44"/>
      <c r="AH14" s="63"/>
      <c r="AI14" s="63"/>
      <c r="AJ14" s="64"/>
      <c r="AK14" s="44"/>
    </row>
    <row r="15" spans="1:37" ht="19.5" customHeight="1">
      <c r="A15" s="44"/>
      <c r="B15" s="83" t="s">
        <v>149</v>
      </c>
      <c r="C15" s="84" t="s">
        <v>150</v>
      </c>
      <c r="D15" s="78">
        <v>54.04</v>
      </c>
      <c r="E15" s="84" t="s">
        <v>141</v>
      </c>
      <c r="F15" s="84" t="s">
        <v>51</v>
      </c>
      <c r="G15" s="85">
        <v>41504</v>
      </c>
      <c r="H15" s="84" t="s">
        <v>90</v>
      </c>
      <c r="I15" s="86" t="s">
        <v>151</v>
      </c>
      <c r="J15" s="87" t="s">
        <v>152</v>
      </c>
      <c r="K15" s="74">
        <v>40</v>
      </c>
      <c r="L15" s="74">
        <v>-42</v>
      </c>
      <c r="M15" s="74">
        <v>43</v>
      </c>
      <c r="N15" s="74">
        <v>50</v>
      </c>
      <c r="O15" s="74">
        <v>53</v>
      </c>
      <c r="P15" s="74">
        <v>55</v>
      </c>
      <c r="Q15" s="75">
        <f>IF(MAX(K15:M15)&gt;0,IF(MAX(K15:M15)&lt;0,0,TRUNC(MAX(K15:M15)/1)*1),"")</f>
        <v>43</v>
      </c>
      <c r="R15" s="76">
        <f>IF(MAX(N15:P15)&gt;0,IF(MAX(N15:P15)&lt;0,0,TRUNC(MAX(N15:P15)/1)*1),"")</f>
        <v>55</v>
      </c>
      <c r="S15" s="76">
        <f>IF(Q15="","",IF(R15="","",IF(SUM(Q15:R15)=0,"",SUM(Q15:R15))))</f>
        <v>98</v>
      </c>
      <c r="T15" s="77">
        <f>IF(S15="","",IF(D15="","",IF((AD15="k"),IF(D15&gt;153.757,S15,IF(D15&lt;28,10^(0.0787004341*LOG10(28/153.757)^2)*S15,10^(0.787004341*LOG10(D15/153.757)^2)*S15)),IF(D15&gt;193.609,S15,IF(D15&lt;32,10^(0.722762521*LOG10(32/193.609)^2)*S15,10^(0.722762521*LOG10(D15/193.609)^2)*S15)))))</f>
        <v>163.38862698121193</v>
      </c>
      <c r="U15" s="78" t="str">
        <f>IF(AF15=1,T15*AI15,"")</f>
        <v/>
      </c>
      <c r="V15" s="79">
        <v>6.39</v>
      </c>
      <c r="W15" s="79">
        <v>7</v>
      </c>
      <c r="X15" s="79">
        <v>7.41</v>
      </c>
      <c r="Y15" s="80"/>
      <c r="Z15" s="78"/>
      <c r="AA15" s="78">
        <v>4</v>
      </c>
      <c r="AB15" s="81"/>
      <c r="AC15" s="71">
        <f>U5</f>
        <v>46263</v>
      </c>
      <c r="AD15" s="60" t="str">
        <f>IF(ISNUMBER(FIND("M",E15)),"m",IF(ISNUMBER(FIND("K",E15)),"k"))</f>
        <v>m</v>
      </c>
      <c r="AE15" s="61">
        <f>IF(OR(G15="",AC15=""),0,(YEAR(AC15)-YEAR(G15)))</f>
        <v>13</v>
      </c>
      <c r="AF15" s="62">
        <f>IF(AE15&gt;34,1,0)</f>
        <v>0</v>
      </c>
      <c r="AG15" s="44" t="b">
        <f>IF(AF15=1,LOOKUP(AE15,'Meltzer-Faber'!A3:A63,'Meltzer-Faber'!B3:B63))</f>
        <v>0</v>
      </c>
      <c r="AH15" s="63" t="b">
        <f>IF(AF15=1,LOOKUP(AE15,'Meltzer-Faber'!A3:A63,'Meltzer-Faber'!C3:C63))</f>
        <v>0</v>
      </c>
      <c r="AI15" s="63" t="b">
        <f>IF(AD15="m",AG15,IF(AD15="k",AH15,""))</f>
        <v>0</v>
      </c>
      <c r="AJ15" s="64">
        <f>IF(D15="","",IF(D15&gt;193.609,1,IF(D15&lt;32,10^(0.722762521*LOG10(32/193.609)^2),10^(0.722762521*LOG10(D15/193.609)^2))))</f>
        <v>1.667230887563387</v>
      </c>
      <c r="AK15" s="44"/>
    </row>
    <row r="16" spans="1:37" ht="19.5" customHeight="1">
      <c r="A16" s="44"/>
      <c r="B16" s="82"/>
      <c r="C16" s="3"/>
      <c r="D16" s="3"/>
      <c r="E16" s="3"/>
      <c r="F16" s="66"/>
      <c r="G16" s="67"/>
      <c r="H16" s="68"/>
      <c r="I16" s="69"/>
      <c r="J16" s="69"/>
      <c r="K16" s="173"/>
      <c r="L16" s="173"/>
      <c r="M16" s="173"/>
      <c r="N16" s="172"/>
      <c r="O16" s="172"/>
      <c r="P16" s="172"/>
      <c r="Q16" s="89"/>
      <c r="R16" s="90"/>
      <c r="S16" s="173">
        <f>IF(T15="","",T15*1.2)</f>
        <v>196.06635237745431</v>
      </c>
      <c r="T16" s="173"/>
      <c r="U16" s="3"/>
      <c r="V16" s="3">
        <f>IF(V15&gt;0,V15*20,"")</f>
        <v>127.8</v>
      </c>
      <c r="W16" s="3">
        <f>IF(W15="","",(W15*10)*AJ15)</f>
        <v>116.70616212943709</v>
      </c>
      <c r="X16" s="3">
        <f>IF(ROUNDUP(X15,1)&gt;0,IF((80+(8-ROUNDUP(X15,1))*40)&lt;0,0,80+(8-ROUNDUP(X15,1))*40),"")</f>
        <v>100</v>
      </c>
      <c r="Y16" s="4">
        <f>IF(SUM(V16,W16,X16)&gt;0,SUM(V16,W16,X16),"")</f>
        <v>344.50616212943709</v>
      </c>
      <c r="Z16" s="3">
        <f>IF(AE15&gt;34,(IF(OR(S16="",V16="",W16="",X16=""),"",SUM(S16,V16,W16,X16))*AI15),IF(OR(S16="",V16="",W16="",X16=""),"", SUM(S16,V16,W16,X16)))</f>
        <v>540.57251450689137</v>
      </c>
      <c r="AA16" s="3"/>
      <c r="AB16" s="66"/>
      <c r="AC16" s="71"/>
      <c r="AD16" s="6"/>
      <c r="AE16" s="61"/>
      <c r="AF16" s="62"/>
      <c r="AG16" s="44"/>
      <c r="AH16" s="63"/>
      <c r="AI16" s="63"/>
      <c r="AJ16" s="64"/>
      <c r="AK16" s="44"/>
    </row>
    <row r="17" spans="1:37" ht="19.5" customHeight="1">
      <c r="A17" s="44"/>
      <c r="B17" s="83" t="s">
        <v>153</v>
      </c>
      <c r="C17" s="84" t="s">
        <v>154</v>
      </c>
      <c r="D17" s="78">
        <v>80.31</v>
      </c>
      <c r="E17" s="84" t="s">
        <v>141</v>
      </c>
      <c r="F17" s="84" t="s">
        <v>51</v>
      </c>
      <c r="G17" s="85">
        <v>41187</v>
      </c>
      <c r="H17" s="84" t="s">
        <v>94</v>
      </c>
      <c r="I17" s="91" t="s">
        <v>155</v>
      </c>
      <c r="J17" s="87" t="s">
        <v>79</v>
      </c>
      <c r="K17" s="74">
        <v>52</v>
      </c>
      <c r="L17" s="74">
        <v>56</v>
      </c>
      <c r="M17" s="74">
        <v>-59</v>
      </c>
      <c r="N17" s="74">
        <v>-62</v>
      </c>
      <c r="O17" s="74">
        <v>62</v>
      </c>
      <c r="P17" s="74">
        <v>67</v>
      </c>
      <c r="Q17" s="75">
        <f>IF(MAX(K17:M17)&gt;0,IF(MAX(K17:M17)&lt;0,0,TRUNC(MAX(K17:M17)/1)*1),"")</f>
        <v>56</v>
      </c>
      <c r="R17" s="76">
        <f>IF(MAX(N17:P17)&gt;0,IF(MAX(N17:P17)&lt;0,0,TRUNC(MAX(N17:P17)/1)*1),"")</f>
        <v>67</v>
      </c>
      <c r="S17" s="74">
        <f>IF(Q17="","",IF(R17="","",IF(SUM(Q17:R17)=0,"",SUM(Q17:R17))))</f>
        <v>123</v>
      </c>
      <c r="T17" s="77">
        <f>IF(S17="","",IF(D17="","",IF((AD17="k"),IF(D17&gt;153.757,S17,IF(D17&lt;28,10^(0.0787004341*LOG10(28/153.757)^2)*S17,10^(0.787004341*LOG10(D17/153.757)^2)*S17)),IF(D17&gt;193.609,S17,IF(D17&lt;32,10^(0.722762521*LOG10(32/193.609)^2)*S17,10^(0.722762521*LOG10(D17/193.609)^2)*S17)))))</f>
        <v>156.84100713910823</v>
      </c>
      <c r="U17" s="78" t="str">
        <f>IF(AF17=1,T17*AI17,"")</f>
        <v/>
      </c>
      <c r="V17" s="79">
        <v>6.52</v>
      </c>
      <c r="W17" s="79">
        <v>9.8699999999999992</v>
      </c>
      <c r="X17" s="79">
        <v>7.91</v>
      </c>
      <c r="Y17" s="80"/>
      <c r="Z17" s="78"/>
      <c r="AA17" s="78">
        <v>5</v>
      </c>
      <c r="AB17" s="81"/>
      <c r="AC17" s="71">
        <f>U5</f>
        <v>46263</v>
      </c>
      <c r="AD17" s="60" t="str">
        <f>IF(ISNUMBER(FIND("M",E17)),"m",IF(ISNUMBER(FIND("K",E17)),"k"))</f>
        <v>m</v>
      </c>
      <c r="AE17" s="61">
        <f>IF(OR(G17="",AC17=""),0,(YEAR(AC17)-YEAR(G17)))</f>
        <v>14</v>
      </c>
      <c r="AF17" s="62">
        <f>IF(AE17&gt;34,1,0)</f>
        <v>0</v>
      </c>
      <c r="AG17" s="44" t="b">
        <f>IF(AF17=1,LOOKUP(AE17,'Meltzer-Faber'!A3:A63,'Meltzer-Faber'!B3:B63))</f>
        <v>0</v>
      </c>
      <c r="AH17" s="63" t="b">
        <f>IF(AF17=1,LOOKUP(AE17,'Meltzer-Faber'!A3:A63,'Meltzer-Faber'!C3:C63))</f>
        <v>0</v>
      </c>
      <c r="AI17" s="63" t="b">
        <f>IF(AD17="m",AG17,IF(AD17="k",AH17,""))</f>
        <v>0</v>
      </c>
      <c r="AJ17" s="64">
        <f>IF(D17="","",IF(D17&gt;193.609,1,IF(D17&lt;32,10^(0.722762521*LOG10(32/193.609)^2),10^(0.722762521*LOG10(D17/193.609)^2))))</f>
        <v>1.2751301393423433</v>
      </c>
      <c r="AK17" s="44"/>
    </row>
    <row r="18" spans="1:37" ht="19.5" customHeight="1">
      <c r="A18" s="44"/>
      <c r="B18" s="82"/>
      <c r="C18" s="3"/>
      <c r="D18" s="3"/>
      <c r="E18" s="3"/>
      <c r="F18" s="66"/>
      <c r="G18" s="67"/>
      <c r="H18" s="68"/>
      <c r="I18" s="69"/>
      <c r="J18" s="69"/>
      <c r="K18" s="173"/>
      <c r="L18" s="173"/>
      <c r="M18" s="173"/>
      <c r="N18" s="172"/>
      <c r="O18" s="172"/>
      <c r="P18" s="172"/>
      <c r="Q18" s="70"/>
      <c r="R18" s="3"/>
      <c r="S18" s="173">
        <f>IF(T17="","",T17*1.2)</f>
        <v>188.20920856692987</v>
      </c>
      <c r="T18" s="173"/>
      <c r="U18" s="3"/>
      <c r="V18" s="3">
        <f>IF(V17&gt;0,V17*20,"")</f>
        <v>130.39999999999998</v>
      </c>
      <c r="W18" s="3">
        <f>IF(W17="","",(W17*10)*AJ17)</f>
        <v>125.85534475308927</v>
      </c>
      <c r="X18" s="3">
        <f>IF(ROUNDUP(X17,1)&gt;0,IF((80+(8-ROUNDUP(X17,1))*40)&lt;0,0,80+(8-ROUNDUP(X17,1))*40),"")</f>
        <v>80</v>
      </c>
      <c r="Y18" s="4">
        <f>IF(SUM(V18,W18,X18)&gt;0,SUM(V18,W18,X18),"")</f>
        <v>336.25534475308928</v>
      </c>
      <c r="Z18" s="3">
        <f>IF(AE17&gt;34,(IF(OR(S18="",V18="",W18="",X18=""),"",SUM(S18,V18,W18,X18))*AI17),IF(OR(S18="",V18="",W18="",X18=""),"", SUM(S18,V18,W18,X18)))</f>
        <v>524.46455332001915</v>
      </c>
      <c r="AA18" s="3"/>
      <c r="AB18" s="66"/>
      <c r="AC18" s="71"/>
      <c r="AD18" s="6"/>
      <c r="AE18" s="61"/>
      <c r="AF18" s="62"/>
      <c r="AG18" s="44"/>
      <c r="AH18" s="63"/>
      <c r="AI18" s="63"/>
      <c r="AJ18" s="64"/>
      <c r="AK18" s="44"/>
    </row>
    <row r="19" spans="1:37" ht="19.5" customHeight="1">
      <c r="A19" s="44"/>
      <c r="B19" s="83" t="s">
        <v>156</v>
      </c>
      <c r="C19" s="84" t="s">
        <v>157</v>
      </c>
      <c r="D19" s="78">
        <v>73.66</v>
      </c>
      <c r="E19" s="84" t="s">
        <v>141</v>
      </c>
      <c r="F19" s="84" t="s">
        <v>76</v>
      </c>
      <c r="G19" s="85">
        <v>40390</v>
      </c>
      <c r="H19" s="84" t="s">
        <v>72</v>
      </c>
      <c r="I19" s="91" t="s">
        <v>158</v>
      </c>
      <c r="J19" s="87" t="s">
        <v>159</v>
      </c>
      <c r="K19" s="74">
        <v>93</v>
      </c>
      <c r="L19" s="74">
        <v>97</v>
      </c>
      <c r="M19" s="74">
        <v>100</v>
      </c>
      <c r="N19" s="74">
        <v>117</v>
      </c>
      <c r="O19" s="74">
        <v>121</v>
      </c>
      <c r="P19" s="74">
        <v>125</v>
      </c>
      <c r="Q19" s="75">
        <f>IF(MAX(K19:M19)&gt;0,IF(MAX(K19:M19)&lt;0,0,TRUNC(MAX(K19:M19)/1)*1),"")</f>
        <v>100</v>
      </c>
      <c r="R19" s="76">
        <f>IF(MAX(N19:P19)&gt;0,IF(MAX(N19:P19)&lt;0,0,TRUNC(MAX(N19:P19)/1)*1),"")</f>
        <v>125</v>
      </c>
      <c r="S19" s="74">
        <f>IF(Q19="","",IF(R19="","",IF(SUM(Q19:R19)=0,"",SUM(Q19:R19))))</f>
        <v>225</v>
      </c>
      <c r="T19" s="77">
        <f>IF(S19="","",IF(D19="","",IF((AD19="k"),IF(D19&gt;153.757,S19,IF(D19&lt;28,10^(0.0787004341*LOG10(28/153.757)^2)*S19,10^(0.787004341*LOG10(D19/153.757)^2)*S19)),IF(D19&gt;193.609,S19,IF(D19&lt;32,10^(0.722762521*LOG10(32/193.609)^2)*S19,10^(0.722762521*LOG10(D19/193.609)^2)*S19)))))</f>
        <v>301.64213833849567</v>
      </c>
      <c r="U19" s="78" t="str">
        <f>IF(AF19=1,T19*AI19,"")</f>
        <v/>
      </c>
      <c r="V19" s="79">
        <v>7.94</v>
      </c>
      <c r="W19" s="79">
        <v>12.96</v>
      </c>
      <c r="X19" s="79">
        <v>6.71</v>
      </c>
      <c r="Y19" s="80"/>
      <c r="Z19" s="78"/>
      <c r="AA19" s="78">
        <v>1</v>
      </c>
      <c r="AB19" s="81"/>
      <c r="AC19" s="71">
        <f>U5</f>
        <v>46263</v>
      </c>
      <c r="AD19" s="60" t="str">
        <f>IF(ISNUMBER(FIND("M",E19)),"m",IF(ISNUMBER(FIND("K",E19)),"k"))</f>
        <v>m</v>
      </c>
      <c r="AE19" s="61">
        <f>IF(OR(G19="",AC19=""),0,(YEAR(AC19)-YEAR(G19)))</f>
        <v>16</v>
      </c>
      <c r="AF19" s="62">
        <f>IF(AE19&gt;34,1,0)</f>
        <v>0</v>
      </c>
      <c r="AG19" s="44" t="b">
        <f>IF(AF19=1,LOOKUP(AE19,'Meltzer-Faber'!A3:A63,'Meltzer-Faber'!B3:B63))</f>
        <v>0</v>
      </c>
      <c r="AH19" s="63" t="b">
        <f>IF(AF19=1,LOOKUP(AE19,'Meltzer-Faber'!A3:A63,'Meltzer-Faber'!C3:C63))</f>
        <v>0</v>
      </c>
      <c r="AI19" s="63" t="b">
        <f>IF(AD19="m",AG19,IF(AD19="k",AH19,""))</f>
        <v>0</v>
      </c>
      <c r="AJ19" s="64">
        <f>IF(D19="","",IF(D19&gt;193.609,1,IF(D19&lt;32,10^(0.722762521*LOG10(32/193.609)^2),10^(0.722762521*LOG10(D19/193.609)^2))))</f>
        <v>1.3406317259488696</v>
      </c>
      <c r="AK19" s="44"/>
    </row>
    <row r="20" spans="1:37" ht="19.5" customHeight="1">
      <c r="A20" s="44"/>
      <c r="B20" s="82"/>
      <c r="C20" s="3"/>
      <c r="D20" s="3"/>
      <c r="E20" s="3"/>
      <c r="F20" s="66"/>
      <c r="G20" s="67"/>
      <c r="H20" s="68"/>
      <c r="I20" s="69"/>
      <c r="J20" s="69"/>
      <c r="K20" s="173"/>
      <c r="L20" s="173"/>
      <c r="M20" s="173"/>
      <c r="N20" s="172"/>
      <c r="O20" s="172"/>
      <c r="P20" s="172"/>
      <c r="Q20" s="70"/>
      <c r="R20" s="3"/>
      <c r="S20" s="173">
        <f>IF(T19="","",T19*1.2)</f>
        <v>361.97056600619482</v>
      </c>
      <c r="T20" s="173"/>
      <c r="U20" s="3"/>
      <c r="V20" s="3">
        <f>IF(V19&gt;0,V19*20,"")</f>
        <v>158.80000000000001</v>
      </c>
      <c r="W20" s="3">
        <f>IF(W19="","",(W19*10)*AJ19)</f>
        <v>173.74587168297353</v>
      </c>
      <c r="X20" s="3">
        <f>IF(ROUNDUP(X19,1)&gt;0,IF((80+(8-ROUNDUP(X19,1))*40)&lt;0,0,80+(8-ROUNDUP(X19,1))*40),"")</f>
        <v>128</v>
      </c>
      <c r="Y20" s="4">
        <f>IF(SUM(V20,W20,X20)&gt;0,SUM(V20,W20,X20),"")</f>
        <v>460.54587168297354</v>
      </c>
      <c r="Z20" s="3">
        <f>IF(AE19&gt;34,(IF(OR(S20="",V20="",W20="",X20=""),"",SUM(S20,V20,W20,X20))*AI19),IF(OR(S20="",V20="",W20="",X20=""),"", SUM(S20,V20,W20,X20)))</f>
        <v>822.51643768916836</v>
      </c>
      <c r="AA20" s="3"/>
      <c r="AB20" s="66"/>
      <c r="AC20" s="71"/>
      <c r="AD20" s="6"/>
      <c r="AE20" s="61"/>
      <c r="AF20" s="62"/>
      <c r="AG20" s="44"/>
      <c r="AH20" s="63"/>
      <c r="AI20" s="63"/>
      <c r="AJ20" s="64"/>
      <c r="AK20" s="44"/>
    </row>
    <row r="21" spans="1:37" ht="19.5" customHeight="1">
      <c r="A21" s="44"/>
      <c r="B21" s="83" t="s">
        <v>160</v>
      </c>
      <c r="C21" s="84" t="s">
        <v>147</v>
      </c>
      <c r="D21" s="78">
        <v>85.66</v>
      </c>
      <c r="E21" s="84" t="s">
        <v>141</v>
      </c>
      <c r="F21" s="84" t="s">
        <v>76</v>
      </c>
      <c r="G21" s="85">
        <v>40296</v>
      </c>
      <c r="H21" s="84" t="s">
        <v>99</v>
      </c>
      <c r="I21" s="86" t="s">
        <v>161</v>
      </c>
      <c r="J21" s="87" t="s">
        <v>58</v>
      </c>
      <c r="K21" s="74">
        <v>98</v>
      </c>
      <c r="L21" s="74">
        <v>104</v>
      </c>
      <c r="M21" s="74">
        <v>106</v>
      </c>
      <c r="N21" s="74">
        <v>118</v>
      </c>
      <c r="O21" s="74">
        <v>-124</v>
      </c>
      <c r="P21" s="74">
        <v>-124</v>
      </c>
      <c r="Q21" s="75">
        <f>IF(MAX(K21:M21)&gt;0,IF(MAX(K21:M21)&lt;0,0,TRUNC(MAX(K21:M21)/1)*1),"")</f>
        <v>106</v>
      </c>
      <c r="R21" s="76">
        <f>IF(MAX(N21:P21)&gt;0,IF(MAX(N21:P21)&lt;0,0,TRUNC(MAX(N21:P21)/1)*1),"")</f>
        <v>118</v>
      </c>
      <c r="S21" s="74">
        <f>IF(Q21="","",IF(R21="","",IF(SUM(Q21:R21)=0,"",SUM(Q21:R21))))</f>
        <v>224</v>
      </c>
      <c r="T21" s="77">
        <f>IF(S21="","",IF(D21="","",IF((AD21="k"),IF(D21&gt;153.757,S21,IF(D21&lt;28,10^(0.0787004341*LOG10(28/153.757)^2)*S21,10^(0.787004341*LOG10(D21/153.757)^2)*S21)),IF(D21&gt;193.609,S21,IF(D21&lt;32,10^(0.722762521*LOG10(32/193.609)^2)*S21,10^(0.722762521*LOG10(D21/193.609)^2)*S21)))))</f>
        <v>275.99245255715749</v>
      </c>
      <c r="U21" s="78" t="str">
        <f>IF(AF21=1,T21*AI21,"")</f>
        <v/>
      </c>
      <c r="V21" s="79">
        <v>7.43</v>
      </c>
      <c r="W21" s="79">
        <v>10.33</v>
      </c>
      <c r="X21" s="79">
        <v>6.85</v>
      </c>
      <c r="Y21" s="80"/>
      <c r="Z21" s="78"/>
      <c r="AA21" s="78">
        <v>2</v>
      </c>
      <c r="AB21" s="81"/>
      <c r="AC21" s="71">
        <f>U5</f>
        <v>46263</v>
      </c>
      <c r="AD21" s="60" t="str">
        <f>IF(ISNUMBER(FIND("M",E21)),"m",IF(ISNUMBER(FIND("K",E21)),"k"))</f>
        <v>m</v>
      </c>
      <c r="AE21" s="61">
        <f>IF(OR(G21="",AC21=""),0,(YEAR(AC21)-YEAR(G21)))</f>
        <v>16</v>
      </c>
      <c r="AF21" s="62">
        <f>IF(AE21&gt;34,1,0)</f>
        <v>0</v>
      </c>
      <c r="AG21" s="44" t="b">
        <f>IF(AF21=1,LOOKUP(AE21,'Meltzer-Faber'!A3:A63,'Meltzer-Faber'!B3:B63))</f>
        <v>0</v>
      </c>
      <c r="AH21" s="63" t="b">
        <f>IF(AF21=1,LOOKUP(AE21,'Meltzer-Faber'!A3:A63,'Meltzer-Faber'!C3:C63))</f>
        <v>0</v>
      </c>
      <c r="AI21" s="63" t="b">
        <f>IF(AD21="m",AG21,IF(AD21="k",AH21,""))</f>
        <v>0</v>
      </c>
      <c r="AJ21" s="64">
        <f>IF(D21="","",IF(D21&gt;193.609,1,IF(D21&lt;32,10^(0.722762521*LOG10(32/193.609)^2),10^(0.722762521*LOG10(D21/193.609)^2))))</f>
        <v>1.2321091632015959</v>
      </c>
      <c r="AK21" s="44"/>
    </row>
    <row r="22" spans="1:37" ht="19.5" customHeight="1">
      <c r="A22" s="44"/>
      <c r="B22" s="82"/>
      <c r="C22" s="3"/>
      <c r="D22" s="3"/>
      <c r="E22" s="3"/>
      <c r="F22" s="66"/>
      <c r="G22" s="67"/>
      <c r="H22" s="68"/>
      <c r="I22" s="69"/>
      <c r="J22" s="69"/>
      <c r="K22" s="173"/>
      <c r="L22" s="173"/>
      <c r="M22" s="173"/>
      <c r="N22" s="172"/>
      <c r="O22" s="172"/>
      <c r="P22" s="172"/>
      <c r="Q22" s="70"/>
      <c r="R22" s="3"/>
      <c r="S22" s="173">
        <f>IF(T21="","",T21*1.2)</f>
        <v>331.19094306858898</v>
      </c>
      <c r="T22" s="173"/>
      <c r="U22" s="3"/>
      <c r="V22" s="3">
        <f>IF(V21&gt;0,V21*20,"")</f>
        <v>148.6</v>
      </c>
      <c r="W22" s="3">
        <f>IF(W21="","",(W21*10)*AJ21)</f>
        <v>127.27687655872485</v>
      </c>
      <c r="X22" s="3">
        <f>IF(ROUNDUP(X21,1)&gt;0,IF((80+(8-ROUNDUP(X21,1))*40)&lt;0,0,80+(8-ROUNDUP(X21,1))*40),"")</f>
        <v>124.00000000000003</v>
      </c>
      <c r="Y22" s="4">
        <f>IF(SUM(V22,W22,X22)&gt;0,SUM(V22,W22,X22),"")</f>
        <v>399.87687655872492</v>
      </c>
      <c r="Z22" s="3">
        <f>IF(AE21&gt;34,(IF(OR(S22="",V22="",W22="",X22=""),"",SUM(S22,V22,W22,X22))*AI21),IF(OR(S22="",V22="",W22="",X22=""),"", SUM(S22,V22,W22,X22)))</f>
        <v>731.06781962731384</v>
      </c>
      <c r="AA22" s="3"/>
      <c r="AB22" s="66"/>
      <c r="AC22" s="71"/>
      <c r="AD22" s="6"/>
      <c r="AE22" s="61"/>
      <c r="AF22" s="62"/>
      <c r="AG22" s="44"/>
      <c r="AH22" s="63"/>
      <c r="AI22" s="63"/>
      <c r="AJ22" s="64"/>
      <c r="AK22" s="44"/>
    </row>
    <row r="23" spans="1:37" ht="19.5" customHeight="1">
      <c r="A23" s="44"/>
      <c r="B23" s="83" t="s">
        <v>162</v>
      </c>
      <c r="C23" s="84" t="s">
        <v>154</v>
      </c>
      <c r="D23" s="78">
        <v>76.819999999999993</v>
      </c>
      <c r="E23" s="84" t="s">
        <v>141</v>
      </c>
      <c r="F23" s="84" t="s">
        <v>76</v>
      </c>
      <c r="G23" s="85">
        <v>40263</v>
      </c>
      <c r="H23" s="84" t="s">
        <v>64</v>
      </c>
      <c r="I23" s="86" t="s">
        <v>163</v>
      </c>
      <c r="J23" s="87" t="s">
        <v>92</v>
      </c>
      <c r="K23" s="74">
        <v>-75</v>
      </c>
      <c r="L23" s="74">
        <v>75</v>
      </c>
      <c r="M23" s="74">
        <v>-78</v>
      </c>
      <c r="N23" s="74">
        <v>95</v>
      </c>
      <c r="O23" s="74">
        <v>-98</v>
      </c>
      <c r="P23" s="74" t="s">
        <v>97</v>
      </c>
      <c r="Q23" s="75">
        <f>IF(MAX(K23:M23)&gt;0,IF(MAX(K23:M23)&lt;0,0,TRUNC(MAX(K23:M23)/1)*1),"")</f>
        <v>75</v>
      </c>
      <c r="R23" s="76">
        <f>IF(MAX(N23:P23)&gt;0,IF(MAX(N23:P23)&lt;0,0,TRUNC(MAX(N23:P23)/1)*1),"")</f>
        <v>95</v>
      </c>
      <c r="S23" s="74">
        <f>IF(Q23="","",IF(R23="","",IF(SUM(Q23:R23)=0,"",SUM(Q23:R23))))</f>
        <v>170</v>
      </c>
      <c r="T23" s="77">
        <f>IF(S23="","",IF(D23="","",IF((AD23="k"),IF(D23&gt;153.757,S23,IF(C23&lt;28,10^(0.0787004341*LOG10(28/153.757)^2)*S23,10^(0.787004341*LOG10(D23/153.757)^2)*S23)),IF(D23&gt;193.609,S23,IF(D23&lt;32,10^(0.722762521*LOG10(32/193.609)^2)*S23,10^(0.722762521*LOG10(D23/193.609)^2)*S23)))))</f>
        <v>222.29595894840736</v>
      </c>
      <c r="U23" s="78" t="str">
        <f>IF(AF23=1,T23*AI23,"")</f>
        <v/>
      </c>
      <c r="V23" s="79">
        <v>8.8000000000000007</v>
      </c>
      <c r="W23" s="79">
        <v>11.28</v>
      </c>
      <c r="X23" s="79">
        <v>6.85</v>
      </c>
      <c r="Y23" s="80"/>
      <c r="Z23" s="78"/>
      <c r="AA23" s="78">
        <v>3</v>
      </c>
      <c r="AB23" s="81"/>
      <c r="AC23" s="71">
        <f>U5</f>
        <v>46263</v>
      </c>
      <c r="AD23" s="60" t="str">
        <f>IF(ISNUMBER(FIND("M",E23)),"m",IF(ISNUMBER(FIND("K",E23)),"k"))</f>
        <v>m</v>
      </c>
      <c r="AE23" s="92">
        <f>IF(OR(G23="",AC23=""),0,(YEAR(AC23)-YEAR(G23)))</f>
        <v>16</v>
      </c>
      <c r="AF23" s="62">
        <f>IF(AE23&gt;34,1,0)</f>
        <v>0</v>
      </c>
      <c r="AG23" s="44" t="b">
        <f>IF(AF23=1,LOOKUP(AE23,'Meltzer-Faber'!A3:A63,'Meltzer-Faber'!B3:B63))</f>
        <v>0</v>
      </c>
      <c r="AH23" s="63" t="b">
        <f>IF(AF23=1,LOOKUP(AE23,'Meltzer-Faber'!A3:A63,'Meltzer-Faber'!C3:C63))</f>
        <v>0</v>
      </c>
      <c r="AI23" s="63" t="b">
        <f>IF(AD23="m",AG23,IF(AD23="k",AH23,""))</f>
        <v>0</v>
      </c>
      <c r="AJ23" s="64">
        <f>IF(D23="","",IF(D23&gt;193.609,1,IF(D23&lt;32,10^(0.722762521*LOG10(32/193.609)^2),10^(0.722762521*LOG10(D23/193.609)^2))))</f>
        <v>1.3076232879318079</v>
      </c>
      <c r="AK23" s="44"/>
    </row>
    <row r="24" spans="1:37" ht="19.5" customHeight="1">
      <c r="A24" s="44"/>
      <c r="B24" s="82"/>
      <c r="C24" s="3"/>
      <c r="D24" s="3"/>
      <c r="E24" s="3"/>
      <c r="F24" s="66"/>
      <c r="G24" s="67"/>
      <c r="H24" s="68"/>
      <c r="I24" s="69"/>
      <c r="J24" s="69"/>
      <c r="K24" s="173"/>
      <c r="L24" s="173"/>
      <c r="M24" s="173"/>
      <c r="N24" s="172"/>
      <c r="O24" s="172"/>
      <c r="P24" s="172"/>
      <c r="Q24" s="70"/>
      <c r="R24" s="3"/>
      <c r="S24" s="173">
        <f>IF(T23="","",T23*1.2)</f>
        <v>266.75515073808884</v>
      </c>
      <c r="T24" s="173"/>
      <c r="U24" s="3"/>
      <c r="V24" s="3">
        <f>IF(V23&gt;0,V23*20,"")</f>
        <v>176</v>
      </c>
      <c r="W24" s="3">
        <f>IF(W23="","",(W23*10)*AJ23)</f>
        <v>147.49990687870792</v>
      </c>
      <c r="X24" s="3">
        <f>IF(ROUNDUP(X23,1)&gt;0,IF((80+(8-ROUNDUP(X23,1))*40)&lt;0,0,80+(8-ROUNDUP(X23,1))*40),"")</f>
        <v>124.00000000000003</v>
      </c>
      <c r="Y24" s="4">
        <f>IF(SUM(V24,W24,X24)&gt;0,SUM(V24,W24,X24),"")</f>
        <v>447.49990687870798</v>
      </c>
      <c r="Z24" s="3">
        <f>IF(AE23&gt;34,(IF(OR(S24="",V24="",W24="",X24=""),"",SUM(S24,V24,W24,X24))*AI23),IF(OR(S24="",V24="",W24="",X24=""),"", SUM(S24,V24,W24,X24)))</f>
        <v>714.25505761679676</v>
      </c>
      <c r="AA24" s="3"/>
      <c r="AB24" s="66"/>
      <c r="AC24" s="71"/>
      <c r="AD24" s="6"/>
      <c r="AE24" s="61"/>
      <c r="AF24" s="62"/>
      <c r="AG24" s="44"/>
      <c r="AH24" s="63"/>
      <c r="AI24" s="63"/>
      <c r="AJ24" s="64"/>
      <c r="AK24" s="44"/>
    </row>
    <row r="25" spans="1:37" ht="19.5" customHeight="1">
      <c r="A25" s="44"/>
      <c r="B25" s="83" t="s">
        <v>164</v>
      </c>
      <c r="C25" s="84" t="s">
        <v>144</v>
      </c>
      <c r="D25" s="78">
        <v>63</v>
      </c>
      <c r="E25" s="84" t="s">
        <v>141</v>
      </c>
      <c r="F25" s="84" t="s">
        <v>76</v>
      </c>
      <c r="G25" s="85">
        <v>40609</v>
      </c>
      <c r="H25" s="84" t="s">
        <v>60</v>
      </c>
      <c r="I25" s="86" t="s">
        <v>165</v>
      </c>
      <c r="J25" s="87" t="s">
        <v>54</v>
      </c>
      <c r="K25" s="74">
        <v>-60</v>
      </c>
      <c r="L25" s="74">
        <v>60</v>
      </c>
      <c r="M25" s="74">
        <v>64</v>
      </c>
      <c r="N25" s="74">
        <v>75</v>
      </c>
      <c r="O25" s="74">
        <v>-78</v>
      </c>
      <c r="P25" s="74">
        <v>80</v>
      </c>
      <c r="Q25" s="75">
        <f>IF(MAX(K25:M25)&gt;0,IF(MAX(K25:M25)&lt;0,0,TRUNC(MAX(K25:M25)/1)*1),"")</f>
        <v>64</v>
      </c>
      <c r="R25" s="76">
        <f>IF(MAX(N25:P25)&gt;0,IF(MAX(N25:P25)&lt;0,0,TRUNC(MAX(N25:P25)/1)*1),"")</f>
        <v>80</v>
      </c>
      <c r="S25" s="74">
        <f>IF(Q25="","",IF(R25="","",IF(SUM(Q25:R25)=0,"",SUM(Q25:R25))))</f>
        <v>144</v>
      </c>
      <c r="T25" s="77">
        <f>IF(S25="","",IF(D25="","",IF((AD25="k"),IF(D25&gt;153.757,S25,IF(C25&lt;28,10^(0.0787004341*LOG10(28/153.757)^2)*S25,10^(0.787004341*LOG10(D25/153.757)^2)*S25)),IF(D25&gt;193.609,S25,IF(D25&lt;32,10^(0.722762521*LOG10(32/193.609)^2)*S25,10^(0.722762521*LOG10(D25/193.609)^2)*S25)))))</f>
        <v>213.89046333584437</v>
      </c>
      <c r="U25" s="78" t="str">
        <f>IF(AF25=1,T25*AI25,"")</f>
        <v/>
      </c>
      <c r="V25" s="79">
        <v>7.84</v>
      </c>
      <c r="W25" s="79">
        <v>11.88</v>
      </c>
      <c r="X25" s="79">
        <v>6.81</v>
      </c>
      <c r="Y25" s="80"/>
      <c r="Z25" s="78"/>
      <c r="AA25" s="78">
        <v>4</v>
      </c>
      <c r="AB25" s="81"/>
      <c r="AC25" s="71">
        <f>U5</f>
        <v>46263</v>
      </c>
      <c r="AD25" s="60" t="str">
        <f>IF(ISNUMBER(FIND("M",E25)),"m",IF(ISNUMBER(FIND("K",E25)),"k"))</f>
        <v>m</v>
      </c>
      <c r="AE25" s="92">
        <f>IF(OR(G25="",AC25=""),0,(YEAR(AC25)-YEAR(G25)))</f>
        <v>15</v>
      </c>
      <c r="AF25" s="62">
        <f>IF(AE25&gt;34,1,0)</f>
        <v>0</v>
      </c>
      <c r="AG25" s="44" t="b">
        <f>IF(AF25=1,LOOKUP(AE25,'Meltzer-Faber'!A3:A63,'Meltzer-Faber'!B3:B63))</f>
        <v>0</v>
      </c>
      <c r="AH25" s="63" t="b">
        <f>IF(AF25=1,LOOKUP(AE25,'Meltzer-Faber'!A3:A63,'Meltzer-Faber'!C3:C63))</f>
        <v>0</v>
      </c>
      <c r="AI25" s="63" t="b">
        <f>IF(AD25="m",AG25,IF(AD25="k",AH25,""))</f>
        <v>0</v>
      </c>
      <c r="AJ25" s="64">
        <f>IF(D25="","",IF(D25&gt;193.609,1,IF(D25&lt;32,10^(0.722762521*LOG10(32/193.609)^2),10^(0.722762521*LOG10(D25/193.609)^2))))</f>
        <v>1.4853504398322526</v>
      </c>
      <c r="AK25" s="44"/>
    </row>
    <row r="26" spans="1:37" ht="19.5" customHeight="1">
      <c r="A26" s="44"/>
      <c r="B26" s="82"/>
      <c r="C26" s="3"/>
      <c r="D26" s="3"/>
      <c r="E26" s="3"/>
      <c r="F26" s="66"/>
      <c r="G26" s="67"/>
      <c r="H26" s="68"/>
      <c r="I26" s="69"/>
      <c r="J26" s="69"/>
      <c r="K26" s="173"/>
      <c r="L26" s="173"/>
      <c r="M26" s="173"/>
      <c r="N26" s="172"/>
      <c r="O26" s="172"/>
      <c r="P26" s="172"/>
      <c r="Q26" s="70"/>
      <c r="R26" s="3"/>
      <c r="S26" s="173">
        <f>IF(T25="","",T25*1.2)</f>
        <v>256.66855600301324</v>
      </c>
      <c r="T26" s="173"/>
      <c r="U26" s="3"/>
      <c r="V26" s="3">
        <f>IF(V25&gt;0,V25*20,"")</f>
        <v>156.80000000000001</v>
      </c>
      <c r="W26" s="3">
        <f>IF(W25="","",(W25*10)*AJ25)</f>
        <v>176.45963225207163</v>
      </c>
      <c r="X26" s="3">
        <f>IF(ROUNDUP(X25,1)&gt;0,IF((80+(8-ROUNDUP(X25,1))*40)&lt;0,0,80+(8-ROUNDUP(X25,1))*40),"")</f>
        <v>124.00000000000003</v>
      </c>
      <c r="Y26" s="4">
        <f>IF(SUM(V26,W26,X26)&gt;0,SUM(V26,W26,X26),"")</f>
        <v>457.2596322520717</v>
      </c>
      <c r="Z26" s="3">
        <f>IF(AE25&gt;34,(IF(OR(S26="",V26="",W26="",X26=""),"",SUM(S26,V26,W26,X26))*AI25),IF(OR(S26="",V26="",W26="",X26=""),"", SUM(S26,V26,W26,X26)))</f>
        <v>713.92818825508493</v>
      </c>
      <c r="AA26" s="3"/>
      <c r="AB26" s="66"/>
      <c r="AC26" s="71"/>
      <c r="AD26" s="6"/>
      <c r="AE26" s="61"/>
      <c r="AF26" s="62"/>
      <c r="AG26" s="44"/>
      <c r="AH26" s="63"/>
      <c r="AI26" s="63"/>
      <c r="AJ26" s="64"/>
      <c r="AK26" s="44"/>
    </row>
    <row r="27" spans="1:37" ht="19.5" customHeight="1">
      <c r="A27" s="44"/>
      <c r="B27" s="83" t="s">
        <v>166</v>
      </c>
      <c r="C27" s="93" t="s">
        <v>157</v>
      </c>
      <c r="D27" s="78">
        <v>72.010000000000005</v>
      </c>
      <c r="E27" s="94" t="s">
        <v>141</v>
      </c>
      <c r="F27" s="95" t="s">
        <v>76</v>
      </c>
      <c r="G27" s="85">
        <v>40595</v>
      </c>
      <c r="H27" s="84" t="s">
        <v>52</v>
      </c>
      <c r="I27" s="87" t="s">
        <v>167</v>
      </c>
      <c r="J27" s="87" t="s">
        <v>54</v>
      </c>
      <c r="K27" s="96">
        <v>65</v>
      </c>
      <c r="L27" s="97">
        <v>68</v>
      </c>
      <c r="M27" s="97">
        <v>70</v>
      </c>
      <c r="N27" s="97">
        <v>85</v>
      </c>
      <c r="O27" s="98">
        <v>90</v>
      </c>
      <c r="P27" s="98">
        <v>-95</v>
      </c>
      <c r="Q27" s="75">
        <f>IF(MAX(K27:M27)&gt;0,IF(MAX(K27:M27)&lt;0,0,TRUNC(MAX(K27:M27)/1)*1),"")</f>
        <v>70</v>
      </c>
      <c r="R27" s="76">
        <f>IF(MAX(N27:P27)&gt;0,IF(MAX(N27:P27)&lt;0,0,TRUNC(MAX(N27:P27)/1)*1),"")</f>
        <v>90</v>
      </c>
      <c r="S27" s="74">
        <f>IF(Q27="","",IF(R27="","",IF(SUM(Q27:R27)=0,"",SUM(Q27:R27))))</f>
        <v>160</v>
      </c>
      <c r="T27" s="77">
        <f>IF(S27="","",IF(D27="","",IF((AD27="k"),IF(D27&gt;153.757,S27,IF(C27&lt;28,10^(0.0787004341*LOG10(28/153.757)^2)*S27,10^(0.787004341*LOG10(D27/153.757)^2)*S27)),IF(D27&gt;193.609,S27,IF(D27&lt;32,10^(0.722762521*LOG10(32/193.609)^2)*S27,10^(0.722762521*LOG10(D27/193.609)^2)*S27)))))</f>
        <v>217.5046206189046</v>
      </c>
      <c r="U27" s="78" t="str">
        <f>IF(AF27=1,T27*AI27,"")</f>
        <v/>
      </c>
      <c r="V27" s="79">
        <v>7.83</v>
      </c>
      <c r="W27" s="79">
        <v>10.42</v>
      </c>
      <c r="X27" s="79">
        <v>6.69</v>
      </c>
      <c r="Y27" s="80"/>
      <c r="Z27" s="78"/>
      <c r="AA27" s="78">
        <v>5</v>
      </c>
      <c r="AB27" s="81"/>
      <c r="AC27" s="71">
        <f>U5</f>
        <v>46263</v>
      </c>
      <c r="AD27" s="60" t="str">
        <f>IF(ISNUMBER(FIND("M",E27)),"m",IF(ISNUMBER(FIND("K",E27)),"k"))</f>
        <v>m</v>
      </c>
      <c r="AE27" s="92">
        <f>IF(OR(G27="",AC27=""),0,(YEAR(AC27)-YEAR(G27)))</f>
        <v>15</v>
      </c>
      <c r="AF27" s="62">
        <f>IF(AE27&gt;34,1,0)</f>
        <v>0</v>
      </c>
      <c r="AG27" s="44" t="b">
        <f>IF(AF27=1,LOOKUP(AE27,'Meltzer-Faber'!A3:A63,'Meltzer-Faber'!B3:B63))</f>
        <v>0</v>
      </c>
      <c r="AH27" s="63" t="b">
        <f>IF(AF27=1,LOOKUP(AE27,'Meltzer-Faber'!A3:A63,'Meltzer-Faber'!C3:C63))</f>
        <v>0</v>
      </c>
      <c r="AI27" s="63" t="b">
        <f>IF(AD27="m",AG27,IF(AD27="k",AH27,""))</f>
        <v>0</v>
      </c>
      <c r="AJ27" s="64">
        <f>IF(D27="","",IF(D27&gt;193.609,1,IF(D27&lt;32,10^(0.722762521*LOG10(32/193.609)^2),10^(0.722762521*LOG10(D27/193.609)^2))))</f>
        <v>1.3594038788681537</v>
      </c>
      <c r="AK27" s="44"/>
    </row>
    <row r="28" spans="1:37" ht="19.5" customHeight="1">
      <c r="A28" s="44"/>
      <c r="B28" s="82"/>
      <c r="C28" s="99"/>
      <c r="D28" s="3"/>
      <c r="E28" s="66"/>
      <c r="F28" s="66"/>
      <c r="G28" s="67"/>
      <c r="H28" s="67"/>
      <c r="I28" s="69"/>
      <c r="J28" s="69"/>
      <c r="K28" s="172"/>
      <c r="L28" s="172"/>
      <c r="M28" s="172"/>
      <c r="N28" s="172"/>
      <c r="O28" s="172"/>
      <c r="P28" s="172"/>
      <c r="Q28" s="70"/>
      <c r="R28" s="3"/>
      <c r="S28" s="173">
        <f>IF(T27="","",T27*1.2)</f>
        <v>261.00554474268552</v>
      </c>
      <c r="T28" s="173"/>
      <c r="U28" s="3"/>
      <c r="V28" s="3">
        <f>IF(V27&gt;0,V27*20,"")</f>
        <v>156.6</v>
      </c>
      <c r="W28" s="3">
        <f>IF(W27="","",(W27*10)*AJ27)</f>
        <v>141.64988417806163</v>
      </c>
      <c r="X28" s="3">
        <f>IF(ROUNDUP(X27,1)&gt;0,IF((80+(8-ROUNDUP(X27,1))*40)&lt;0,0,80+(8-ROUNDUP(X27,1))*40),"")</f>
        <v>132.00000000000003</v>
      </c>
      <c r="Y28" s="4">
        <f>IF(SUM(V28,W28,X28)&gt;0,SUM(V28,W28,X28),"")</f>
        <v>430.24988417806162</v>
      </c>
      <c r="Z28" s="3">
        <f>IF(AE27&gt;34,(IF(OR(S28="",V28="",W28="",X28=""),"",SUM(S28,V28,W28,X28))*AI27),IF(OR(S28="",V28="",W28="",X28=""),"", SUM(S28,V28,W28,X28)))</f>
        <v>691.25542892074714</v>
      </c>
      <c r="AA28" s="3"/>
      <c r="AB28" s="66"/>
      <c r="AC28" s="71"/>
      <c r="AD28" s="6"/>
      <c r="AE28" s="61"/>
      <c r="AF28" s="62"/>
      <c r="AG28" s="44"/>
      <c r="AH28" s="63"/>
      <c r="AI28" s="63"/>
      <c r="AJ28" s="64"/>
      <c r="AK28" s="44"/>
    </row>
    <row r="29" spans="1:37" ht="19.5" customHeight="1">
      <c r="A29" s="44"/>
      <c r="B29" s="83" t="s">
        <v>168</v>
      </c>
      <c r="C29" s="93" t="s">
        <v>169</v>
      </c>
      <c r="D29" s="78">
        <v>66.459999999999994</v>
      </c>
      <c r="E29" s="94" t="s">
        <v>141</v>
      </c>
      <c r="F29" s="95" t="s">
        <v>76</v>
      </c>
      <c r="G29" s="85">
        <v>40408</v>
      </c>
      <c r="H29" s="84" t="s">
        <v>56</v>
      </c>
      <c r="I29" s="87" t="s">
        <v>170</v>
      </c>
      <c r="J29" s="87" t="s">
        <v>58</v>
      </c>
      <c r="K29" s="96">
        <v>-64</v>
      </c>
      <c r="L29" s="97">
        <v>-66</v>
      </c>
      <c r="M29" s="97">
        <v>66</v>
      </c>
      <c r="N29" s="97">
        <v>80</v>
      </c>
      <c r="O29" s="98">
        <v>84</v>
      </c>
      <c r="P29" s="98">
        <v>-87</v>
      </c>
      <c r="Q29" s="75">
        <f>IF(MAX(K29:M29)&gt;0,IF(MAX(K29:M29)&lt;0,0,TRUNC(MAX(K29:M29)/1)*1),"")</f>
        <v>66</v>
      </c>
      <c r="R29" s="76">
        <f>IF(MAX(N29:P29)&gt;0,IF(MAX(N29:P29)&lt;0,0,TRUNC(MAX(N29:P29)/1)*1),"")</f>
        <v>84</v>
      </c>
      <c r="S29" s="74">
        <f>IF(Q29="","",IF(R29="","",IF(SUM(Q29:R29)=0,"",SUM(Q29:R29))))</f>
        <v>150</v>
      </c>
      <c r="T29" s="77">
        <f>IF(S29="","",IF(D29="","",IF((AD29="k"),IF(D29&gt;153.757,S29,IF(C29&lt;28,10^(0.0787004341*LOG10(28/153.757)^2)*S29,10^(0.787004341*LOG10(D29/153.757)^2)*S29)),IF(D29&gt;193.609,S29,IF(D29&lt;32,10^(0.722762521*LOG10(32/193.609)^2)*S29,10^(0.722762521*LOG10(D29/193.609)^2)*S29)))))</f>
        <v>214.7554463743183</v>
      </c>
      <c r="U29" s="78" t="str">
        <f>IF(AF29=1,T29*AI29,"")</f>
        <v/>
      </c>
      <c r="V29" s="79">
        <v>6.59</v>
      </c>
      <c r="W29" s="79">
        <v>8.3000000000000007</v>
      </c>
      <c r="X29" s="79">
        <v>6.88</v>
      </c>
      <c r="Y29" s="80"/>
      <c r="Z29" s="78"/>
      <c r="AA29" s="78">
        <v>6</v>
      </c>
      <c r="AB29" s="81"/>
      <c r="AC29" s="71">
        <f>U5</f>
        <v>46263</v>
      </c>
      <c r="AD29" s="60" t="str">
        <f>IF(ISNUMBER(FIND("M",E29)),"m",IF(ISNUMBER(FIND("K",E29)),"k"))</f>
        <v>m</v>
      </c>
      <c r="AE29" s="92">
        <f>IF(OR(G29="",AC29=""),0,(YEAR(AC29)-YEAR(G29)))</f>
        <v>16</v>
      </c>
      <c r="AF29" s="62">
        <f>IF(AE29&gt;34,1,0)</f>
        <v>0</v>
      </c>
      <c r="AG29" s="44" t="b">
        <f>IF(AF29=1,LOOKUP(AE29,'Meltzer-Faber'!A3:A63,'Meltzer-Faber'!B3:B63))</f>
        <v>0</v>
      </c>
      <c r="AH29" s="63" t="b">
        <f>IF(AF29=1,LOOKUP(AE29,'Meltzer-Faber'!A3:A63,'Meltzer-Faber'!C3:C63))</f>
        <v>0</v>
      </c>
      <c r="AI29" s="63" t="b">
        <f>IF(AD29="m",AG29,IF(AD29="k",AH29,""))</f>
        <v>0</v>
      </c>
      <c r="AJ29" s="64">
        <f>IF(D29="","",IF(D29&gt;193.609,1,IF(D29&lt;32,10^(0.722762521*LOG10(32/193.609)^2),10^(0.722762521*LOG10(D29/193.609)^2))))</f>
        <v>1.4317029758287887</v>
      </c>
      <c r="AK29" s="44"/>
    </row>
    <row r="30" spans="1:37" ht="19.5" customHeight="1">
      <c r="A30" s="44"/>
      <c r="B30" s="82"/>
      <c r="C30" s="99"/>
      <c r="D30" s="3"/>
      <c r="E30" s="66"/>
      <c r="F30" s="66"/>
      <c r="G30" s="67"/>
      <c r="H30" s="67"/>
      <c r="I30" s="69"/>
      <c r="J30" s="69"/>
      <c r="K30" s="172"/>
      <c r="L30" s="172"/>
      <c r="M30" s="172"/>
      <c r="N30" s="172"/>
      <c r="O30" s="172"/>
      <c r="P30" s="172"/>
      <c r="Q30" s="70"/>
      <c r="R30" s="3"/>
      <c r="S30" s="173">
        <f>IF(T29="","",T29*1.2)</f>
        <v>257.70653564918194</v>
      </c>
      <c r="T30" s="173"/>
      <c r="U30" s="3"/>
      <c r="V30" s="3">
        <f>IF(V29&gt;0,V29*20,"")</f>
        <v>131.80000000000001</v>
      </c>
      <c r="W30" s="3">
        <f>IF(W29="","",(W29*10)*AJ29)</f>
        <v>118.83134699378947</v>
      </c>
      <c r="X30" s="3">
        <f>IF(ROUNDUP(X29,1)&gt;0,IF((80+(8-ROUNDUP(X29,1))*40)&lt;0,0,80+(8-ROUNDUP(X29,1))*40),"")</f>
        <v>124.00000000000003</v>
      </c>
      <c r="Y30" s="4">
        <f>IF(SUM(V30,W30,X30)&gt;0,SUM(V30,W30,X30),"")</f>
        <v>374.63134699378952</v>
      </c>
      <c r="Z30" s="3">
        <f>IF(AE29&gt;34,(IF(OR(S30="",V30="",W30="",X30=""),"",SUM(S30,V30,W30,X30))*AI29),IF(OR(S30="",V30="",W30="",X30=""),"", SUM(S30,V30,W30,X30)))</f>
        <v>632.33788264297141</v>
      </c>
      <c r="AA30" s="3"/>
      <c r="AB30" s="66"/>
      <c r="AC30" s="71"/>
      <c r="AD30" s="6"/>
      <c r="AE30" s="61"/>
      <c r="AF30" s="62"/>
      <c r="AG30" s="44"/>
      <c r="AH30" s="63"/>
      <c r="AI30" s="63"/>
      <c r="AJ30" s="64"/>
      <c r="AK30" s="44"/>
    </row>
    <row r="31" spans="1:37" ht="19.5" customHeight="1">
      <c r="A31" s="44"/>
      <c r="B31" s="83" t="s">
        <v>171</v>
      </c>
      <c r="C31" s="93" t="s">
        <v>147</v>
      </c>
      <c r="D31" s="78">
        <v>90.28</v>
      </c>
      <c r="E31" s="94" t="s">
        <v>141</v>
      </c>
      <c r="F31" s="95" t="s">
        <v>76</v>
      </c>
      <c r="G31" s="85">
        <v>40714</v>
      </c>
      <c r="H31" s="84" t="s">
        <v>134</v>
      </c>
      <c r="I31" s="87" t="s">
        <v>172</v>
      </c>
      <c r="J31" s="87" t="s">
        <v>54</v>
      </c>
      <c r="K31" s="96">
        <v>60</v>
      </c>
      <c r="L31" s="97">
        <v>64</v>
      </c>
      <c r="M31" s="97">
        <v>66</v>
      </c>
      <c r="N31" s="97">
        <v>80</v>
      </c>
      <c r="O31" s="98">
        <v>85</v>
      </c>
      <c r="P31" s="98">
        <v>-88</v>
      </c>
      <c r="Q31" s="75">
        <f>IF(MAX(K31:M31)&gt;0,IF(MAX(K31:M31)&lt;0,0,TRUNC(MAX(K31:M31)/1)*1),"")</f>
        <v>66</v>
      </c>
      <c r="R31" s="76">
        <f>IF(MAX(N31:P31)&gt;0,IF(MAX(N31:P31)&lt;0,0,TRUNC(MAX(N31:P31)/1)*1),"")</f>
        <v>85</v>
      </c>
      <c r="S31" s="74">
        <f>IF(Q31="","",IF(R31="","",IF(SUM(Q31:R31)=0,"",SUM(Q31:R31))))</f>
        <v>151</v>
      </c>
      <c r="T31" s="77">
        <f>IF(S31="","",IF(D31="","",IF((AD31="k"),IF(D31&gt;153.757,S31,IF(C31&lt;28,10^(0.0787004341*LOG10(28/153.757)^2)*S31,10^(0.787004341*LOG10(D31/153.757)^2)*S31)),IF(D31&gt;193.609,S31,IF(D31&lt;32,10^(0.722762521*LOG10(32/193.609)^2)*S31,10^(0.722762521*LOG10(D31/193.609)^2)*S31)))))</f>
        <v>181.26894909777019</v>
      </c>
      <c r="U31" s="78" t="str">
        <f>IF(AF31=1,T31*AI31,"")</f>
        <v/>
      </c>
      <c r="V31" s="79">
        <v>6.77</v>
      </c>
      <c r="W31" s="79">
        <v>9.5500000000000007</v>
      </c>
      <c r="X31" s="79">
        <v>7.79</v>
      </c>
      <c r="Y31" s="80"/>
      <c r="Z31" s="78"/>
      <c r="AA31" s="78">
        <v>7</v>
      </c>
      <c r="AB31" s="81"/>
      <c r="AC31" s="71">
        <f>U5</f>
        <v>46263</v>
      </c>
      <c r="AD31" s="60" t="str">
        <f>IF(ISNUMBER(FIND("M",E31)),"m",IF(ISNUMBER(FIND("K",E31)),"k"))</f>
        <v>m</v>
      </c>
      <c r="AE31" s="92">
        <f>IF(OR(G31="",AC31=""),0,(YEAR(AC31)-YEAR(G31)))</f>
        <v>15</v>
      </c>
      <c r="AF31" s="62">
        <f>IF(AE31&gt;34,1,0)</f>
        <v>0</v>
      </c>
      <c r="AG31" s="44" t="b">
        <f>IF(AF31=1,LOOKUP(AE31,'Meltzer-Faber'!A3:A63,'Meltzer-Faber'!B3:B63))</f>
        <v>0</v>
      </c>
      <c r="AH31" s="63" t="b">
        <f>IF(AF31=1,LOOKUP(AE31,'Meltzer-Faber'!A3:A63,'Meltzer-Faber'!C3:C63))</f>
        <v>0</v>
      </c>
      <c r="AI31" s="63" t="b">
        <f>IF(AD31="m",AG31,IF(AD31="k",AH31,""))</f>
        <v>0</v>
      </c>
      <c r="AJ31" s="64">
        <f>IF(D31="","",IF(D31&gt;193.609,1,IF(D31&lt;32,10^(0.722762521*LOG10(32/193.609)^2),10^(0.722762521*LOG10(D31/193.609)^2))))</f>
        <v>1.2004566165415245</v>
      </c>
      <c r="AK31" s="44"/>
    </row>
    <row r="32" spans="1:37" ht="19.5" customHeight="1">
      <c r="A32" s="44"/>
      <c r="B32" s="82"/>
      <c r="C32" s="99"/>
      <c r="D32" s="3"/>
      <c r="E32" s="66"/>
      <c r="F32" s="66"/>
      <c r="G32" s="67"/>
      <c r="H32" s="67"/>
      <c r="I32" s="69"/>
      <c r="J32" s="69"/>
      <c r="K32" s="172"/>
      <c r="L32" s="172"/>
      <c r="M32" s="172"/>
      <c r="N32" s="172"/>
      <c r="O32" s="172"/>
      <c r="P32" s="172"/>
      <c r="Q32" s="70"/>
      <c r="R32" s="3"/>
      <c r="S32" s="173">
        <f>IF(T31="","",T31*1.2)</f>
        <v>217.52273891732423</v>
      </c>
      <c r="T32" s="173"/>
      <c r="U32" s="3"/>
      <c r="V32" s="3">
        <f>IF(V31&gt;0,V31*20,"")</f>
        <v>135.39999999999998</v>
      </c>
      <c r="W32" s="3">
        <f>IF(W31="","",(W31*10)*AJ31)</f>
        <v>114.64360687971559</v>
      </c>
      <c r="X32" s="3">
        <f>IF(ROUNDUP(X31,1)&gt;0,IF((80+(8-ROUNDUP(X31,1))*40)&lt;0,0,80+(8-ROUNDUP(X31,1))*40),"")</f>
        <v>88</v>
      </c>
      <c r="Y32" s="4">
        <f>IF(SUM(V32,W32,X32)&gt;0,SUM(V32,W32,X32),"")</f>
        <v>338.04360687971558</v>
      </c>
      <c r="Z32" s="3">
        <f>IF(AE31&gt;34,(IF(OR(S32="",V32="",W32="",X32=""),"",SUM(S32,V32,W32,X32))*AI31),IF(OR(S32="",V32="",W32="",X32=""),"", SUM(S32,V32,W32,X32)))</f>
        <v>555.56634579703973</v>
      </c>
      <c r="AA32" s="3"/>
      <c r="AB32" s="66"/>
      <c r="AC32" s="71"/>
      <c r="AD32" s="6"/>
      <c r="AE32" s="61"/>
      <c r="AF32" s="62"/>
      <c r="AG32" s="44"/>
      <c r="AH32" s="63"/>
      <c r="AI32" s="63"/>
      <c r="AJ32" s="64"/>
      <c r="AK32" s="44"/>
    </row>
    <row r="33" spans="1:37" ht="18.75" customHeight="1">
      <c r="A33" s="114"/>
      <c r="B33" s="114"/>
      <c r="C33" s="114"/>
      <c r="D33" s="115"/>
      <c r="E33" s="116"/>
      <c r="F33" s="116"/>
      <c r="G33" s="116"/>
      <c r="H33" s="117"/>
      <c r="I33" s="114"/>
      <c r="J33" s="114"/>
      <c r="K33" s="118"/>
      <c r="L33" s="119"/>
      <c r="M33" s="118"/>
      <c r="N33" s="118" t="s">
        <v>101</v>
      </c>
      <c r="O33" s="118"/>
      <c r="P33" s="118"/>
      <c r="Q33" s="116"/>
      <c r="R33" s="116"/>
      <c r="S33" s="116"/>
      <c r="T33" s="120"/>
      <c r="U33" s="120"/>
      <c r="V33" s="120"/>
      <c r="W33" s="120"/>
      <c r="X33" s="120"/>
      <c r="Y33" s="120"/>
      <c r="Z33" s="120"/>
      <c r="AA33" s="120"/>
      <c r="AB33" s="120"/>
      <c r="AC33" s="6"/>
      <c r="AD33" s="121"/>
      <c r="AE33" s="122">
        <f>(YEAR(AC33)-YEAR(G33))</f>
        <v>0</v>
      </c>
      <c r="AF33" s="62">
        <f>IF(AE35&gt;34,1,0)</f>
        <v>0</v>
      </c>
      <c r="AG33" s="114"/>
      <c r="AH33" s="117"/>
      <c r="AI33" s="117"/>
      <c r="AJ33" s="114"/>
      <c r="AK33" s="114"/>
    </row>
    <row r="34" spans="1:37" ht="21" customHeight="1">
      <c r="A34" s="114"/>
      <c r="B34" s="114"/>
      <c r="C34" s="114"/>
      <c r="D34" s="115"/>
      <c r="E34" s="116"/>
      <c r="F34" s="116"/>
      <c r="G34" s="116"/>
      <c r="H34" s="117"/>
      <c r="I34" s="114"/>
      <c r="J34" s="114"/>
      <c r="K34" s="118"/>
      <c r="L34" s="119"/>
      <c r="M34" s="118"/>
      <c r="N34" s="118"/>
      <c r="O34" s="118"/>
      <c r="P34" s="118"/>
      <c r="Q34" s="116"/>
      <c r="R34" s="116"/>
      <c r="S34" s="116"/>
      <c r="T34" s="120"/>
      <c r="U34" s="120"/>
      <c r="V34" s="120"/>
      <c r="W34" s="120"/>
      <c r="X34" s="120"/>
      <c r="Y34" s="120"/>
      <c r="Z34" s="120"/>
      <c r="AA34" s="120"/>
      <c r="AB34" s="120"/>
      <c r="AC34" s="6"/>
      <c r="AD34" s="121"/>
      <c r="AE34" s="122"/>
      <c r="AF34" s="62"/>
      <c r="AG34" s="114"/>
      <c r="AH34" s="117"/>
      <c r="AI34" s="117"/>
      <c r="AJ34" s="114"/>
      <c r="AK34" s="114"/>
    </row>
    <row r="35" spans="1:37" ht="22.5" customHeight="1">
      <c r="B35" s="166" t="s">
        <v>102</v>
      </c>
      <c r="C35" s="166"/>
      <c r="D35" s="123" t="s">
        <v>14</v>
      </c>
      <c r="E35" s="166" t="s">
        <v>21</v>
      </c>
      <c r="F35" s="166"/>
      <c r="G35" s="166"/>
      <c r="H35" s="166"/>
      <c r="I35" s="2" t="s">
        <v>103</v>
      </c>
      <c r="J35" s="124"/>
      <c r="K35" s="166" t="s">
        <v>102</v>
      </c>
      <c r="L35" s="166"/>
      <c r="M35" s="166"/>
      <c r="N35" s="1" t="s">
        <v>14</v>
      </c>
      <c r="O35" s="167" t="s">
        <v>21</v>
      </c>
      <c r="P35" s="167"/>
      <c r="Q35" s="167"/>
      <c r="R35" s="167"/>
      <c r="S35" s="167" t="s">
        <v>103</v>
      </c>
      <c r="T35" s="167"/>
      <c r="U35" s="12"/>
      <c r="V35" s="12"/>
      <c r="W35" s="12"/>
      <c r="X35" s="12"/>
      <c r="Y35" s="12"/>
      <c r="Z35" s="12"/>
      <c r="AA35" s="12"/>
      <c r="AB35" s="12"/>
      <c r="AF35" s="6"/>
      <c r="AH35" s="125"/>
      <c r="AI35" s="125"/>
    </row>
    <row r="36" spans="1:37" ht="19.5" customHeight="1">
      <c r="A36" s="16"/>
      <c r="B36" s="168" t="s">
        <v>104</v>
      </c>
      <c r="C36" s="168"/>
      <c r="D36" s="126" t="s">
        <v>105</v>
      </c>
      <c r="E36" s="169" t="s">
        <v>106</v>
      </c>
      <c r="F36" s="169"/>
      <c r="G36" s="169"/>
      <c r="H36" s="169"/>
      <c r="I36" s="127" t="s">
        <v>107</v>
      </c>
      <c r="K36" s="168" t="s">
        <v>108</v>
      </c>
      <c r="L36" s="168"/>
      <c r="M36" s="168"/>
      <c r="N36" s="128" t="s">
        <v>109</v>
      </c>
      <c r="O36" s="170" t="s">
        <v>110</v>
      </c>
      <c r="P36" s="170"/>
      <c r="Q36" s="170"/>
      <c r="R36" s="170"/>
      <c r="S36" s="171" t="s">
        <v>96</v>
      </c>
      <c r="T36" s="171"/>
      <c r="U36" s="16"/>
      <c r="V36" s="16"/>
      <c r="W36" s="16"/>
      <c r="X36" s="16"/>
      <c r="Y36" s="16"/>
      <c r="Z36" s="16"/>
      <c r="AA36" s="16"/>
      <c r="AB36" s="16"/>
      <c r="AC36" s="16"/>
      <c r="AD36" s="16"/>
      <c r="AE36" s="16"/>
      <c r="AF36" s="6"/>
      <c r="AG36" s="16"/>
      <c r="AH36" s="21"/>
      <c r="AI36" s="21"/>
      <c r="AJ36" s="16"/>
      <c r="AK36" s="16"/>
    </row>
    <row r="37" spans="1:37" ht="21" customHeight="1">
      <c r="A37" s="16"/>
      <c r="B37" s="162" t="s">
        <v>111</v>
      </c>
      <c r="C37" s="162"/>
      <c r="D37" s="129" t="s">
        <v>118</v>
      </c>
      <c r="E37" s="163" t="s">
        <v>119</v>
      </c>
      <c r="F37" s="163"/>
      <c r="G37" s="163"/>
      <c r="H37" s="163"/>
      <c r="I37" s="130" t="s">
        <v>96</v>
      </c>
      <c r="K37" s="162" t="s">
        <v>115</v>
      </c>
      <c r="L37" s="162"/>
      <c r="M37" s="162"/>
      <c r="N37" s="131" t="s">
        <v>116</v>
      </c>
      <c r="O37" s="164" t="s">
        <v>117</v>
      </c>
      <c r="P37" s="164"/>
      <c r="Q37" s="164"/>
      <c r="R37" s="164"/>
      <c r="S37" s="165" t="s">
        <v>54</v>
      </c>
      <c r="T37" s="165"/>
      <c r="U37" s="16"/>
      <c r="V37" s="16"/>
      <c r="W37" s="16"/>
      <c r="X37" s="16"/>
      <c r="Y37" s="16"/>
      <c r="Z37" s="16"/>
      <c r="AA37" s="16"/>
      <c r="AB37" s="16"/>
      <c r="AC37" s="16"/>
      <c r="AD37" s="16"/>
      <c r="AE37" s="16"/>
      <c r="AF37" s="16"/>
      <c r="AG37" s="16"/>
      <c r="AH37" s="21"/>
      <c r="AI37" s="21"/>
      <c r="AJ37" s="16"/>
      <c r="AK37" s="16"/>
    </row>
    <row r="38" spans="1:37" ht="18.75" customHeight="1">
      <c r="A38" s="16"/>
      <c r="B38" s="162" t="s">
        <v>111</v>
      </c>
      <c r="C38" s="162"/>
      <c r="D38" s="129" t="s">
        <v>122</v>
      </c>
      <c r="E38" s="163" t="s">
        <v>123</v>
      </c>
      <c r="F38" s="163"/>
      <c r="G38" s="163"/>
      <c r="H38" s="163"/>
      <c r="I38" s="130" t="s">
        <v>124</v>
      </c>
      <c r="K38" s="162" t="s">
        <v>120</v>
      </c>
      <c r="L38" s="162"/>
      <c r="M38" s="162"/>
      <c r="N38" s="131"/>
      <c r="O38" s="164"/>
      <c r="P38" s="164"/>
      <c r="Q38" s="164"/>
      <c r="R38" s="164"/>
      <c r="S38" s="165"/>
      <c r="T38" s="165"/>
      <c r="U38" s="16"/>
      <c r="V38" s="16" t="s">
        <v>121</v>
      </c>
      <c r="W38" s="16"/>
      <c r="X38" s="16"/>
      <c r="Y38" s="16"/>
      <c r="Z38" s="16"/>
      <c r="AA38" s="16"/>
      <c r="AB38" s="16"/>
      <c r="AC38" s="16"/>
      <c r="AD38" s="16"/>
      <c r="AE38" s="16"/>
      <c r="AF38" s="16"/>
      <c r="AG38" s="16"/>
      <c r="AH38" s="21"/>
      <c r="AI38" s="21"/>
      <c r="AJ38" s="16"/>
      <c r="AK38" s="16"/>
    </row>
    <row r="39" spans="1:37" ht="21" customHeight="1">
      <c r="A39" s="16"/>
      <c r="B39" s="162" t="s">
        <v>111</v>
      </c>
      <c r="C39" s="162"/>
      <c r="D39" s="129" t="s">
        <v>173</v>
      </c>
      <c r="E39" s="163" t="s">
        <v>174</v>
      </c>
      <c r="F39" s="163"/>
      <c r="G39" s="163"/>
      <c r="H39" s="163"/>
      <c r="I39" s="130" t="s">
        <v>96</v>
      </c>
      <c r="K39" s="162" t="s">
        <v>125</v>
      </c>
      <c r="L39" s="162"/>
      <c r="M39" s="162"/>
      <c r="N39" s="131"/>
      <c r="O39" s="164"/>
      <c r="P39" s="164"/>
      <c r="Q39" s="164"/>
      <c r="R39" s="164"/>
      <c r="S39" s="165"/>
      <c r="T39" s="165"/>
      <c r="U39" s="16"/>
      <c r="V39" s="16"/>
      <c r="W39" s="16"/>
      <c r="X39" s="16"/>
      <c r="Y39" s="16"/>
      <c r="Z39" s="16"/>
      <c r="AA39" s="16"/>
      <c r="AB39" s="16"/>
      <c r="AC39" s="16"/>
      <c r="AD39" s="16" t="s">
        <v>101</v>
      </c>
      <c r="AE39" s="16"/>
      <c r="AF39" s="16"/>
      <c r="AG39" s="16"/>
      <c r="AH39" s="21"/>
      <c r="AI39" s="21"/>
      <c r="AJ39" s="16"/>
      <c r="AK39" s="16"/>
    </row>
    <row r="40" spans="1:37" ht="19.5" customHeight="1">
      <c r="A40" s="16"/>
      <c r="B40" s="162" t="s">
        <v>111</v>
      </c>
      <c r="C40" s="162"/>
      <c r="D40" s="129"/>
      <c r="E40" s="163"/>
      <c r="F40" s="163"/>
      <c r="G40" s="163"/>
      <c r="H40" s="163"/>
      <c r="I40" s="130"/>
      <c r="K40" s="162" t="s">
        <v>126</v>
      </c>
      <c r="L40" s="162"/>
      <c r="M40" s="162"/>
      <c r="N40" s="131"/>
      <c r="O40" s="164"/>
      <c r="P40" s="164"/>
      <c r="Q40" s="164"/>
      <c r="R40" s="164"/>
      <c r="S40" s="165"/>
      <c r="T40" s="165"/>
      <c r="U40" s="16"/>
      <c r="V40" s="16"/>
      <c r="W40" s="16"/>
      <c r="X40" s="16"/>
      <c r="Y40" s="16"/>
      <c r="Z40" s="16"/>
      <c r="AA40" s="16"/>
      <c r="AB40" s="16"/>
      <c r="AC40" s="16"/>
      <c r="AD40" s="16"/>
      <c r="AE40" s="16"/>
      <c r="AF40" s="16"/>
      <c r="AG40" s="16"/>
      <c r="AH40" s="21"/>
      <c r="AI40" s="21"/>
      <c r="AJ40" s="16"/>
      <c r="AK40" s="16"/>
    </row>
    <row r="41" spans="1:37" ht="18.75" customHeight="1">
      <c r="B41" s="162" t="s">
        <v>111</v>
      </c>
      <c r="C41" s="162"/>
      <c r="D41" s="129"/>
      <c r="E41" s="163"/>
      <c r="F41" s="163"/>
      <c r="G41" s="163"/>
      <c r="H41" s="163"/>
      <c r="I41" s="130"/>
      <c r="J41" s="5"/>
      <c r="K41" s="162" t="s">
        <v>126</v>
      </c>
      <c r="L41" s="162"/>
      <c r="M41" s="162"/>
      <c r="N41" s="131"/>
      <c r="O41" s="164"/>
      <c r="P41" s="164"/>
      <c r="Q41" s="164"/>
      <c r="R41" s="164"/>
      <c r="S41" s="165"/>
      <c r="T41" s="165"/>
      <c r="U41" s="5"/>
      <c r="V41" s="5"/>
      <c r="W41" s="5"/>
      <c r="X41" s="5"/>
      <c r="Y41" s="5"/>
      <c r="Z41" s="5"/>
      <c r="AA41" s="5"/>
      <c r="AB41" s="5"/>
    </row>
    <row r="42" spans="1:37" ht="19.5" customHeight="1">
      <c r="B42" s="162" t="s">
        <v>127</v>
      </c>
      <c r="C42" s="162"/>
      <c r="D42" s="129" t="s">
        <v>175</v>
      </c>
      <c r="E42" s="163" t="s">
        <v>176</v>
      </c>
      <c r="F42" s="163"/>
      <c r="G42" s="163"/>
      <c r="H42" s="163"/>
      <c r="I42" s="130" t="s">
        <v>92</v>
      </c>
      <c r="J42" s="5"/>
      <c r="K42" s="162" t="s">
        <v>126</v>
      </c>
      <c r="L42" s="162"/>
      <c r="M42" s="162"/>
      <c r="N42" s="131"/>
      <c r="O42" s="164"/>
      <c r="P42" s="164"/>
      <c r="Q42" s="164"/>
      <c r="R42" s="164"/>
      <c r="S42" s="165"/>
      <c r="T42" s="165"/>
      <c r="U42" s="5"/>
      <c r="V42" s="5"/>
      <c r="W42" s="5"/>
      <c r="X42" s="5"/>
      <c r="Y42" s="5"/>
      <c r="Z42" s="5"/>
      <c r="AA42" s="5"/>
      <c r="AB42" s="5"/>
    </row>
    <row r="43" spans="1:37" ht="19.5" customHeight="1">
      <c r="B43" s="156"/>
      <c r="C43" s="156"/>
      <c r="D43" s="132"/>
      <c r="E43" s="157"/>
      <c r="F43" s="157"/>
      <c r="G43" s="157"/>
      <c r="H43" s="157"/>
      <c r="I43" s="133"/>
      <c r="J43" s="5"/>
      <c r="K43" s="156" t="s">
        <v>126</v>
      </c>
      <c r="L43" s="156"/>
      <c r="M43" s="156"/>
      <c r="N43" s="134"/>
      <c r="O43" s="158"/>
      <c r="P43" s="158"/>
      <c r="Q43" s="158"/>
      <c r="R43" s="158"/>
      <c r="S43" s="159"/>
      <c r="T43" s="159"/>
      <c r="U43" s="5"/>
      <c r="V43" s="5"/>
      <c r="W43" s="5"/>
      <c r="X43" s="5"/>
      <c r="Y43" s="5"/>
      <c r="Z43" s="5"/>
      <c r="AA43" s="5"/>
      <c r="AB43" s="5"/>
    </row>
    <row r="44" spans="1:37" ht="18.75" customHeight="1">
      <c r="B44" s="160"/>
      <c r="C44" s="160"/>
      <c r="D44" s="161"/>
      <c r="E44" s="161"/>
      <c r="F44" s="135"/>
      <c r="G44" s="161"/>
      <c r="H44" s="161"/>
      <c r="I44" s="161"/>
      <c r="J44" s="5"/>
      <c r="K44" s="161"/>
      <c r="L44" s="161"/>
      <c r="M44" s="161"/>
      <c r="N44" s="161"/>
      <c r="O44" s="161"/>
      <c r="P44" s="161"/>
      <c r="Q44" s="161"/>
      <c r="R44" s="161"/>
      <c r="S44" s="161"/>
      <c r="T44" s="161"/>
      <c r="U44" s="5"/>
      <c r="V44" s="5"/>
      <c r="W44" s="5"/>
      <c r="X44" s="5"/>
      <c r="Y44" s="5"/>
      <c r="Z44" s="5"/>
      <c r="AA44" s="5"/>
      <c r="AB44" s="5"/>
    </row>
    <row r="45" spans="1:37" ht="18" customHeight="1">
      <c r="B45" s="153" t="s">
        <v>130</v>
      </c>
      <c r="C45" s="153"/>
      <c r="D45" s="153"/>
      <c r="E45" s="153"/>
      <c r="F45" s="153"/>
      <c r="G45" s="153"/>
      <c r="H45" s="153"/>
      <c r="I45" s="153"/>
      <c r="J45" s="153"/>
      <c r="K45" s="153"/>
      <c r="L45" s="153"/>
      <c r="M45" s="153"/>
      <c r="N45" s="153"/>
      <c r="O45" s="153"/>
      <c r="P45" s="153"/>
      <c r="Q45" s="153"/>
      <c r="R45" s="153"/>
      <c r="S45" s="153"/>
      <c r="T45" s="153"/>
      <c r="U45" s="5"/>
      <c r="V45" s="5"/>
      <c r="W45" s="5"/>
      <c r="X45" s="5"/>
      <c r="Y45" s="5"/>
      <c r="Z45" s="5"/>
      <c r="AA45" s="5"/>
      <c r="AB45" s="5"/>
    </row>
    <row r="46" spans="1:37" ht="18" customHeight="1">
      <c r="B46" s="154"/>
      <c r="C46" s="154"/>
      <c r="D46" s="154"/>
      <c r="E46" s="154"/>
      <c r="F46" s="154"/>
      <c r="G46" s="154"/>
      <c r="H46" s="154"/>
      <c r="I46" s="154"/>
      <c r="J46" s="154"/>
      <c r="K46" s="154"/>
      <c r="L46" s="154"/>
      <c r="M46" s="154"/>
      <c r="N46" s="154"/>
      <c r="O46" s="154"/>
      <c r="P46" s="154"/>
      <c r="Q46" s="154"/>
      <c r="R46" s="154"/>
      <c r="S46" s="154"/>
      <c r="T46" s="154"/>
      <c r="U46" s="5"/>
      <c r="V46" s="5"/>
      <c r="W46" s="5"/>
      <c r="X46" s="5"/>
      <c r="Y46" s="5"/>
      <c r="Z46" s="5"/>
      <c r="AA46" s="5"/>
      <c r="AB46" s="5"/>
    </row>
    <row r="47" spans="1:37" ht="13.5" customHeight="1">
      <c r="B47" s="6"/>
      <c r="D47" s="136"/>
      <c r="E47" s="16"/>
      <c r="F47" s="16"/>
      <c r="G47" s="136"/>
      <c r="H47" s="16"/>
      <c r="I47" s="124"/>
      <c r="J47" s="16"/>
      <c r="K47" s="16"/>
      <c r="L47" s="16"/>
      <c r="M47" s="16"/>
      <c r="N47" s="16"/>
      <c r="O47" s="16"/>
      <c r="P47" s="16"/>
      <c r="Q47" s="16"/>
      <c r="R47" s="16"/>
      <c r="S47" s="16"/>
      <c r="T47" s="16"/>
      <c r="U47" s="16"/>
      <c r="V47" s="16"/>
      <c r="W47" s="16"/>
      <c r="X47" s="16"/>
      <c r="Y47" s="16"/>
      <c r="Z47" s="16"/>
      <c r="AA47" s="16"/>
    </row>
    <row r="48" spans="1:37" ht="13.5" customHeight="1">
      <c r="B48" s="137"/>
      <c r="C48" s="137"/>
      <c r="D48" s="138"/>
      <c r="E48" s="139"/>
      <c r="F48" s="139"/>
      <c r="G48" s="140"/>
      <c r="H48" s="141"/>
      <c r="I48" s="5"/>
      <c r="J48" s="16"/>
      <c r="K48" s="16"/>
      <c r="L48" s="16"/>
      <c r="M48" s="16"/>
      <c r="N48" s="16"/>
      <c r="O48" s="16"/>
      <c r="P48" s="16"/>
      <c r="Q48" s="16"/>
      <c r="R48" s="16"/>
      <c r="S48" s="16"/>
      <c r="T48" s="16"/>
      <c r="U48" s="16"/>
      <c r="V48" s="16"/>
      <c r="W48" s="16"/>
      <c r="X48" s="16"/>
      <c r="Y48" s="16"/>
      <c r="Z48" s="16"/>
      <c r="AA48" s="16"/>
    </row>
    <row r="49" spans="5:7" ht="15"/>
    <row r="50" spans="5:7" ht="12.75" customHeight="1">
      <c r="E50" s="155"/>
      <c r="F50" s="155"/>
      <c r="G50" s="155"/>
    </row>
    <row r="51" spans="5:7" ht="15"/>
    <row r="52" spans="5:7" ht="15"/>
    <row r="53" spans="5:7" ht="15"/>
    <row r="54" spans="5:7" ht="15"/>
    <row r="55" spans="5:7" ht="15"/>
    <row r="56" spans="5:7" ht="15"/>
    <row r="57" spans="5:7" ht="15"/>
    <row r="58" spans="5:7" ht="15"/>
    <row r="59" spans="5:7" ht="15"/>
    <row r="60" spans="5:7" ht="15"/>
    <row r="61" spans="5:7" ht="15"/>
    <row r="62" spans="5:7" ht="15"/>
    <row r="63" spans="5:7" ht="15"/>
    <row r="64" spans="5:7" ht="15"/>
    <row r="65" ht="15"/>
    <row r="66" ht="15"/>
    <row r="67" ht="15"/>
    <row r="68" ht="15"/>
    <row r="69" ht="15"/>
    <row r="70" ht="15"/>
    <row r="71" ht="15"/>
    <row r="72" ht="15"/>
    <row r="73" ht="15"/>
    <row r="74" ht="15"/>
    <row r="75" ht="15"/>
    <row r="76" ht="15"/>
    <row r="77" ht="15"/>
    <row r="78" ht="15"/>
    <row r="79" ht="15"/>
    <row r="80" ht="15"/>
  </sheetData>
  <mergeCells count="102">
    <mergeCell ref="G2:R2"/>
    <mergeCell ref="G3:R3"/>
    <mergeCell ref="D5:I5"/>
    <mergeCell ref="K5:N5"/>
    <mergeCell ref="P5:S5"/>
    <mergeCell ref="U5:V5"/>
    <mergeCell ref="AJ6:AJ7"/>
    <mergeCell ref="B7:B8"/>
    <mergeCell ref="C7:C8"/>
    <mergeCell ref="D7:D8"/>
    <mergeCell ref="E7:E8"/>
    <mergeCell ref="F7:F8"/>
    <mergeCell ref="K10:M10"/>
    <mergeCell ref="N10:P10"/>
    <mergeCell ref="S10:T10"/>
    <mergeCell ref="K12:M12"/>
    <mergeCell ref="N12:P12"/>
    <mergeCell ref="S12:T12"/>
    <mergeCell ref="K14:M14"/>
    <mergeCell ref="N14:P14"/>
    <mergeCell ref="S14:T14"/>
    <mergeCell ref="K16:M16"/>
    <mergeCell ref="N16:P16"/>
    <mergeCell ref="S16:T16"/>
    <mergeCell ref="K18:M18"/>
    <mergeCell ref="N18:P18"/>
    <mergeCell ref="S18:T18"/>
    <mergeCell ref="K20:M20"/>
    <mergeCell ref="N20:P20"/>
    <mergeCell ref="S20:T20"/>
    <mergeCell ref="K22:M22"/>
    <mergeCell ref="N22:P22"/>
    <mergeCell ref="S22:T22"/>
    <mergeCell ref="K24:M24"/>
    <mergeCell ref="N24:P24"/>
    <mergeCell ref="S24:T24"/>
    <mergeCell ref="K26:M26"/>
    <mergeCell ref="N26:P26"/>
    <mergeCell ref="S26:T26"/>
    <mergeCell ref="K28:M28"/>
    <mergeCell ref="N28:P28"/>
    <mergeCell ref="S28:T28"/>
    <mergeCell ref="K30:M30"/>
    <mergeCell ref="N30:P30"/>
    <mergeCell ref="S30:T30"/>
    <mergeCell ref="K32:M32"/>
    <mergeCell ref="N32:P32"/>
    <mergeCell ref="S32:T32"/>
    <mergeCell ref="B35:C35"/>
    <mergeCell ref="E35:H35"/>
    <mergeCell ref="K35:M35"/>
    <mergeCell ref="O35:R35"/>
    <mergeCell ref="S35:T35"/>
    <mergeCell ref="B36:C36"/>
    <mergeCell ref="E36:H36"/>
    <mergeCell ref="K36:M36"/>
    <mergeCell ref="O36:R36"/>
    <mergeCell ref="S36:T36"/>
    <mergeCell ref="B37:C37"/>
    <mergeCell ref="E37:H37"/>
    <mergeCell ref="K37:M37"/>
    <mergeCell ref="O37:R37"/>
    <mergeCell ref="S37:T37"/>
    <mergeCell ref="B38:C38"/>
    <mergeCell ref="E38:H38"/>
    <mergeCell ref="K38:M38"/>
    <mergeCell ref="O38:R38"/>
    <mergeCell ref="S38:T38"/>
    <mergeCell ref="B39:C39"/>
    <mergeCell ref="E39:H39"/>
    <mergeCell ref="K39:M39"/>
    <mergeCell ref="O39:R39"/>
    <mergeCell ref="S39:T39"/>
    <mergeCell ref="B40:C40"/>
    <mergeCell ref="E40:H40"/>
    <mergeCell ref="K40:M40"/>
    <mergeCell ref="O40:R40"/>
    <mergeCell ref="S40:T40"/>
    <mergeCell ref="B41:C41"/>
    <mergeCell ref="E41:H41"/>
    <mergeCell ref="K41:M41"/>
    <mergeCell ref="O41:R41"/>
    <mergeCell ref="S41:T41"/>
    <mergeCell ref="B42:C42"/>
    <mergeCell ref="E42:H42"/>
    <mergeCell ref="K42:M42"/>
    <mergeCell ref="O42:R42"/>
    <mergeCell ref="S42:T42"/>
    <mergeCell ref="B45:T45"/>
    <mergeCell ref="B46:T46"/>
    <mergeCell ref="E50:G50"/>
    <mergeCell ref="B43:C43"/>
    <mergeCell ref="E43:H43"/>
    <mergeCell ref="K43:M43"/>
    <mergeCell ref="O43:R43"/>
    <mergeCell ref="S43:T43"/>
    <mergeCell ref="B44:C44"/>
    <mergeCell ref="D44:E44"/>
    <mergeCell ref="G44:I44"/>
    <mergeCell ref="K44:M44"/>
    <mergeCell ref="N44:O44"/>
    <mergeCell ref="P44:T44"/>
  </mergeCells>
  <conditionalFormatting sqref="K27">
    <cfRule type="cellIs" dxfId="209" priority="25" operator="lessThanOrEqual">
      <formula>0</formula>
    </cfRule>
    <cfRule type="cellIs" dxfId="208" priority="24" operator="between">
      <formula>1</formula>
      <formula>300</formula>
    </cfRule>
  </conditionalFormatting>
  <conditionalFormatting sqref="K29">
    <cfRule type="cellIs" dxfId="207" priority="23" operator="lessThanOrEqual">
      <formula>0</formula>
    </cfRule>
    <cfRule type="cellIs" dxfId="206" priority="22" operator="between">
      <formula>1</formula>
      <formula>300</formula>
    </cfRule>
  </conditionalFormatting>
  <conditionalFormatting sqref="K31">
    <cfRule type="cellIs" dxfId="205" priority="20" operator="between">
      <formula>1</formula>
      <formula>300</formula>
    </cfRule>
    <cfRule type="cellIs" dxfId="204" priority="21" operator="lessThanOrEqual">
      <formula>0</formula>
    </cfRule>
  </conditionalFormatting>
  <conditionalFormatting sqref="K9:P9">
    <cfRule type="cellIs" dxfId="203" priority="14" operator="between">
      <formula>1</formula>
      <formula>300</formula>
    </cfRule>
    <cfRule type="cellIs" dxfId="202" priority="15" operator="lessThanOrEqual">
      <formula>0</formula>
    </cfRule>
  </conditionalFormatting>
  <conditionalFormatting sqref="K11:P11">
    <cfRule type="cellIs" dxfId="201" priority="12" operator="between">
      <formula>1</formula>
      <formula>300</formula>
    </cfRule>
    <cfRule type="cellIs" dxfId="200" priority="13" operator="lessThanOrEqual">
      <formula>0</formula>
    </cfRule>
  </conditionalFormatting>
  <conditionalFormatting sqref="K13:P13">
    <cfRule type="cellIs" dxfId="199" priority="8" operator="between">
      <formula>1</formula>
      <formula>300</formula>
    </cfRule>
    <cfRule type="cellIs" dxfId="198" priority="9" operator="lessThanOrEqual">
      <formula>0</formula>
    </cfRule>
  </conditionalFormatting>
  <conditionalFormatting sqref="K15:P15">
    <cfRule type="cellIs" dxfId="197" priority="10" operator="between">
      <formula>1</formula>
      <formula>300</formula>
    </cfRule>
    <cfRule type="cellIs" dxfId="196" priority="11" operator="lessThanOrEqual">
      <formula>0</formula>
    </cfRule>
  </conditionalFormatting>
  <conditionalFormatting sqref="K17:P17">
    <cfRule type="cellIs" dxfId="195" priority="16" operator="between">
      <formula>1</formula>
      <formula>300</formula>
    </cfRule>
    <cfRule type="cellIs" dxfId="194" priority="17" operator="lessThanOrEqual">
      <formula>0</formula>
    </cfRule>
  </conditionalFormatting>
  <conditionalFormatting sqref="K19:P19">
    <cfRule type="cellIs" dxfId="193" priority="2" operator="between">
      <formula>1</formula>
      <formula>300</formula>
    </cfRule>
    <cfRule type="cellIs" dxfId="192" priority="3" operator="lessThanOrEqual">
      <formula>0</formula>
    </cfRule>
  </conditionalFormatting>
  <conditionalFormatting sqref="K21:P21">
    <cfRule type="cellIs" dxfId="191" priority="5" operator="lessThanOrEqual">
      <formula>0</formula>
    </cfRule>
    <cfRule type="cellIs" dxfId="190" priority="4" operator="between">
      <formula>1</formula>
      <formula>300</formula>
    </cfRule>
  </conditionalFormatting>
  <conditionalFormatting sqref="K23:P23">
    <cfRule type="cellIs" dxfId="189" priority="7" operator="lessThanOrEqual">
      <formula>0</formula>
    </cfRule>
    <cfRule type="cellIs" dxfId="188" priority="6" operator="between">
      <formula>1</formula>
      <formula>300</formula>
    </cfRule>
  </conditionalFormatting>
  <conditionalFormatting sqref="K25:P25">
    <cfRule type="cellIs" dxfId="187" priority="19" operator="lessThanOrEqual">
      <formula>0</formula>
    </cfRule>
    <cfRule type="cellIs" dxfId="186" priority="18" operator="between">
      <formula>1</formula>
      <formula>300</formula>
    </cfRule>
  </conditionalFormatting>
  <conditionalFormatting sqref="L27:N27">
    <cfRule type="cellIs" dxfId="185" priority="30" operator="between">
      <formula>1</formula>
      <formula>300</formula>
    </cfRule>
    <cfRule type="cellIs" dxfId="184" priority="31" operator="lessThanOrEqual">
      <formula>0</formula>
    </cfRule>
  </conditionalFormatting>
  <conditionalFormatting sqref="L29:N29">
    <cfRule type="cellIs" dxfId="183" priority="28" operator="between">
      <formula>1</formula>
      <formula>300</formula>
    </cfRule>
    <cfRule type="cellIs" dxfId="182" priority="29" operator="lessThanOrEqual">
      <formula>0</formula>
    </cfRule>
  </conditionalFormatting>
  <conditionalFormatting sqref="L31:N31">
    <cfRule type="cellIs" dxfId="181" priority="26" operator="between">
      <formula>1</formula>
      <formula>300</formula>
    </cfRule>
    <cfRule type="cellIs" dxfId="180" priority="27" operator="lessThanOrEqual">
      <formula>0</formula>
    </cfRule>
  </conditionalFormatting>
  <dataValidations count="6">
    <dataValidation type="list" allowBlank="1" showInputMessage="1" showErrorMessage="1" sqref="B36:C43 K36:M43" xr:uid="{00000000-0002-0000-0400-000000000000}">
      <formula1>"Dommer,Stevnets leder,Jury,Sekretær,Speaker,Teknisk kontrollør,Chief Marshall,Tidtaker"</formula1>
      <formula2>0</formula2>
    </dataValidation>
    <dataValidation type="list" allowBlank="1" showInputMessage="1" showErrorMessage="1" sqref="C11 C9 C31 C29 C27 C25 C23 C21 C19 C17 C15 C13" xr:uid="{00000000-0002-0000-0400-000001000000}">
      <formula1>"44,48,53,56,58,60,63,65,69,71,77,'+77,79,86,'+86,88,94,'+94,110,'+110"</formula1>
      <formula2>0</formula2>
    </dataValidation>
    <dataValidation type="list" allowBlank="1" showInputMessage="1" showErrorMessage="1" sqref="D5:I5" xr:uid="{00000000-0002-0000-0400-00000D000000}">
      <formula1>"Nasjonalt stevne,Seriestevne,Seriestevne 5-kamp,Klubbmesterskap,Regionsmesterskap,Landsdelsmesterskap,Norgesmesterskap Senior,Norgesmesterskap Ungdom,Norgesmesterskap Junior,Norgesmesterskap Veteran,Norgesmesterskap 5-kamp,Norgesmesterskap Lag"</formula1>
      <formula2>0</formula2>
    </dataValidation>
    <dataValidation type="list" allowBlank="1" showInputMessage="1" showErrorMessage="1" sqref="E11 F12 E9 E31 E29 E27 E25 E23 E21 E19 E17 E15 E13" xr:uid="{00000000-0002-0000-0400-00000E000000}">
      <formula1>"UM,JM,SM,UK,JK,SK,M35,M40,M45,M50,M55,M60,M65,M70,M75,M80,M85,M90,K35,K40,K45,K50,K55,K60,K65,K70,K75,K80,K85,K90"</formula1>
      <formula2>0</formula2>
    </dataValidation>
    <dataValidation type="list" allowBlank="1" showInputMessage="1" showErrorMessage="1" sqref="F11 F9 F31 F29 F27 F25 F23 F21 F19 F17 F15 F13" xr:uid="{00000000-0002-0000-0400-00001A000000}">
      <formula1>"11-12,13-14,15-16,17-18,19-23,24-34,+35"</formula1>
      <formula2>0</formula2>
    </dataValidation>
    <dataValidation type="list" allowBlank="1" showInputMessage="1" showErrorMessage="1" prompt="Feil_i_kat. 5-kamp - Feil verdi i kategori 5-kamp" sqref="G12" xr:uid="{00000000-0002-0000-0400-000027000000}">
      <formula1>"11-12,13-14,15-16,17-18,19-23,24-34,+35,35+"</formula1>
      <formula2>0</formula2>
    </dataValidation>
  </dataValidations>
  <pageMargins left="0.27569444444444402" right="0.35416666666666702" top="0.27569444444444402" bottom="0.27569444444444402" header="0.511811023622047" footer="0.511811023622047"/>
  <pageSetup paperSize="9" orientation="landscape" useFirstPageNumber="1" horizontalDpi="300" verticalDpi="300"/>
  <drawing r:id="rId1"/>
  <legacy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K80"/>
  <sheetViews>
    <sheetView zoomScaleNormal="100" workbookViewId="0">
      <selection activeCell="G1" sqref="G1:G1048576"/>
    </sheetView>
  </sheetViews>
  <sheetFormatPr baseColWidth="10" defaultColWidth="9.1640625" defaultRowHeight="12.75" customHeight="1"/>
  <cols>
    <col min="1" max="1" width="4.33203125" style="5" customWidth="1"/>
    <col min="2" max="2" width="10.1640625" style="5" customWidth="1"/>
    <col min="3" max="3" width="6.33203125" style="6" customWidth="1"/>
    <col min="4" max="4" width="8.6640625" style="6" customWidth="1"/>
    <col min="5" max="6" width="6.33203125" style="7" customWidth="1"/>
    <col min="7" max="7" width="10.6640625" style="6" hidden="1" customWidth="1"/>
    <col min="8" max="8" width="3.83203125" style="6" customWidth="1"/>
    <col min="9" max="9" width="27.83203125" style="8" customWidth="1"/>
    <col min="10" max="10" width="21" style="8" customWidth="1"/>
    <col min="11" max="11" width="6.83203125" style="6" customWidth="1"/>
    <col min="12" max="12" width="6.83203125" style="9" customWidth="1"/>
    <col min="13" max="13" width="6.83203125" style="6" customWidth="1"/>
    <col min="14" max="14" width="8.83203125" style="6" customWidth="1"/>
    <col min="15" max="19" width="6.83203125" style="6" customWidth="1"/>
    <col min="20" max="23" width="8" style="10" customWidth="1"/>
    <col min="24" max="24" width="9" style="10" customWidth="1"/>
    <col min="25" max="26" width="8" style="10" customWidth="1"/>
    <col min="27" max="27" width="4.33203125" style="10" customWidth="1"/>
    <col min="28" max="28" width="5.6640625" style="10" customWidth="1"/>
    <col min="29" max="29" width="9.6640625" style="5" hidden="1" customWidth="1"/>
    <col min="30" max="31" width="9.1640625" style="5" hidden="1"/>
    <col min="32" max="32" width="7.83203125" style="5" hidden="1" customWidth="1"/>
    <col min="33" max="33" width="9.1640625" style="5" hidden="1"/>
    <col min="34" max="35" width="9.1640625" style="11" hidden="1"/>
    <col min="36" max="36" width="9.1640625" style="5" hidden="1"/>
    <col min="37" max="37" width="9.1640625" style="5"/>
  </cols>
  <sheetData>
    <row r="1" spans="1:37" ht="18.75" customHeight="1">
      <c r="A1" s="12"/>
      <c r="B1" s="12"/>
      <c r="C1" s="12"/>
      <c r="D1" s="12"/>
      <c r="E1" s="12"/>
      <c r="F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  <c r="T1" s="12"/>
      <c r="U1" s="12"/>
      <c r="V1" s="12"/>
      <c r="W1" s="12"/>
      <c r="X1" s="12"/>
      <c r="Y1" s="12"/>
    </row>
    <row r="2" spans="1:37" ht="75" customHeight="1">
      <c r="A2" s="12"/>
      <c r="B2" s="12"/>
      <c r="C2" s="12"/>
      <c r="D2" s="12"/>
      <c r="E2" s="12"/>
      <c r="F2" s="12"/>
      <c r="G2" s="174" t="s">
        <v>0</v>
      </c>
      <c r="H2" s="174"/>
      <c r="I2" s="174"/>
      <c r="J2" s="174"/>
      <c r="K2" s="174"/>
      <c r="L2" s="174"/>
      <c r="M2" s="174"/>
      <c r="N2" s="174"/>
      <c r="O2" s="174"/>
      <c r="P2" s="174"/>
      <c r="Q2" s="174"/>
      <c r="R2" s="174"/>
      <c r="S2" s="12"/>
      <c r="T2" s="12"/>
      <c r="U2" s="13" t="s">
        <v>1</v>
      </c>
      <c r="V2" s="12"/>
      <c r="W2" s="12"/>
      <c r="X2" s="12"/>
      <c r="Y2" s="12"/>
    </row>
    <row r="3" spans="1:37" ht="21.75" customHeight="1">
      <c r="A3" s="12"/>
      <c r="B3" s="12"/>
      <c r="C3" s="12"/>
      <c r="D3" s="12"/>
      <c r="E3" s="14"/>
      <c r="F3" s="12"/>
      <c r="G3" s="175" t="s">
        <v>2</v>
      </c>
      <c r="H3" s="175"/>
      <c r="I3" s="175"/>
      <c r="J3" s="175"/>
      <c r="K3" s="175"/>
      <c r="L3" s="175"/>
      <c r="M3" s="175"/>
      <c r="N3" s="175"/>
      <c r="O3" s="175"/>
      <c r="P3" s="175"/>
      <c r="Q3" s="175"/>
      <c r="R3" s="175"/>
      <c r="S3" s="15" t="s">
        <v>3</v>
      </c>
      <c r="T3" s="15"/>
      <c r="U3" s="15"/>
      <c r="V3" s="15"/>
      <c r="W3" s="15"/>
      <c r="X3" s="15"/>
      <c r="Y3" s="15"/>
      <c r="Z3" s="15"/>
    </row>
    <row r="4" spans="1:37" ht="12.75" customHeight="1">
      <c r="A4" s="12"/>
      <c r="B4" s="12"/>
      <c r="C4" s="12"/>
      <c r="D4" s="12"/>
      <c r="E4" s="12"/>
      <c r="F4" s="12"/>
      <c r="H4" s="12"/>
      <c r="I4" s="12"/>
      <c r="J4" s="12"/>
      <c r="K4" s="12"/>
      <c r="L4" s="12"/>
      <c r="M4" s="12"/>
      <c r="N4" s="12"/>
      <c r="O4" s="12"/>
      <c r="P4" s="12"/>
      <c r="Q4" s="12"/>
      <c r="R4" s="12"/>
      <c r="S4" s="12"/>
      <c r="T4" s="12"/>
      <c r="U4" s="12"/>
      <c r="V4" s="12"/>
      <c r="W4" s="12"/>
      <c r="X4" s="12"/>
      <c r="Y4" s="12"/>
    </row>
    <row r="5" spans="1:37" ht="15" customHeight="1">
      <c r="A5" s="16"/>
      <c r="B5" s="16"/>
      <c r="C5" s="17" t="s">
        <v>4</v>
      </c>
      <c r="D5" s="176" t="s">
        <v>5</v>
      </c>
      <c r="E5" s="176"/>
      <c r="F5" s="176"/>
      <c r="G5" s="176"/>
      <c r="H5" s="176"/>
      <c r="I5" s="176"/>
      <c r="J5" s="17" t="s">
        <v>6</v>
      </c>
      <c r="K5" s="176" t="s">
        <v>7</v>
      </c>
      <c r="L5" s="176"/>
      <c r="M5" s="176"/>
      <c r="N5" s="176"/>
      <c r="O5" s="17" t="s">
        <v>8</v>
      </c>
      <c r="P5" s="177" t="s">
        <v>9</v>
      </c>
      <c r="Q5" s="177"/>
      <c r="R5" s="177"/>
      <c r="S5" s="177"/>
      <c r="T5" s="17" t="s">
        <v>10</v>
      </c>
      <c r="U5" s="177">
        <v>46263</v>
      </c>
      <c r="V5" s="177"/>
      <c r="W5" s="18"/>
      <c r="X5" s="18"/>
      <c r="Y5" s="18"/>
      <c r="Z5" s="19" t="s">
        <v>11</v>
      </c>
      <c r="AA5" s="19"/>
      <c r="AB5" s="20">
        <v>4</v>
      </c>
      <c r="AC5" s="16"/>
      <c r="AD5" s="16"/>
      <c r="AE5" s="16"/>
      <c r="AF5" s="16"/>
      <c r="AG5" s="16"/>
      <c r="AH5" s="21"/>
      <c r="AI5" s="21"/>
      <c r="AJ5" s="16"/>
      <c r="AK5" s="16"/>
    </row>
    <row r="6" spans="1:37" ht="12.75" customHeight="1">
      <c r="AG6" s="22" t="s">
        <v>12</v>
      </c>
      <c r="AH6" s="22" t="s">
        <v>12</v>
      </c>
      <c r="AI6" s="22" t="s">
        <v>12</v>
      </c>
      <c r="AJ6" s="178" t="s">
        <v>13</v>
      </c>
    </row>
    <row r="7" spans="1:37" ht="12.75" customHeight="1">
      <c r="A7" s="6"/>
      <c r="B7" s="179" t="s">
        <v>14</v>
      </c>
      <c r="C7" s="180" t="s">
        <v>15</v>
      </c>
      <c r="D7" s="180" t="s">
        <v>16</v>
      </c>
      <c r="E7" s="181" t="s">
        <v>17</v>
      </c>
      <c r="F7" s="182" t="s">
        <v>131</v>
      </c>
      <c r="G7" s="24" t="s">
        <v>19</v>
      </c>
      <c r="H7" s="24" t="s">
        <v>20</v>
      </c>
      <c r="I7" s="24" t="s">
        <v>21</v>
      </c>
      <c r="J7" s="24" t="s">
        <v>22</v>
      </c>
      <c r="K7" s="25"/>
      <c r="L7" s="26" t="s">
        <v>23</v>
      </c>
      <c r="M7" s="24"/>
      <c r="N7" s="24"/>
      <c r="O7" s="27" t="s">
        <v>24</v>
      </c>
      <c r="P7" s="24"/>
      <c r="Q7" s="28" t="s">
        <v>25</v>
      </c>
      <c r="R7" s="24"/>
      <c r="S7" s="24" t="s">
        <v>26</v>
      </c>
      <c r="T7" s="29" t="s">
        <v>27</v>
      </c>
      <c r="U7" s="30" t="s">
        <v>27</v>
      </c>
      <c r="V7" s="31" t="s">
        <v>28</v>
      </c>
      <c r="W7" s="31" t="s">
        <v>29</v>
      </c>
      <c r="X7" s="31" t="s">
        <v>30</v>
      </c>
      <c r="Y7" s="32" t="s">
        <v>31</v>
      </c>
      <c r="Z7" s="33" t="s">
        <v>32</v>
      </c>
      <c r="AA7" s="34" t="s">
        <v>33</v>
      </c>
      <c r="AB7" s="29" t="s">
        <v>34</v>
      </c>
      <c r="AC7" s="11"/>
      <c r="AD7" s="6"/>
      <c r="AE7" s="6"/>
      <c r="AF7" s="6"/>
      <c r="AG7" s="35" t="s">
        <v>35</v>
      </c>
      <c r="AH7" s="35" t="s">
        <v>35</v>
      </c>
      <c r="AI7" s="35" t="s">
        <v>35</v>
      </c>
      <c r="AJ7" s="178"/>
      <c r="AK7" s="6"/>
    </row>
    <row r="8" spans="1:37" ht="12.75" customHeight="1">
      <c r="A8" s="6"/>
      <c r="B8" s="179"/>
      <c r="C8" s="180"/>
      <c r="D8" s="180"/>
      <c r="E8" s="181"/>
      <c r="F8" s="182"/>
      <c r="G8" s="36" t="s">
        <v>36</v>
      </c>
      <c r="H8" s="36" t="s">
        <v>37</v>
      </c>
      <c r="I8" s="36"/>
      <c r="J8" s="36"/>
      <c r="K8" s="37">
        <v>1</v>
      </c>
      <c r="L8" s="37">
        <v>2</v>
      </c>
      <c r="M8" s="38">
        <v>3</v>
      </c>
      <c r="N8" s="38">
        <v>1</v>
      </c>
      <c r="O8" s="37">
        <v>2</v>
      </c>
      <c r="P8" s="38">
        <v>3</v>
      </c>
      <c r="Q8" s="39" t="s">
        <v>38</v>
      </c>
      <c r="R8" s="36"/>
      <c r="S8" s="36" t="s">
        <v>39</v>
      </c>
      <c r="T8" s="40"/>
      <c r="U8" s="41" t="s">
        <v>40</v>
      </c>
      <c r="V8" s="31" t="s">
        <v>27</v>
      </c>
      <c r="W8" s="31" t="s">
        <v>27</v>
      </c>
      <c r="X8" s="31" t="s">
        <v>27</v>
      </c>
      <c r="Y8" s="42" t="s">
        <v>41</v>
      </c>
      <c r="Z8" s="43" t="s">
        <v>42</v>
      </c>
      <c r="AA8" s="43"/>
      <c r="AB8" s="40"/>
      <c r="AC8" s="6"/>
      <c r="AD8" s="6" t="s">
        <v>43</v>
      </c>
      <c r="AE8" s="6" t="s">
        <v>44</v>
      </c>
      <c r="AF8" s="11" t="s">
        <v>40</v>
      </c>
      <c r="AG8" s="35" t="s">
        <v>45</v>
      </c>
      <c r="AH8" s="35" t="s">
        <v>46</v>
      </c>
      <c r="AI8" s="35" t="s">
        <v>47</v>
      </c>
      <c r="AJ8" s="6"/>
      <c r="AK8" s="6"/>
    </row>
    <row r="9" spans="1:37" ht="19.5" customHeight="1">
      <c r="A9" s="44"/>
      <c r="B9" s="45" t="s">
        <v>177</v>
      </c>
      <c r="C9" s="142" t="s">
        <v>178</v>
      </c>
      <c r="D9" s="56">
        <v>95.18</v>
      </c>
      <c r="E9" s="142" t="s">
        <v>179</v>
      </c>
      <c r="F9" s="142" t="s">
        <v>89</v>
      </c>
      <c r="G9" s="143">
        <v>39760</v>
      </c>
      <c r="H9" s="142" t="s">
        <v>180</v>
      </c>
      <c r="I9" s="144" t="s">
        <v>181</v>
      </c>
      <c r="J9" s="145" t="s">
        <v>79</v>
      </c>
      <c r="K9" s="52">
        <v>118</v>
      </c>
      <c r="L9" s="52">
        <v>121</v>
      </c>
      <c r="M9" s="52">
        <v>-125</v>
      </c>
      <c r="N9" s="52">
        <v>150</v>
      </c>
      <c r="O9" s="52">
        <v>155</v>
      </c>
      <c r="P9" s="52">
        <v>160</v>
      </c>
      <c r="Q9" s="53">
        <f>IF(MAX(K9:M9)&gt;0,IF(MAX(K9:M9)&lt;0,0,TRUNC(MAX(K9:M9)/1)*1),"")</f>
        <v>121</v>
      </c>
      <c r="R9" s="54">
        <f>IF(MAX(N9:P9)&gt;0,IF(MAX(N9:P9)&lt;0,0,TRUNC(MAX(N9:P9)/1)*1),"")</f>
        <v>160</v>
      </c>
      <c r="S9" s="54">
        <f>IF(Q9="","",IF(R9="","",IF(SUM(Q9:R9)=0,"",SUM(Q9:R9))))</f>
        <v>281</v>
      </c>
      <c r="T9" s="55">
        <f>IF(S9="","",IF(D9="","",IF((AD9="k"),IF(D9&gt;153.757,S9,IF(D9&lt;28,10^(0.0787004341*LOG10(28/153.757)^2)*S9,10^(0.787004341*LOG10(D9/153.757)^2)*S9)),IF(D9&gt;193.609,S9,IF(D9&lt;32,10^(0.722762521*LOG10(32/193.609)^2)*S9,10^(0.722762521*LOG10(D9/193.609)^2)*S9)))))</f>
        <v>329.18473026266287</v>
      </c>
      <c r="U9" s="56" t="str">
        <f>IF(AF9=1,T9*AI9,"")</f>
        <v/>
      </c>
      <c r="V9" s="57">
        <v>7.72</v>
      </c>
      <c r="W9" s="57">
        <v>12.06</v>
      </c>
      <c r="X9" s="57">
        <v>6.87</v>
      </c>
      <c r="Y9" s="55"/>
      <c r="Z9" s="56"/>
      <c r="AA9" s="56">
        <v>1</v>
      </c>
      <c r="AB9" s="58"/>
      <c r="AC9" s="59">
        <f>U5</f>
        <v>46263</v>
      </c>
      <c r="AD9" s="60" t="str">
        <f>IF(ISNUMBER(FIND("M",E9)),"m",IF(ISNUMBER(FIND("K",E9)),"k"))</f>
        <v>m</v>
      </c>
      <c r="AE9" s="61">
        <f>IF(OR(G9="",AC9=""),0,(YEAR(AC9)-YEAR(G9)))</f>
        <v>18</v>
      </c>
      <c r="AF9" s="62">
        <f>IF(AE9&gt;34,1,0)</f>
        <v>0</v>
      </c>
      <c r="AG9" s="44" t="b">
        <f>IF(AF9=1,LOOKUP(AE9,'Meltzer-Faber'!A3:A63,'Meltzer-Faber'!B3:B63))</f>
        <v>0</v>
      </c>
      <c r="AH9" s="63" t="b">
        <f>IF(AF9=1,LOOKUP(AE9,'Meltzer-Faber'!A3:A63,'Meltzer-Faber'!C3:C63))</f>
        <v>0</v>
      </c>
      <c r="AI9" s="63" t="b">
        <f>IF(AD9="m",AG9,IF(AD9="k",AH9,""))</f>
        <v>0</v>
      </c>
      <c r="AJ9" s="64">
        <f>IF(D9="","",IF(D9&gt;193.609,1,IF(D9&lt;32,10^(0.722762521*LOG10(32/193.609)^2),10^(0.722762521*LOG10(D9/193.609)^2))))</f>
        <v>1.1714759084080528</v>
      </c>
      <c r="AK9" s="44"/>
    </row>
    <row r="10" spans="1:37" ht="19.5" customHeight="1">
      <c r="A10" s="44"/>
      <c r="B10" s="65"/>
      <c r="C10" s="3"/>
      <c r="D10" s="3"/>
      <c r="E10" s="3"/>
      <c r="F10" s="66"/>
      <c r="G10" s="67"/>
      <c r="H10" s="68"/>
      <c r="I10" s="69"/>
      <c r="J10" s="69"/>
      <c r="K10" s="173"/>
      <c r="L10" s="173"/>
      <c r="M10" s="173"/>
      <c r="N10" s="172"/>
      <c r="O10" s="172"/>
      <c r="P10" s="172"/>
      <c r="Q10" s="70"/>
      <c r="R10" s="3"/>
      <c r="S10" s="173">
        <f>IF(T9="","",T9*1.2)</f>
        <v>395.02167631519541</v>
      </c>
      <c r="T10" s="173"/>
      <c r="U10" s="3"/>
      <c r="V10" s="3">
        <f>IF(V9&gt;0,V9*20,"")</f>
        <v>154.4</v>
      </c>
      <c r="W10" s="3">
        <f>IF(W9="","",(W9*10)*AJ9)</f>
        <v>141.27999455401118</v>
      </c>
      <c r="X10" s="3">
        <f>IF(ROUNDUP(X9,1)&gt;0,IF((80+(8-ROUNDUP(X9,1))*40)&lt;0,0,80+(8-ROUNDUP(X9,1))*40),"")</f>
        <v>124.00000000000003</v>
      </c>
      <c r="Y10" s="4">
        <f>IF(SUM(V10,W10,X10)&gt;0,SUM(V10,W10,X10),"")</f>
        <v>419.67999455401116</v>
      </c>
      <c r="Z10" s="3">
        <f>IF(AE9&gt;34,(IF(OR(S10="",V10="",W10="",X10=""),"",SUM(S10,V10,W10,X10))*AI9),IF(OR(S10="",V10="",W10="",X10=""),"", SUM(S10,V10,W10,X10)))</f>
        <v>814.70167086920662</v>
      </c>
      <c r="AA10" s="3"/>
      <c r="AB10" s="66"/>
      <c r="AC10" s="71"/>
      <c r="AD10" s="6"/>
      <c r="AE10" s="61"/>
      <c r="AF10" s="72"/>
      <c r="AG10" s="44"/>
      <c r="AH10" s="63"/>
      <c r="AI10" s="63"/>
      <c r="AJ10" s="64"/>
      <c r="AK10" s="44"/>
    </row>
    <row r="11" spans="1:37" ht="19.5" customHeight="1">
      <c r="A11" s="44"/>
      <c r="B11" s="73" t="s">
        <v>182</v>
      </c>
      <c r="C11" s="84" t="s">
        <v>154</v>
      </c>
      <c r="D11" s="78">
        <v>81.290000000000006</v>
      </c>
      <c r="E11" s="84" t="s">
        <v>179</v>
      </c>
      <c r="F11" s="84" t="s">
        <v>89</v>
      </c>
      <c r="G11" s="85">
        <v>39679</v>
      </c>
      <c r="H11" s="84" t="s">
        <v>94</v>
      </c>
      <c r="I11" s="86" t="s">
        <v>183</v>
      </c>
      <c r="J11" s="87" t="s">
        <v>92</v>
      </c>
      <c r="K11" s="74">
        <v>90</v>
      </c>
      <c r="L11" s="74">
        <v>-95</v>
      </c>
      <c r="M11" s="74">
        <v>95</v>
      </c>
      <c r="N11" s="74">
        <v>115</v>
      </c>
      <c r="O11" s="74">
        <v>120</v>
      </c>
      <c r="P11" s="74">
        <v>-125</v>
      </c>
      <c r="Q11" s="75">
        <f>IF(MAX(K11:M11)&gt;0,IF(MAX(K11:M11)&lt;0,0,TRUNC(MAX(K11:M11)/1)*1),"")</f>
        <v>95</v>
      </c>
      <c r="R11" s="76">
        <f>IF(MAX(N11:P11)&gt;0,IF(MAX(N11:P11)&lt;0,0,TRUNC(MAX(N11:P11)/1)*1),"")</f>
        <v>120</v>
      </c>
      <c r="S11" s="76">
        <f>IF(Q11="","",IF(R11="","",IF(SUM(Q11:R11)=0,"",SUM(Q11:R11))))</f>
        <v>215</v>
      </c>
      <c r="T11" s="77">
        <f>IF(S11="","",IF(D11="","",IF((AD11="k"),IF(D11&gt;153.757,S11,IF(D11&lt;28,10^(0.0787004341*LOG10(28/153.757)^2)*S11,10^(0.787004341*LOG10(D11/153.757)^2)*S11)),IF(D11&gt;193.609,S11,IF(D11&lt;32,10^(0.722762521*LOG10(32/193.609)^2)*S11,10^(0.722762521*LOG10(D11/193.609)^2)*S11)))))</f>
        <v>272.33482171186989</v>
      </c>
      <c r="U11" s="78" t="str">
        <f>IF(AF11=1,T11*AI11,"")</f>
        <v/>
      </c>
      <c r="V11" s="79">
        <v>8.9499999999999993</v>
      </c>
      <c r="W11" s="79">
        <v>12.64</v>
      </c>
      <c r="X11" s="79">
        <v>6.63</v>
      </c>
      <c r="Y11" s="80"/>
      <c r="Z11" s="78"/>
      <c r="AA11" s="78">
        <v>2</v>
      </c>
      <c r="AB11" s="81"/>
      <c r="AC11" s="71">
        <f>U5</f>
        <v>46263</v>
      </c>
      <c r="AD11" s="60" t="str">
        <f>IF(ISNUMBER(FIND("M",E11)),"m",IF(ISNUMBER(FIND("K",E11)),"k"))</f>
        <v>m</v>
      </c>
      <c r="AE11" s="61">
        <f>IF(OR(G11="",AC11=""),0,(YEAR(AC11)-YEAR(G11)))</f>
        <v>18</v>
      </c>
      <c r="AF11" s="62">
        <f>IF(AE11&gt;34,1,0)</f>
        <v>0</v>
      </c>
      <c r="AG11" s="44" t="b">
        <f>IF(AF11=1,LOOKUP(AE11,'Meltzer-Faber'!A3:A63,'Meltzer-Faber'!B3:B63))</f>
        <v>0</v>
      </c>
      <c r="AH11" s="63" t="b">
        <f>IF(AF11=1,LOOKUP(AE11,'Meltzer-Faber'!A3:A63,'Meltzer-Faber'!C3:C63))</f>
        <v>0</v>
      </c>
      <c r="AI11" s="63" t="b">
        <f>IF(AD11="m",AG11,IF(AD11="k",AH11,""))</f>
        <v>0</v>
      </c>
      <c r="AJ11" s="64">
        <f>IF(D11="","",IF(D11&gt;193.609,1,IF(D11&lt;32,10^(0.722762521*LOG10(32/193.609)^2),10^(0.722762521*LOG10(D11/193.609)^2))))</f>
        <v>1.2666735893575343</v>
      </c>
      <c r="AK11" s="44"/>
    </row>
    <row r="12" spans="1:37" ht="19.5" customHeight="1">
      <c r="A12" s="44"/>
      <c r="B12" s="82"/>
      <c r="C12" s="3"/>
      <c r="D12" s="3"/>
      <c r="E12" s="3"/>
      <c r="F12" s="66"/>
      <c r="G12" s="67"/>
      <c r="H12" s="68"/>
      <c r="I12" s="69"/>
      <c r="J12" s="69"/>
      <c r="K12" s="173"/>
      <c r="L12" s="173"/>
      <c r="M12" s="173"/>
      <c r="N12" s="172"/>
      <c r="O12" s="172"/>
      <c r="P12" s="172"/>
      <c r="Q12" s="70"/>
      <c r="R12" s="3"/>
      <c r="S12" s="173">
        <f>IF(T11="","",T11*1.2)</f>
        <v>326.80178605424385</v>
      </c>
      <c r="T12" s="173"/>
      <c r="U12" s="3"/>
      <c r="V12" s="3">
        <f>IF(V11&gt;0,V11*20,"")</f>
        <v>179</v>
      </c>
      <c r="W12" s="3">
        <f>IF(W11="","",(W11*10)*AJ11)</f>
        <v>160.10754169479233</v>
      </c>
      <c r="X12" s="3">
        <f>IF(ROUNDUP(X11,1)&gt;0,IF((80+(8-ROUNDUP(X11,1))*40)&lt;0,0,80+(8-ROUNDUP(X11,1))*40),"")</f>
        <v>132.00000000000003</v>
      </c>
      <c r="Y12" s="4">
        <f>IF(SUM(V12,W12,X12)&gt;0,SUM(V12,W12,X12),"")</f>
        <v>471.1075416947923</v>
      </c>
      <c r="Z12" s="3">
        <f>IF(AE11&gt;34,(IF(OR(S12="",V12="",W12="",X12=""),"",SUM(S12,V12,W12,X12))*AI11),IF(OR(S12="",V12="",W12="",X12=""),"", SUM(S12,V12,W12,X12)))</f>
        <v>797.90932774903615</v>
      </c>
      <c r="AA12" s="3"/>
      <c r="AB12" s="66"/>
      <c r="AC12" s="71"/>
      <c r="AD12" s="6"/>
      <c r="AE12" s="61"/>
      <c r="AF12" s="62"/>
      <c r="AG12" s="44"/>
      <c r="AH12" s="63"/>
      <c r="AI12" s="63"/>
      <c r="AJ12" s="64"/>
      <c r="AK12" s="44"/>
    </row>
    <row r="13" spans="1:37" ht="19.5" customHeight="1">
      <c r="A13" s="44"/>
      <c r="B13" s="83" t="s">
        <v>184</v>
      </c>
      <c r="C13" s="84" t="s">
        <v>169</v>
      </c>
      <c r="D13" s="78">
        <v>69.92</v>
      </c>
      <c r="E13" s="84" t="s">
        <v>141</v>
      </c>
      <c r="F13" s="84" t="s">
        <v>89</v>
      </c>
      <c r="G13" s="85">
        <v>39932</v>
      </c>
      <c r="H13" s="84" t="s">
        <v>86</v>
      </c>
      <c r="I13" s="86" t="s">
        <v>185</v>
      </c>
      <c r="J13" s="87" t="s">
        <v>92</v>
      </c>
      <c r="K13" s="74">
        <v>70</v>
      </c>
      <c r="L13" s="74">
        <v>75</v>
      </c>
      <c r="M13" s="74">
        <v>80</v>
      </c>
      <c r="N13" s="74">
        <v>80</v>
      </c>
      <c r="O13" s="74">
        <v>85</v>
      </c>
      <c r="P13" s="74">
        <v>-90</v>
      </c>
      <c r="Q13" s="75">
        <f>IF(MAX(K13:M13)&gt;0,IF(MAX(K13:M13)&lt;0,0,TRUNC(MAX(K13:M13)/1)*1),"")</f>
        <v>80</v>
      </c>
      <c r="R13" s="76">
        <f>IF(MAX(N13:P13)&gt;0,IF(MAX(N13:P13)&lt;0,0,TRUNC(MAX(N13:P13)/1)*1),"")</f>
        <v>85</v>
      </c>
      <c r="S13" s="76">
        <f>IF(Q13="","",IF(R13="","",IF(SUM(Q13:R13)=0,"",SUM(Q13:R13))))</f>
        <v>165</v>
      </c>
      <c r="T13" s="77">
        <f>IF(S13="","",IF(D13="","",IF((AD13="k"),IF(D13&gt;153.757,S13,IF(D13&lt;28,10^(0.0787004341*LOG10(28/153.757)^2)*S13,10^(0.787004341*LOG10(D13/153.757)^2)*S13)),IF(D13&gt;193.609,S13,IF(D13&lt;32,10^(0.722762521*LOG10(32/193.609)^2)*S13,10^(0.722762521*LOG10(D13/193.609)^2)*S13)))))</f>
        <v>228.50351554574323</v>
      </c>
      <c r="U13" s="78" t="str">
        <f>IF(AF13=1,T13*AI13,"")</f>
        <v/>
      </c>
      <c r="V13" s="79">
        <v>7.7</v>
      </c>
      <c r="W13" s="79">
        <v>11.32</v>
      </c>
      <c r="X13" s="79">
        <v>6.76</v>
      </c>
      <c r="Y13" s="88"/>
      <c r="Z13" s="78"/>
      <c r="AA13" s="78">
        <v>3</v>
      </c>
      <c r="AB13" s="81"/>
      <c r="AC13" s="71">
        <f>U5</f>
        <v>46263</v>
      </c>
      <c r="AD13" s="60" t="str">
        <f>IF(ISNUMBER(FIND("M",E13)),"m",IF(ISNUMBER(FIND("K",E13)),"k"))</f>
        <v>m</v>
      </c>
      <c r="AE13" s="61">
        <f>IF(OR(G13="",AC13=""),0,(YEAR(AC13)-YEAR(G13)))</f>
        <v>17</v>
      </c>
      <c r="AF13" s="62">
        <f>IF(AE13&gt;34,1,0)</f>
        <v>0</v>
      </c>
      <c r="AG13" s="44" t="b">
        <f>IF(AF13=1,LOOKUP(AE13,'Meltzer-Faber'!A3:A63,'Meltzer-Faber'!B3:B63))</f>
        <v>0</v>
      </c>
      <c r="AH13" s="63" t="b">
        <f>IF(AF13=1,LOOKUP(AE13,'Meltzer-Faber'!A3:A63,'Meltzer-Faber'!C3:C63))</f>
        <v>0</v>
      </c>
      <c r="AI13" s="63" t="b">
        <f>IF(AD13="m",AG13,IF(AD13="k",AH13,""))</f>
        <v>0</v>
      </c>
      <c r="AJ13" s="64">
        <f>IF(D13="","",IF(D13&gt;193.609,1,IF(D13&lt;32,10^(0.722762521*LOG10(32/193.609)^2),10^(0.722762521*LOG10(D13/193.609)^2))))</f>
        <v>1.3848697911863226</v>
      </c>
      <c r="AK13" s="44"/>
    </row>
    <row r="14" spans="1:37" ht="19.5" customHeight="1">
      <c r="A14" s="44"/>
      <c r="B14" s="82"/>
      <c r="C14" s="3"/>
      <c r="D14" s="3"/>
      <c r="E14" s="3"/>
      <c r="F14" s="66"/>
      <c r="G14" s="67"/>
      <c r="H14" s="68"/>
      <c r="I14" s="69"/>
      <c r="J14" s="69"/>
      <c r="K14" s="173"/>
      <c r="L14" s="173"/>
      <c r="M14" s="173"/>
      <c r="N14" s="172"/>
      <c r="O14" s="172"/>
      <c r="P14" s="172"/>
      <c r="Q14" s="70"/>
      <c r="R14" s="3"/>
      <c r="S14" s="173">
        <f>IF(T13="","",T13*1.2)</f>
        <v>274.20421865489186</v>
      </c>
      <c r="T14" s="173"/>
      <c r="U14" s="3"/>
      <c r="V14" s="3">
        <f>IF(V13&gt;0,V13*20,"")</f>
        <v>154</v>
      </c>
      <c r="W14" s="3">
        <f>IF(W13="","",(W13*10)*AJ13)</f>
        <v>156.76726036229172</v>
      </c>
      <c r="X14" s="3">
        <f>IF(ROUNDUP(X13,1)&gt;0,IF((80+(8-ROUNDUP(X13,1))*40)&lt;0,0,80+(8-ROUNDUP(X13,1))*40),"")</f>
        <v>128</v>
      </c>
      <c r="Y14" s="4">
        <f>IF(SUM(V14,W14,X14)&gt;0,SUM(V14,W14,X14),"")</f>
        <v>438.76726036229172</v>
      </c>
      <c r="Z14" s="3">
        <f>IF(AE13&gt;34,(IF(OR(S14="",V14="",W14="",X14=""),"",SUM(S14,V14,W14,X14))*AI13),IF(OR(S14="",V14="",W14="",X14=""),"", SUM(S14,V14,W14,X14)))</f>
        <v>712.97147901718358</v>
      </c>
      <c r="AA14" s="3"/>
      <c r="AB14" s="66"/>
      <c r="AC14" s="71"/>
      <c r="AD14" s="6"/>
      <c r="AE14" s="61"/>
      <c r="AF14" s="62"/>
      <c r="AG14" s="44"/>
      <c r="AH14" s="63"/>
      <c r="AI14" s="63"/>
      <c r="AJ14" s="64"/>
      <c r="AK14" s="44"/>
    </row>
    <row r="15" spans="1:37" ht="19.5" customHeight="1">
      <c r="A15" s="44"/>
      <c r="B15" s="83" t="s">
        <v>186</v>
      </c>
      <c r="C15" s="84" t="s">
        <v>154</v>
      </c>
      <c r="D15" s="78">
        <v>83.5</v>
      </c>
      <c r="E15" s="84" t="s">
        <v>179</v>
      </c>
      <c r="F15" s="84" t="s">
        <v>89</v>
      </c>
      <c r="G15" s="85">
        <v>39541</v>
      </c>
      <c r="H15" s="84" t="s">
        <v>64</v>
      </c>
      <c r="I15" s="86" t="s">
        <v>187</v>
      </c>
      <c r="J15" s="87" t="s">
        <v>92</v>
      </c>
      <c r="K15" s="74">
        <v>-85</v>
      </c>
      <c r="L15" s="74">
        <v>85</v>
      </c>
      <c r="M15" s="74">
        <v>-91</v>
      </c>
      <c r="N15" s="74">
        <v>98</v>
      </c>
      <c r="O15" s="74">
        <v>102</v>
      </c>
      <c r="P15" s="74">
        <v>-105</v>
      </c>
      <c r="Q15" s="75">
        <f>IF(MAX(K15:M15)&gt;0,IF(MAX(K15:M15)&lt;0,0,TRUNC(MAX(K15:M15)/1)*1),"")</f>
        <v>85</v>
      </c>
      <c r="R15" s="76">
        <f>IF(MAX(N15:P15)&gt;0,IF(MAX(N15:P15)&lt;0,0,TRUNC(MAX(N15:P15)/1)*1),"")</f>
        <v>102</v>
      </c>
      <c r="S15" s="76">
        <f>IF(Q15="","",IF(R15="","",IF(SUM(Q15:R15)=0,"",SUM(Q15:R15))))</f>
        <v>187</v>
      </c>
      <c r="T15" s="77">
        <f>IF(S15="","",IF(D15="","",IF((AD15="k"),IF(D15&gt;153.757,S15,IF(D15&lt;28,10^(0.0787004341*LOG10(28/153.757)^2)*S15,10^(0.787004341*LOG10(D15/153.757)^2)*S15)),IF(D15&gt;193.609,S15,IF(D15&lt;32,10^(0.722762521*LOG10(32/193.609)^2)*S15,10^(0.722762521*LOG10(D15/193.609)^2)*S15)))))</f>
        <v>233.48437371497533</v>
      </c>
      <c r="U15" s="78" t="str">
        <f>IF(AF15=1,T15*AI15,"")</f>
        <v/>
      </c>
      <c r="V15" s="79">
        <v>7.79</v>
      </c>
      <c r="W15" s="79">
        <v>9.7200000000000006</v>
      </c>
      <c r="X15" s="79">
        <v>7</v>
      </c>
      <c r="Y15" s="80"/>
      <c r="Z15" s="78"/>
      <c r="AA15" s="78">
        <v>4</v>
      </c>
      <c r="AB15" s="81"/>
      <c r="AC15" s="71">
        <f>U5</f>
        <v>46263</v>
      </c>
      <c r="AD15" s="60" t="str">
        <f>IF(ISNUMBER(FIND("M",E15)),"m",IF(ISNUMBER(FIND("K",E15)),"k"))</f>
        <v>m</v>
      </c>
      <c r="AE15" s="61">
        <f>IF(OR(G15="",AC15=""),0,(YEAR(AC15)-YEAR(G15)))</f>
        <v>18</v>
      </c>
      <c r="AF15" s="62">
        <f>IF(AE15&gt;34,1,0)</f>
        <v>0</v>
      </c>
      <c r="AG15" s="44" t="b">
        <f>IF(AF15=1,LOOKUP(AE15,'Meltzer-Faber'!A3:A63,'Meltzer-Faber'!B3:B63))</f>
        <v>0</v>
      </c>
      <c r="AH15" s="63" t="b">
        <f>IF(AF15=1,LOOKUP(AE15,'Meltzer-Faber'!A3:A63,'Meltzer-Faber'!C3:C63))</f>
        <v>0</v>
      </c>
      <c r="AI15" s="63" t="b">
        <f>IF(AD15="m",AG15,IF(AD15="k",AH15,""))</f>
        <v>0</v>
      </c>
      <c r="AJ15" s="64">
        <f>IF(D15="","",IF(D15&gt;193.609,1,IF(D15&lt;32,10^(0.722762521*LOG10(32/193.609)^2),10^(0.722762521*LOG10(D15/193.609)^2))))</f>
        <v>1.2485795385827558</v>
      </c>
      <c r="AK15" s="44"/>
    </row>
    <row r="16" spans="1:37" ht="19.5" customHeight="1">
      <c r="A16" s="44"/>
      <c r="B16" s="82"/>
      <c r="C16" s="3"/>
      <c r="D16" s="3"/>
      <c r="E16" s="3"/>
      <c r="F16" s="66"/>
      <c r="G16" s="67"/>
      <c r="H16" s="68"/>
      <c r="I16" s="69"/>
      <c r="J16" s="69"/>
      <c r="K16" s="173"/>
      <c r="L16" s="173"/>
      <c r="M16" s="173"/>
      <c r="N16" s="172"/>
      <c r="O16" s="172"/>
      <c r="P16" s="172"/>
      <c r="Q16" s="89"/>
      <c r="R16" s="90"/>
      <c r="S16" s="173">
        <f>IF(T15="","",T15*1.2)</f>
        <v>280.18124845797041</v>
      </c>
      <c r="T16" s="173"/>
      <c r="U16" s="3"/>
      <c r="V16" s="3">
        <f>IF(V15&gt;0,V15*20,"")</f>
        <v>155.80000000000001</v>
      </c>
      <c r="W16" s="3">
        <f>IF(W15="","",(W15*10)*AJ15)</f>
        <v>121.36193115024388</v>
      </c>
      <c r="X16" s="3">
        <f>IF(ROUNDUP(X15,1)&gt;0,IF((80+(8-ROUNDUP(X15,1))*40)&lt;0,0,80+(8-ROUNDUP(X15,1))*40),"")</f>
        <v>120</v>
      </c>
      <c r="Y16" s="4">
        <f>IF(SUM(V16,W16,X16)&gt;0,SUM(V16,W16,X16),"")</f>
        <v>397.1619311502439</v>
      </c>
      <c r="Z16" s="3">
        <f>IF(AE15&gt;34,(IF(OR(S16="",V16="",W16="",X16=""),"",SUM(S16,V16,W16,X16))*AI15),IF(OR(S16="",V16="",W16="",X16=""),"", SUM(S16,V16,W16,X16)))</f>
        <v>677.34317960821431</v>
      </c>
      <c r="AA16" s="3"/>
      <c r="AB16" s="66"/>
      <c r="AC16" s="71"/>
      <c r="AD16" s="6"/>
      <c r="AE16" s="61"/>
      <c r="AF16" s="62"/>
      <c r="AG16" s="44"/>
      <c r="AH16" s="63"/>
      <c r="AI16" s="63"/>
      <c r="AJ16" s="64"/>
      <c r="AK16" s="44"/>
    </row>
    <row r="17" spans="1:37" ht="19.5" customHeight="1">
      <c r="A17" s="44"/>
      <c r="B17" s="83" t="s">
        <v>188</v>
      </c>
      <c r="C17" s="84" t="s">
        <v>154</v>
      </c>
      <c r="D17" s="78">
        <v>83.62</v>
      </c>
      <c r="E17" s="84" t="s">
        <v>179</v>
      </c>
      <c r="F17" s="84" t="s">
        <v>89</v>
      </c>
      <c r="G17" s="85">
        <v>39569</v>
      </c>
      <c r="H17" s="84" t="s">
        <v>99</v>
      </c>
      <c r="I17" s="91" t="s">
        <v>189</v>
      </c>
      <c r="J17" s="87" t="s">
        <v>92</v>
      </c>
      <c r="K17" s="74">
        <v>85</v>
      </c>
      <c r="L17" s="74">
        <v>-90</v>
      </c>
      <c r="M17" s="74">
        <v>-90</v>
      </c>
      <c r="N17" s="74">
        <v>105</v>
      </c>
      <c r="O17" s="74">
        <v>-110</v>
      </c>
      <c r="P17" s="74">
        <v>110</v>
      </c>
      <c r="Q17" s="75">
        <f>IF(MAX(K17:M17)&gt;0,IF(MAX(K17:M17)&lt;0,0,TRUNC(MAX(K17:M17)/1)*1),"")</f>
        <v>85</v>
      </c>
      <c r="R17" s="76">
        <f>IF(MAX(N17:P17)&gt;0,IF(MAX(N17:P17)&lt;0,0,TRUNC(MAX(N17:P17)/1)*1),"")</f>
        <v>110</v>
      </c>
      <c r="S17" s="74">
        <f>IF(Q17="","",IF(R17="","",IF(SUM(Q17:R17)=0,"",SUM(Q17:R17))))</f>
        <v>195</v>
      </c>
      <c r="T17" s="77">
        <f>IF(S17="","",IF(D17="","",IF((AD17="k"),IF(D17&gt;153.757,S17,IF(D17&lt;28,10^(0.0787004341*LOG10(28/153.757)^2)*S17,10^(0.787004341*LOG10(D17/153.757)^2)*S17)),IF(D17&gt;193.609,S17,IF(D17&lt;32,10^(0.722762521*LOG10(32/193.609)^2)*S17,10^(0.722762521*LOG10(D17/193.609)^2)*S17)))))</f>
        <v>243.28863541783431</v>
      </c>
      <c r="U17" s="78" t="str">
        <f>IF(AF17=1,T17*AI17,"")</f>
        <v/>
      </c>
      <c r="V17" s="79">
        <v>7.29</v>
      </c>
      <c r="W17" s="79">
        <v>10.210000000000001</v>
      </c>
      <c r="X17" s="79">
        <v>7.35</v>
      </c>
      <c r="Y17" s="80"/>
      <c r="Z17" s="78"/>
      <c r="AA17" s="78">
        <v>5</v>
      </c>
      <c r="AB17" s="81"/>
      <c r="AC17" s="71">
        <f>U5</f>
        <v>46263</v>
      </c>
      <c r="AD17" s="60" t="str">
        <f>IF(ISNUMBER(FIND("M",E17)),"m",IF(ISNUMBER(FIND("K",E17)),"k"))</f>
        <v>m</v>
      </c>
      <c r="AE17" s="61">
        <f>IF(OR(G17="",AC17=""),0,(YEAR(AC17)-YEAR(G17)))</f>
        <v>18</v>
      </c>
      <c r="AF17" s="62">
        <f>IF(AE17&gt;34,1,0)</f>
        <v>0</v>
      </c>
      <c r="AG17" s="44" t="b">
        <f>IF(AF17=1,LOOKUP(AE17,'Meltzer-Faber'!A3:A63,'Meltzer-Faber'!B3:B63))</f>
        <v>0</v>
      </c>
      <c r="AH17" s="63" t="b">
        <f>IF(AF17=1,LOOKUP(AE17,'Meltzer-Faber'!A3:A63,'Meltzer-Faber'!C3:C63))</f>
        <v>0</v>
      </c>
      <c r="AI17" s="63" t="b">
        <f>IF(AD17="m",AG17,IF(AD17="k",AH17,""))</f>
        <v>0</v>
      </c>
      <c r="AJ17" s="64">
        <f>IF(D17="","",IF(D17&gt;193.609,1,IF(D17&lt;32,10^(0.722762521*LOG10(32/193.609)^2),10^(0.722762521*LOG10(D17/193.609)^2))))</f>
        <v>1.2476340277837656</v>
      </c>
      <c r="AK17" s="44"/>
    </row>
    <row r="18" spans="1:37" ht="19.5" customHeight="1">
      <c r="A18" s="44"/>
      <c r="B18" s="82"/>
      <c r="C18" s="3"/>
      <c r="D18" s="3"/>
      <c r="E18" s="3"/>
      <c r="F18" s="66"/>
      <c r="G18" s="67"/>
      <c r="H18" s="68"/>
      <c r="I18" s="69"/>
      <c r="J18" s="69"/>
      <c r="K18" s="173"/>
      <c r="L18" s="173"/>
      <c r="M18" s="173"/>
      <c r="N18" s="172"/>
      <c r="O18" s="172"/>
      <c r="P18" s="172"/>
      <c r="Q18" s="70"/>
      <c r="R18" s="3"/>
      <c r="S18" s="173">
        <f>IF(T17="","",T17*1.2)</f>
        <v>291.94636250140115</v>
      </c>
      <c r="T18" s="173"/>
      <c r="U18" s="3"/>
      <c r="V18" s="3">
        <f>IF(V17&gt;0,V17*20,"")</f>
        <v>145.80000000000001</v>
      </c>
      <c r="W18" s="3">
        <f>IF(W17="","",(W17*10)*AJ17)</f>
        <v>127.38343423672248</v>
      </c>
      <c r="X18" s="3">
        <f>IF(ROUNDUP(X17,1)&gt;0,IF((80+(8-ROUNDUP(X17,1))*40)&lt;0,0,80+(8-ROUNDUP(X17,1))*40),"")</f>
        <v>104.00000000000003</v>
      </c>
      <c r="Y18" s="4">
        <f>IF(SUM(V18,W18,X18)&gt;0,SUM(V18,W18,X18),"")</f>
        <v>377.18343423672252</v>
      </c>
      <c r="Z18" s="3">
        <f>IF(AE17&gt;34,(IF(OR(S18="",V18="",W18="",X18=""),"",SUM(S18,V18,W18,X18))*AI17),IF(OR(S18="",V18="",W18="",X18=""),"", SUM(S18,V18,W18,X18)))</f>
        <v>669.12979673812367</v>
      </c>
      <c r="AA18" s="3"/>
      <c r="AB18" s="66"/>
      <c r="AC18" s="71"/>
      <c r="AD18" s="6"/>
      <c r="AE18" s="61"/>
      <c r="AF18" s="62"/>
      <c r="AG18" s="44"/>
      <c r="AH18" s="63"/>
      <c r="AI18" s="63"/>
      <c r="AJ18" s="64"/>
      <c r="AK18" s="44"/>
    </row>
    <row r="19" spans="1:37" ht="19.5" customHeight="1">
      <c r="A19" s="44"/>
      <c r="B19" s="83" t="s">
        <v>190</v>
      </c>
      <c r="C19" s="84" t="s">
        <v>157</v>
      </c>
      <c r="D19" s="78">
        <v>74.61</v>
      </c>
      <c r="E19" s="84" t="s">
        <v>191</v>
      </c>
      <c r="F19" s="84" t="s">
        <v>192</v>
      </c>
      <c r="G19" s="85">
        <v>38415</v>
      </c>
      <c r="H19" s="84" t="s">
        <v>56</v>
      </c>
      <c r="I19" s="91" t="s">
        <v>193</v>
      </c>
      <c r="J19" s="87" t="s">
        <v>70</v>
      </c>
      <c r="K19" s="74">
        <v>-120</v>
      </c>
      <c r="L19" s="74">
        <v>120</v>
      </c>
      <c r="M19" s="74">
        <v>123</v>
      </c>
      <c r="N19" s="74">
        <v>140</v>
      </c>
      <c r="O19" s="74">
        <v>148</v>
      </c>
      <c r="P19" s="74">
        <v>155</v>
      </c>
      <c r="Q19" s="75">
        <f>IF(MAX(K19:M19)&gt;0,IF(MAX(K19:M19)&lt;0,0,TRUNC(MAX(K19:M19)/1)*1),"")</f>
        <v>123</v>
      </c>
      <c r="R19" s="76">
        <f>IF(MAX(N19:P19)&gt;0,IF(MAX(N19:P19)&lt;0,0,TRUNC(MAX(N19:P19)/1)*1),"")</f>
        <v>155</v>
      </c>
      <c r="S19" s="74">
        <f>IF(Q19="","",IF(R19="","",IF(SUM(Q19:R19)=0,"",SUM(Q19:R19))))</f>
        <v>278</v>
      </c>
      <c r="T19" s="77">
        <f>IF(S19="","",IF(D19="","",IF((AD19="k"),IF(D19&gt;153.757,S19,IF(D19&lt;28,10^(0.0787004341*LOG10(28/153.757)^2)*S19,10^(0.787004341*LOG10(D19/153.757)^2)*S19)),IF(D19&gt;193.609,S19,IF(D19&lt;32,10^(0.722762521*LOG10(32/193.609)^2)*S19,10^(0.722762521*LOG10(D19/193.609)^2)*S19)))))</f>
        <v>369.82844757914341</v>
      </c>
      <c r="U19" s="78" t="str">
        <f>IF(AF19=1,T19*AI19,"")</f>
        <v/>
      </c>
      <c r="V19" s="79">
        <v>9.6</v>
      </c>
      <c r="W19" s="79">
        <v>12.42</v>
      </c>
      <c r="X19" s="79">
        <v>6.21</v>
      </c>
      <c r="Y19" s="80"/>
      <c r="Z19" s="78"/>
      <c r="AA19" s="78">
        <v>1</v>
      </c>
      <c r="AB19" s="81"/>
      <c r="AC19" s="71">
        <f>U5</f>
        <v>46263</v>
      </c>
      <c r="AD19" s="60" t="str">
        <f>IF(ISNUMBER(FIND("M",E19)),"m",IF(ISNUMBER(FIND("K",E19)),"k"))</f>
        <v>m</v>
      </c>
      <c r="AE19" s="61">
        <f>IF(OR(G19="",AC19=""),0,(YEAR(AC19)-YEAR(G19)))</f>
        <v>21</v>
      </c>
      <c r="AF19" s="62">
        <f>IF(AE19&gt;34,1,0)</f>
        <v>0</v>
      </c>
      <c r="AG19" s="44" t="b">
        <f>IF(AF19=1,LOOKUP(AE19,'Meltzer-Faber'!A3:A63,'Meltzer-Faber'!B3:B63))</f>
        <v>0</v>
      </c>
      <c r="AH19" s="63" t="b">
        <f>IF(AF19=1,LOOKUP(AE19,'Meltzer-Faber'!A3:A63,'Meltzer-Faber'!C3:C63))</f>
        <v>0</v>
      </c>
      <c r="AI19" s="63" t="b">
        <f>IF(AD19="m",AG19,IF(AD19="k",AH19,""))</f>
        <v>0</v>
      </c>
      <c r="AJ19" s="64">
        <f>IF(D19="","",IF(D19&gt;193.609,1,IF(D19&lt;32,10^(0.722762521*LOG10(32/193.609)^2),10^(0.722762521*LOG10(D19/193.609)^2))))</f>
        <v>1.3303181567595086</v>
      </c>
      <c r="AK19" s="44"/>
    </row>
    <row r="20" spans="1:37" ht="19.5" customHeight="1">
      <c r="A20" s="44"/>
      <c r="B20" s="82"/>
      <c r="C20" s="3"/>
      <c r="D20" s="3"/>
      <c r="E20" s="3"/>
      <c r="F20" s="66"/>
      <c r="G20" s="67"/>
      <c r="H20" s="68"/>
      <c r="I20" s="69"/>
      <c r="J20" s="69"/>
      <c r="K20" s="173"/>
      <c r="L20" s="173"/>
      <c r="M20" s="173"/>
      <c r="N20" s="172"/>
      <c r="O20" s="172"/>
      <c r="P20" s="172"/>
      <c r="Q20" s="70"/>
      <c r="R20" s="3"/>
      <c r="S20" s="173">
        <f>IF(T19="","",T19*1.2)</f>
        <v>443.79413709497209</v>
      </c>
      <c r="T20" s="173"/>
      <c r="U20" s="3"/>
      <c r="V20" s="3">
        <f>IF(V19&gt;0,V19*20,"")</f>
        <v>192</v>
      </c>
      <c r="W20" s="3">
        <f>IF(W19="","",(W19*10)*AJ19)</f>
        <v>165.22551506953099</v>
      </c>
      <c r="X20" s="3">
        <f>IF(ROUNDUP(X19,1)&gt;0,IF((80+(8-ROUNDUP(X19,1))*40)&lt;0,0,80+(8-ROUNDUP(X19,1))*40),"")</f>
        <v>148</v>
      </c>
      <c r="Y20" s="4">
        <f>IF(SUM(V20,W20,X20)&gt;0,SUM(V20,W20,X20),"")</f>
        <v>505.22551506953096</v>
      </c>
      <c r="Z20" s="3">
        <f>IF(AE19&gt;34,(IF(OR(S20="",V20="",W20="",X20=""),"",SUM(S20,V20,W20,X20))*AI19),IF(OR(S20="",V20="",W20="",X20=""),"", SUM(S20,V20,W20,X20)))</f>
        <v>949.01965216450299</v>
      </c>
      <c r="AA20" s="3"/>
      <c r="AB20" s="66"/>
      <c r="AC20" s="71"/>
      <c r="AD20" s="6"/>
      <c r="AE20" s="61"/>
      <c r="AF20" s="62"/>
      <c r="AG20" s="44"/>
      <c r="AH20" s="63"/>
      <c r="AI20" s="63"/>
      <c r="AJ20" s="64"/>
      <c r="AK20" s="44"/>
    </row>
    <row r="21" spans="1:37" ht="19.5" customHeight="1">
      <c r="A21" s="44"/>
      <c r="B21" s="83" t="s">
        <v>194</v>
      </c>
      <c r="C21" s="84" t="s">
        <v>154</v>
      </c>
      <c r="D21" s="78">
        <v>83.63</v>
      </c>
      <c r="E21" s="84" t="s">
        <v>179</v>
      </c>
      <c r="F21" s="84" t="s">
        <v>192</v>
      </c>
      <c r="G21" s="85">
        <v>38896</v>
      </c>
      <c r="H21" s="84" t="s">
        <v>77</v>
      </c>
      <c r="I21" s="86" t="s">
        <v>195</v>
      </c>
      <c r="J21" s="87" t="s">
        <v>92</v>
      </c>
      <c r="K21" s="74">
        <v>120</v>
      </c>
      <c r="L21" s="74">
        <v>-124</v>
      </c>
      <c r="M21" s="74">
        <v>-124</v>
      </c>
      <c r="N21" s="74">
        <v>140</v>
      </c>
      <c r="O21" s="74">
        <v>-145</v>
      </c>
      <c r="P21" s="74">
        <v>-145</v>
      </c>
      <c r="Q21" s="75">
        <f>IF(MAX(K21:M21)&gt;0,IF(MAX(K21:M21)&lt;0,0,TRUNC(MAX(K21:M21)/1)*1),"")</f>
        <v>120</v>
      </c>
      <c r="R21" s="76">
        <f>IF(MAX(N21:P21)&gt;0,IF(MAX(N21:P21)&lt;0,0,TRUNC(MAX(N21:P21)/1)*1),"")</f>
        <v>140</v>
      </c>
      <c r="S21" s="74">
        <f>IF(Q21="","",IF(R21="","",IF(SUM(Q21:R21)=0,"",SUM(Q21:R21))))</f>
        <v>260</v>
      </c>
      <c r="T21" s="77">
        <f>IF(S21="","",IF(D21="","",IF((AD21="k"),IF(D21&gt;153.757,S21,IF(D21&lt;28,10^(0.0787004341*LOG10(28/153.757)^2)*S21,10^(0.787004341*LOG10(D21/153.757)^2)*S21)),IF(D21&gt;193.609,S21,IF(D21&lt;32,10^(0.722762521*LOG10(32/193.609)^2)*S21,10^(0.722762521*LOG10(D21/193.609)^2)*S21)))))</f>
        <v>324.36440442209755</v>
      </c>
      <c r="U21" s="78" t="str">
        <f>IF(AF21=1,T21*AI21,"")</f>
        <v/>
      </c>
      <c r="V21" s="79">
        <v>8.7799999999999994</v>
      </c>
      <c r="W21" s="79">
        <v>14.93</v>
      </c>
      <c r="X21" s="79">
        <v>6.26</v>
      </c>
      <c r="Y21" s="80"/>
      <c r="Z21" s="78"/>
      <c r="AA21" s="78">
        <v>2</v>
      </c>
      <c r="AB21" s="81"/>
      <c r="AC21" s="71">
        <f>U5</f>
        <v>46263</v>
      </c>
      <c r="AD21" s="60" t="str">
        <f>IF(ISNUMBER(FIND("M",E21)),"m",IF(ISNUMBER(FIND("K",E21)),"k"))</f>
        <v>m</v>
      </c>
      <c r="AE21" s="61">
        <f>IF(OR(G21="",AC21=""),0,(YEAR(AC21)-YEAR(G21)))</f>
        <v>20</v>
      </c>
      <c r="AF21" s="62">
        <f>IF(AE21&gt;34,1,0)</f>
        <v>0</v>
      </c>
      <c r="AG21" s="44" t="b">
        <f>IF(AF21=1,LOOKUP(AE21,'Meltzer-Faber'!A3:A63,'Meltzer-Faber'!B3:B63))</f>
        <v>0</v>
      </c>
      <c r="AH21" s="63" t="b">
        <f>IF(AF21=1,LOOKUP(AE21,'Meltzer-Faber'!A3:A63,'Meltzer-Faber'!C3:C63))</f>
        <v>0</v>
      </c>
      <c r="AI21" s="63" t="b">
        <f>IF(AD21="m",AG21,IF(AD21="k",AH21,""))</f>
        <v>0</v>
      </c>
      <c r="AJ21" s="64">
        <f>IF(D21="","",IF(D21&gt;193.609,1,IF(D21&lt;32,10^(0.722762521*LOG10(32/193.609)^2),10^(0.722762521*LOG10(D21/193.609)^2))))</f>
        <v>1.247555401623452</v>
      </c>
      <c r="AK21" s="44"/>
    </row>
    <row r="22" spans="1:37" ht="19.5" customHeight="1">
      <c r="A22" s="44"/>
      <c r="B22" s="82"/>
      <c r="C22" s="3"/>
      <c r="D22" s="3"/>
      <c r="E22" s="3"/>
      <c r="F22" s="66"/>
      <c r="G22" s="67"/>
      <c r="H22" s="68"/>
      <c r="I22" s="69"/>
      <c r="J22" s="69"/>
      <c r="K22" s="173"/>
      <c r="L22" s="173"/>
      <c r="M22" s="173"/>
      <c r="N22" s="172"/>
      <c r="O22" s="172"/>
      <c r="P22" s="172"/>
      <c r="Q22" s="70"/>
      <c r="R22" s="3"/>
      <c r="S22" s="173">
        <f>IF(T21="","",T21*1.2)</f>
        <v>389.23728530651704</v>
      </c>
      <c r="T22" s="173"/>
      <c r="U22" s="3"/>
      <c r="V22" s="3">
        <f>IF(V21&gt;0,V21*20,"")</f>
        <v>175.6</v>
      </c>
      <c r="W22" s="3">
        <f>IF(W21="","",(W21*10)*AJ21)</f>
        <v>186.26002146238139</v>
      </c>
      <c r="X22" s="3">
        <f>IF(ROUNDUP(X21,1)&gt;0,IF((80+(8-ROUNDUP(X21,1))*40)&lt;0,0,80+(8-ROUNDUP(X21,1))*40),"")</f>
        <v>148</v>
      </c>
      <c r="Y22" s="4">
        <f>IF(SUM(V22,W22,X22)&gt;0,SUM(V22,W22,X22),"")</f>
        <v>509.86002146238138</v>
      </c>
      <c r="Z22" s="3">
        <f>IF(AE21&gt;34,(IF(OR(S22="",V22="",W22="",X22=""),"",SUM(S22,V22,W22,X22))*AI21),IF(OR(S22="",V22="",W22="",X22=""),"", SUM(S22,V22,W22,X22)))</f>
        <v>899.09730676889842</v>
      </c>
      <c r="AA22" s="3"/>
      <c r="AB22" s="66"/>
      <c r="AC22" s="71"/>
      <c r="AD22" s="6"/>
      <c r="AE22" s="61"/>
      <c r="AF22" s="62"/>
      <c r="AG22" s="44"/>
      <c r="AH22" s="63"/>
      <c r="AI22" s="63"/>
      <c r="AJ22" s="64"/>
      <c r="AK22" s="44"/>
    </row>
    <row r="23" spans="1:37" ht="19.5" customHeight="1">
      <c r="A23" s="44"/>
      <c r="B23" s="83" t="s">
        <v>196</v>
      </c>
      <c r="C23" s="84" t="s">
        <v>157</v>
      </c>
      <c r="D23" s="78">
        <v>72.569999999999993</v>
      </c>
      <c r="E23" s="84" t="s">
        <v>179</v>
      </c>
      <c r="F23" s="84" t="s">
        <v>192</v>
      </c>
      <c r="G23" s="85">
        <v>39199</v>
      </c>
      <c r="H23" s="84" t="s">
        <v>60</v>
      </c>
      <c r="I23" s="86" t="s">
        <v>197</v>
      </c>
      <c r="J23" s="87" t="s">
        <v>54</v>
      </c>
      <c r="K23" s="74">
        <v>-90</v>
      </c>
      <c r="L23" s="74">
        <v>-90</v>
      </c>
      <c r="M23" s="74">
        <v>90</v>
      </c>
      <c r="N23" s="74">
        <v>114</v>
      </c>
      <c r="O23" s="74">
        <v>118</v>
      </c>
      <c r="P23" s="74">
        <v>121</v>
      </c>
      <c r="Q23" s="75">
        <f>IF(MAX(K23:M23)&gt;0,IF(MAX(K23:M23)&lt;0,0,TRUNC(MAX(K23:M23)/1)*1),"")</f>
        <v>90</v>
      </c>
      <c r="R23" s="76">
        <f>IF(MAX(N23:P23)&gt;0,IF(MAX(N23:P23)&lt;0,0,TRUNC(MAX(N23:P23)/1)*1),"")</f>
        <v>121</v>
      </c>
      <c r="S23" s="74">
        <f>IF(Q23="","",IF(R23="","",IF(SUM(Q23:R23)=0,"",SUM(Q23:R23))))</f>
        <v>211</v>
      </c>
      <c r="T23" s="77">
        <f>IF(S23="","",IF(D23="","",IF((AD23="k"),IF(D23&gt;153.757,S23,IF(C23&lt;28,10^(0.0787004341*LOG10(28/153.757)^2)*S23,10^(0.787004341*LOG10(D23/153.757)^2)*S23)),IF(D23&gt;193.609,S23,IF(D23&lt;32,10^(0.722762521*LOG10(32/193.609)^2)*S23,10^(0.722762521*LOG10(D23/193.609)^2)*S23)))))</f>
        <v>285.4632712436462</v>
      </c>
      <c r="U23" s="78" t="str">
        <f>IF(AF23=1,T23*AI23,"")</f>
        <v/>
      </c>
      <c r="V23" s="79">
        <v>9.81</v>
      </c>
      <c r="W23" s="79">
        <v>14.02</v>
      </c>
      <c r="X23" s="79">
        <v>5.97</v>
      </c>
      <c r="Y23" s="80"/>
      <c r="Z23" s="78"/>
      <c r="AA23" s="78">
        <v>3</v>
      </c>
      <c r="AB23" s="81"/>
      <c r="AC23" s="71">
        <f>U5</f>
        <v>46263</v>
      </c>
      <c r="AD23" s="60" t="str">
        <f>IF(ISNUMBER(FIND("M",E23)),"m",IF(ISNUMBER(FIND("K",E23)),"k"))</f>
        <v>m</v>
      </c>
      <c r="AE23" s="92">
        <f>IF(OR(G23="",AC23=""),0,(YEAR(AC23)-YEAR(G23)))</f>
        <v>19</v>
      </c>
      <c r="AF23" s="62">
        <f>IF(AE23&gt;34,1,0)</f>
        <v>0</v>
      </c>
      <c r="AG23" s="44" t="b">
        <f>IF(AF23=1,LOOKUP(AE23,'Meltzer-Faber'!A3:A63,'Meltzer-Faber'!B3:B63))</f>
        <v>0</v>
      </c>
      <c r="AH23" s="63" t="b">
        <f>IF(AF23=1,LOOKUP(AE23,'Meltzer-Faber'!A3:A63,'Meltzer-Faber'!C3:C63))</f>
        <v>0</v>
      </c>
      <c r="AI23" s="63" t="b">
        <f>IF(AD23="m",AG23,IF(AD23="k",AH23,""))</f>
        <v>0</v>
      </c>
      <c r="AJ23" s="64">
        <f>IF(D23="","",IF(D23&gt;193.609,1,IF(D23&lt;32,10^(0.722762521*LOG10(32/193.609)^2),10^(0.722762521*LOG10(D23/193.609)^2))))</f>
        <v>1.3529064987850532</v>
      </c>
      <c r="AK23" s="44"/>
    </row>
    <row r="24" spans="1:37" ht="19.5" customHeight="1">
      <c r="A24" s="44"/>
      <c r="B24" s="82"/>
      <c r="C24" s="3"/>
      <c r="D24" s="3"/>
      <c r="E24" s="3"/>
      <c r="F24" s="66"/>
      <c r="G24" s="67"/>
      <c r="H24" s="68"/>
      <c r="I24" s="69"/>
      <c r="J24" s="69"/>
      <c r="K24" s="173"/>
      <c r="L24" s="173"/>
      <c r="M24" s="173"/>
      <c r="N24" s="172"/>
      <c r="O24" s="172"/>
      <c r="P24" s="172"/>
      <c r="Q24" s="70"/>
      <c r="R24" s="3"/>
      <c r="S24" s="173">
        <f>IF(T23="","",T23*1.2)</f>
        <v>342.55592549237542</v>
      </c>
      <c r="T24" s="173"/>
      <c r="U24" s="3"/>
      <c r="V24" s="3">
        <f>IF(V23&gt;0,V23*20,"")</f>
        <v>196.20000000000002</v>
      </c>
      <c r="W24" s="3">
        <f>IF(W23="","",(W23*10)*AJ23)</f>
        <v>189.67749112966445</v>
      </c>
      <c r="X24" s="3">
        <f>IF(ROUNDUP(X23,1)&gt;0,IF((80+(8-ROUNDUP(X23,1))*40)&lt;0,0,80+(8-ROUNDUP(X23,1))*40),"")</f>
        <v>160</v>
      </c>
      <c r="Y24" s="4">
        <f>IF(SUM(V24,W24,X24)&gt;0,SUM(V24,W24,X24),"")</f>
        <v>545.87749112966446</v>
      </c>
      <c r="Z24" s="3">
        <f>IF(AE23&gt;34,(IF(OR(S24="",V24="",W24="",X24=""),"",SUM(S24,V24,W24,X24))*AI23),IF(OR(S24="",V24="",W24="",X24=""),"", SUM(S24,V24,W24,X24)))</f>
        <v>888.43341662203989</v>
      </c>
      <c r="AA24" s="3"/>
      <c r="AB24" s="66"/>
      <c r="AC24" s="71"/>
      <c r="AD24" s="6"/>
      <c r="AE24" s="61"/>
      <c r="AF24" s="62"/>
      <c r="AG24" s="44"/>
      <c r="AH24" s="63"/>
      <c r="AI24" s="63"/>
      <c r="AJ24" s="64"/>
      <c r="AK24" s="44"/>
    </row>
    <row r="25" spans="1:37" ht="19.5" customHeight="1">
      <c r="A25" s="44"/>
      <c r="B25" s="83" t="s">
        <v>198</v>
      </c>
      <c r="C25" s="84" t="s">
        <v>169</v>
      </c>
      <c r="D25" s="78">
        <v>69.34</v>
      </c>
      <c r="E25" s="84" t="s">
        <v>179</v>
      </c>
      <c r="F25" s="84" t="s">
        <v>192</v>
      </c>
      <c r="G25" s="85">
        <v>39272</v>
      </c>
      <c r="H25" s="84" t="s">
        <v>90</v>
      </c>
      <c r="I25" s="86" t="s">
        <v>199</v>
      </c>
      <c r="J25" s="87" t="s">
        <v>152</v>
      </c>
      <c r="K25" s="74">
        <v>-90</v>
      </c>
      <c r="L25" s="74">
        <v>-90</v>
      </c>
      <c r="M25" s="74">
        <v>94</v>
      </c>
      <c r="N25" s="74">
        <v>110</v>
      </c>
      <c r="O25" s="74">
        <v>115</v>
      </c>
      <c r="P25" s="74">
        <v>119</v>
      </c>
      <c r="Q25" s="75">
        <f>IF(MAX(K25:M25)&gt;0,IF(MAX(K25:M25)&lt;0,0,TRUNC(MAX(K25:M25)/1)*1),"")</f>
        <v>94</v>
      </c>
      <c r="R25" s="76">
        <f>IF(MAX(N25:P25)&gt;0,IF(MAX(N25:P25)&lt;0,0,TRUNC(MAX(N25:P25)/1)*1),"")</f>
        <v>119</v>
      </c>
      <c r="S25" s="74">
        <f>IF(Q25="","",IF(R25="","",IF(SUM(Q25:R25)=0,"",SUM(Q25:R25))))</f>
        <v>213</v>
      </c>
      <c r="T25" s="77">
        <f>IF(S25="","",IF(D25="","",IF((AD25="k"),IF(D25&gt;153.757,S25,IF(C25&lt;28,10^(0.0787004341*LOG10(28/153.757)^2)*S25,10^(0.787004341*LOG10(D25/153.757)^2)*S25)),IF(D25&gt;193.609,S25,IF(D25&lt;32,10^(0.722762521*LOG10(32/193.609)^2)*S25,10^(0.722762521*LOG10(D25/193.609)^2)*S25)))))</f>
        <v>296.55896147815622</v>
      </c>
      <c r="U25" s="78" t="str">
        <f>IF(AF25=1,T25*AI25,"")</f>
        <v/>
      </c>
      <c r="V25" s="79">
        <v>7.64</v>
      </c>
      <c r="W25" s="79">
        <v>10.14</v>
      </c>
      <c r="X25" s="79">
        <v>6.33</v>
      </c>
      <c r="Y25" s="80"/>
      <c r="Z25" s="78"/>
      <c r="AA25" s="78">
        <v>4</v>
      </c>
      <c r="AB25" s="81"/>
      <c r="AC25" s="71">
        <f>U5</f>
        <v>46263</v>
      </c>
      <c r="AD25" s="60" t="str">
        <f>IF(ISNUMBER(FIND("M",E25)),"m",IF(ISNUMBER(FIND("K",E25)),"k"))</f>
        <v>m</v>
      </c>
      <c r="AE25" s="92">
        <f>IF(OR(G25="",AC25=""),0,(YEAR(AC25)-YEAR(G25)))</f>
        <v>19</v>
      </c>
      <c r="AF25" s="62">
        <f>IF(AE25&gt;34,1,0)</f>
        <v>0</v>
      </c>
      <c r="AG25" s="44" t="b">
        <f>IF(AF25=1,LOOKUP(AE25,'Meltzer-Faber'!A3:A63,'Meltzer-Faber'!B3:B63))</f>
        <v>0</v>
      </c>
      <c r="AH25" s="63" t="b">
        <f>IF(AF25=1,LOOKUP(AE25,'Meltzer-Faber'!A3:A63,'Meltzer-Faber'!C3:C63))</f>
        <v>0</v>
      </c>
      <c r="AI25" s="63" t="b">
        <f>IF(AD25="m",AG25,IF(AD25="k",AH25,""))</f>
        <v>0</v>
      </c>
      <c r="AJ25" s="64">
        <f>IF(D25="","",IF(D25&gt;193.609,1,IF(D25&lt;32,10^(0.722762521*LOG10(32/193.609)^2),10^(0.722762521*LOG10(D25/193.609)^2))))</f>
        <v>1.3922955937941608</v>
      </c>
      <c r="AK25" s="44"/>
    </row>
    <row r="26" spans="1:37" ht="19.5" customHeight="1">
      <c r="A26" s="44"/>
      <c r="B26" s="82"/>
      <c r="C26" s="3"/>
      <c r="D26" s="3"/>
      <c r="E26" s="3"/>
      <c r="F26" s="66"/>
      <c r="G26" s="67"/>
      <c r="H26" s="68"/>
      <c r="I26" s="69"/>
      <c r="J26" s="69"/>
      <c r="K26" s="173"/>
      <c r="L26" s="173"/>
      <c r="M26" s="173"/>
      <c r="N26" s="172"/>
      <c r="O26" s="172"/>
      <c r="P26" s="172"/>
      <c r="Q26" s="70"/>
      <c r="R26" s="3"/>
      <c r="S26" s="173">
        <f>IF(T25="","",T25*1.2)</f>
        <v>355.87075377378744</v>
      </c>
      <c r="T26" s="173"/>
      <c r="U26" s="3"/>
      <c r="V26" s="3">
        <f>IF(V25&gt;0,V25*20,"")</f>
        <v>152.79999999999998</v>
      </c>
      <c r="W26" s="3">
        <f>IF(W25="","",(W25*10)*AJ25)</f>
        <v>141.17877321072791</v>
      </c>
      <c r="X26" s="3">
        <f>IF(ROUNDUP(X25,1)&gt;0,IF((80+(8-ROUNDUP(X25,1))*40)&lt;0,0,80+(8-ROUNDUP(X25,1))*40),"")</f>
        <v>144.00000000000003</v>
      </c>
      <c r="Y26" s="4">
        <f>IF(SUM(V26,W26,X26)&gt;0,SUM(V26,W26,X26),"")</f>
        <v>437.97877321072792</v>
      </c>
      <c r="Z26" s="3">
        <f>IF(AE25&gt;34,(IF(OR(S26="",V26="",W26="",X26=""),"",SUM(S26,V26,W26,X26))*AI25),IF(OR(S26="",V26="",W26="",X26=""),"", SUM(S26,V26,W26,X26)))</f>
        <v>793.84952698451525</v>
      </c>
      <c r="AA26" s="3"/>
      <c r="AB26" s="66"/>
      <c r="AC26" s="71"/>
      <c r="AD26" s="6"/>
      <c r="AE26" s="61"/>
      <c r="AF26" s="62"/>
      <c r="AG26" s="44"/>
      <c r="AH26" s="63"/>
      <c r="AI26" s="63"/>
      <c r="AJ26" s="64"/>
      <c r="AK26" s="44"/>
    </row>
    <row r="27" spans="1:37" ht="19.5" customHeight="1">
      <c r="A27" s="44"/>
      <c r="B27" s="83" t="s">
        <v>200</v>
      </c>
      <c r="C27" s="93" t="s">
        <v>154</v>
      </c>
      <c r="D27" s="78">
        <v>79.58</v>
      </c>
      <c r="E27" s="94" t="s">
        <v>179</v>
      </c>
      <c r="F27" s="95" t="s">
        <v>192</v>
      </c>
      <c r="G27" s="85">
        <v>39126</v>
      </c>
      <c r="H27" s="84" t="s">
        <v>72</v>
      </c>
      <c r="I27" s="87" t="s">
        <v>201</v>
      </c>
      <c r="J27" s="87" t="s">
        <v>54</v>
      </c>
      <c r="K27" s="96">
        <v>87</v>
      </c>
      <c r="L27" s="97">
        <v>90</v>
      </c>
      <c r="M27" s="97">
        <v>-93</v>
      </c>
      <c r="N27" s="97">
        <v>107</v>
      </c>
      <c r="O27" s="98">
        <v>-111</v>
      </c>
      <c r="P27" s="98">
        <v>114</v>
      </c>
      <c r="Q27" s="75">
        <f>IF(MAX(K27:M27)&gt;0,IF(MAX(K27:M27)&lt;0,0,TRUNC(MAX(K27:M27)/1)*1),"")</f>
        <v>90</v>
      </c>
      <c r="R27" s="76">
        <f>IF(MAX(N27:P27)&gt;0,IF(MAX(N27:P27)&lt;0,0,TRUNC(MAX(N27:P27)/1)*1),"")</f>
        <v>114</v>
      </c>
      <c r="S27" s="74">
        <f>IF(Q27="","",IF(R27="","",IF(SUM(Q27:R27)=0,"",SUM(Q27:R27))))</f>
        <v>204</v>
      </c>
      <c r="T27" s="77">
        <f>IF(S27="","",IF(D27="","",IF((AD27="k"),IF(D27&gt;153.757,S27,IF(C27&lt;28,10^(0.0787004341*LOG10(28/153.757)^2)*S27,10^(0.787004341*LOG10(D27/153.757)^2)*S27)),IF(D27&gt;193.609,S27,IF(D27&lt;32,10^(0.722762521*LOG10(32/193.609)^2)*S27,10^(0.722762521*LOG10(D27/193.609)^2)*S27)))))</f>
        <v>261.44886214826738</v>
      </c>
      <c r="U27" s="78" t="str">
        <f>IF(AF27=1,T27*AI27,"")</f>
        <v/>
      </c>
      <c r="V27" s="79">
        <v>8.36</v>
      </c>
      <c r="W27" s="79">
        <v>11.8</v>
      </c>
      <c r="X27" s="79">
        <v>6.74</v>
      </c>
      <c r="Y27" s="80"/>
      <c r="Z27" s="78"/>
      <c r="AA27" s="78">
        <v>5</v>
      </c>
      <c r="AB27" s="81"/>
      <c r="AC27" s="71">
        <f>U5</f>
        <v>46263</v>
      </c>
      <c r="AD27" s="60" t="str">
        <f>IF(ISNUMBER(FIND("M",E27)),"m",IF(ISNUMBER(FIND("K",E27)),"k"))</f>
        <v>m</v>
      </c>
      <c r="AE27" s="92">
        <f>IF(OR(G27="",AC27=""),0,(YEAR(AC27)-YEAR(G27)))</f>
        <v>19</v>
      </c>
      <c r="AF27" s="62">
        <f>IF(AE27&gt;34,1,0)</f>
        <v>0</v>
      </c>
      <c r="AG27" s="44" t="b">
        <f>IF(AF27=1,LOOKUP(AE27,'Meltzer-Faber'!A3:A63,'Meltzer-Faber'!B3:B63))</f>
        <v>0</v>
      </c>
      <c r="AH27" s="63" t="b">
        <f>IF(AF27=1,LOOKUP(AE27,'Meltzer-Faber'!A3:A63,'Meltzer-Faber'!C3:C63))</f>
        <v>0</v>
      </c>
      <c r="AI27" s="63" t="b">
        <f>IF(AD27="m",AG27,IF(AD27="k",AH27,""))</f>
        <v>0</v>
      </c>
      <c r="AJ27" s="64">
        <f>IF(D27="","",IF(D27&gt;193.609,1,IF(D27&lt;32,10^(0.722762521*LOG10(32/193.609)^2),10^(0.722762521*LOG10(D27/193.609)^2))))</f>
        <v>1.2816120693542519</v>
      </c>
      <c r="AK27" s="44"/>
    </row>
    <row r="28" spans="1:37" ht="19.5" customHeight="1">
      <c r="A28" s="44"/>
      <c r="B28" s="82"/>
      <c r="C28" s="99"/>
      <c r="D28" s="3"/>
      <c r="E28" s="66"/>
      <c r="F28" s="66"/>
      <c r="G28" s="67"/>
      <c r="H28" s="67"/>
      <c r="I28" s="69"/>
      <c r="J28" s="69"/>
      <c r="K28" s="172"/>
      <c r="L28" s="172"/>
      <c r="M28" s="172"/>
      <c r="N28" s="172"/>
      <c r="O28" s="172"/>
      <c r="P28" s="172"/>
      <c r="Q28" s="70"/>
      <c r="R28" s="3"/>
      <c r="S28" s="173">
        <f>IF(T27="","",T27*1.2)</f>
        <v>313.73863457792083</v>
      </c>
      <c r="T28" s="173"/>
      <c r="U28" s="3"/>
      <c r="V28" s="3">
        <f>IF(V27&gt;0,V27*20,"")</f>
        <v>167.2</v>
      </c>
      <c r="W28" s="3">
        <f>IF(W27="","",(W27*10)*AJ27)</f>
        <v>151.23022418380171</v>
      </c>
      <c r="X28" s="3">
        <f>IF(ROUNDUP(X27,1)&gt;0,IF((80+(8-ROUNDUP(X27,1))*40)&lt;0,0,80+(8-ROUNDUP(X27,1))*40),"")</f>
        <v>128</v>
      </c>
      <c r="Y28" s="4">
        <f>IF(SUM(V28,W28,X28)&gt;0,SUM(V28,W28,X28),"")</f>
        <v>446.43022418380167</v>
      </c>
      <c r="Z28" s="3">
        <f>IF(AE27&gt;34,(IF(OR(S28="",V28="",W28="",X28=""),"",SUM(S28,V28,W28,X28))*AI27),IF(OR(S28="",V28="",W28="",X28=""),"", SUM(S28,V28,W28,X28)))</f>
        <v>760.1688587617225</v>
      </c>
      <c r="AA28" s="3"/>
      <c r="AB28" s="66"/>
      <c r="AC28" s="71"/>
      <c r="AD28" s="6"/>
      <c r="AE28" s="61"/>
      <c r="AF28" s="62"/>
      <c r="AG28" s="44"/>
      <c r="AH28" s="63"/>
      <c r="AI28" s="63"/>
      <c r="AJ28" s="64"/>
      <c r="AK28" s="44"/>
    </row>
    <row r="29" spans="1:37" ht="19.5" customHeight="1">
      <c r="A29" s="44"/>
      <c r="B29" s="83" t="s">
        <v>202</v>
      </c>
      <c r="C29" s="93" t="s">
        <v>178</v>
      </c>
      <c r="D29" s="78">
        <v>95.36</v>
      </c>
      <c r="E29" s="94" t="s">
        <v>179</v>
      </c>
      <c r="F29" s="95" t="s">
        <v>192</v>
      </c>
      <c r="G29" s="85">
        <v>38951</v>
      </c>
      <c r="H29" s="84" t="s">
        <v>68</v>
      </c>
      <c r="I29" s="87" t="s">
        <v>203</v>
      </c>
      <c r="J29" s="87" t="s">
        <v>92</v>
      </c>
      <c r="K29" s="96">
        <v>-105</v>
      </c>
      <c r="L29" s="97">
        <v>105</v>
      </c>
      <c r="M29" s="97">
        <v>109</v>
      </c>
      <c r="N29" s="97">
        <v>126</v>
      </c>
      <c r="O29" s="98">
        <v>-131</v>
      </c>
      <c r="P29" s="98">
        <v>-131</v>
      </c>
      <c r="Q29" s="75">
        <f>IF(MAX(K29:M29)&gt;0,IF(MAX(K29:M29)&lt;0,0,TRUNC(MAX(K29:M29)/1)*1),"")</f>
        <v>109</v>
      </c>
      <c r="R29" s="76">
        <f>IF(MAX(N29:P29)&gt;0,IF(MAX(N29:P29)&lt;0,0,TRUNC(MAX(N29:P29)/1)*1),"")</f>
        <v>126</v>
      </c>
      <c r="S29" s="74">
        <f>IF(Q29="","",IF(R29="","",IF(SUM(Q29:R29)=0,"",SUM(Q29:R29))))</f>
        <v>235</v>
      </c>
      <c r="T29" s="77">
        <f>IF(S29="","",IF(D29="","",IF((AD29="k"),IF(D29&gt;153.757,S29,IF(C29&lt;28,10^(0.0787004341*LOG10(28/153.757)^2)*S29,10^(0.787004341*LOG10(D29/153.757)^2)*S29)),IF(D29&gt;193.609,S29,IF(D29&lt;32,10^(0.722762521*LOG10(32/193.609)^2)*S29,10^(0.722762521*LOG10(D29/193.609)^2)*S29)))))</f>
        <v>275.06538245147084</v>
      </c>
      <c r="U29" s="78" t="str">
        <f>IF(AF29=1,T29*AI29,"")</f>
        <v/>
      </c>
      <c r="V29" s="79">
        <v>7.7</v>
      </c>
      <c r="W29" s="79">
        <v>12.6</v>
      </c>
      <c r="X29" s="79">
        <v>6.81</v>
      </c>
      <c r="Y29" s="80"/>
      <c r="Z29" s="78"/>
      <c r="AA29" s="78">
        <v>6</v>
      </c>
      <c r="AB29" s="81"/>
      <c r="AC29" s="71">
        <f>U5</f>
        <v>46263</v>
      </c>
      <c r="AD29" s="60" t="str">
        <f>IF(ISNUMBER(FIND("M",E29)),"m",IF(ISNUMBER(FIND("K",E29)),"k"))</f>
        <v>m</v>
      </c>
      <c r="AE29" s="92">
        <f>IF(OR(G29="",AC29=""),0,(YEAR(AC29)-YEAR(G29)))</f>
        <v>20</v>
      </c>
      <c r="AF29" s="62">
        <f>IF(AE29&gt;34,1,0)</f>
        <v>0</v>
      </c>
      <c r="AG29" s="44" t="b">
        <f>IF(AF29=1,LOOKUP(AE29,'Meltzer-Faber'!A3:A63,'Meltzer-Faber'!B3:B63))</f>
        <v>0</v>
      </c>
      <c r="AH29" s="63" t="b">
        <f>IF(AF29=1,LOOKUP(AE29,'Meltzer-Faber'!A3:A63,'Meltzer-Faber'!C3:C63))</f>
        <v>0</v>
      </c>
      <c r="AI29" s="63" t="b">
        <f>IF(AD29="m",AG29,IF(AD29="k",AH29,""))</f>
        <v>0</v>
      </c>
      <c r="AJ29" s="64">
        <f>IF(D29="","",IF(D29&gt;193.609,1,IF(D29&lt;32,10^(0.722762521*LOG10(32/193.609)^2),10^(0.722762521*LOG10(D29/193.609)^2))))</f>
        <v>1.1704909891551951</v>
      </c>
      <c r="AK29" s="44"/>
    </row>
    <row r="30" spans="1:37" ht="19.5" customHeight="1">
      <c r="A30" s="44"/>
      <c r="B30" s="82"/>
      <c r="C30" s="99"/>
      <c r="D30" s="3"/>
      <c r="E30" s="66"/>
      <c r="F30" s="66"/>
      <c r="G30" s="67"/>
      <c r="H30" s="67"/>
      <c r="I30" s="69"/>
      <c r="J30" s="69"/>
      <c r="K30" s="172"/>
      <c r="L30" s="172"/>
      <c r="M30" s="172"/>
      <c r="N30" s="172"/>
      <c r="O30" s="172"/>
      <c r="P30" s="172"/>
      <c r="Q30" s="70"/>
      <c r="R30" s="3"/>
      <c r="S30" s="173">
        <f>IF(T29="","",T29*1.2)</f>
        <v>330.07845894176501</v>
      </c>
      <c r="T30" s="173"/>
      <c r="U30" s="3"/>
      <c r="V30" s="3">
        <f>IF(V29&gt;0,V29*20,"")</f>
        <v>154</v>
      </c>
      <c r="W30" s="3">
        <f>IF(W29="","",(W29*10)*AJ29)</f>
        <v>147.48186463355458</v>
      </c>
      <c r="X30" s="3">
        <f>IF(ROUNDUP(X29,1)&gt;0,IF((80+(8-ROUNDUP(X29,1))*40)&lt;0,0,80+(8-ROUNDUP(X29,1))*40),"")</f>
        <v>124.00000000000003</v>
      </c>
      <c r="Y30" s="4">
        <f>IF(SUM(V30,W30,X30)&gt;0,SUM(V30,W30,X30),"")</f>
        <v>425.48186463355455</v>
      </c>
      <c r="Z30" s="3">
        <f>IF(AE29&gt;34,(IF(OR(S30="",V30="",W30="",X30=""),"",SUM(S30,V30,W30,X30))*AI29),IF(OR(S30="",V30="",W30="",X30=""),"", SUM(S30,V30,W30,X30)))</f>
        <v>755.56032357531956</v>
      </c>
      <c r="AA30" s="3"/>
      <c r="AB30" s="66"/>
      <c r="AC30" s="71"/>
      <c r="AD30" s="6"/>
      <c r="AE30" s="61"/>
      <c r="AF30" s="62"/>
      <c r="AG30" s="44"/>
      <c r="AH30" s="63"/>
      <c r="AI30" s="63"/>
      <c r="AJ30" s="64"/>
      <c r="AK30" s="44"/>
    </row>
    <row r="31" spans="1:37" ht="19.5" customHeight="1">
      <c r="A31" s="44"/>
      <c r="B31" s="83" t="s">
        <v>204</v>
      </c>
      <c r="C31" s="93" t="s">
        <v>147</v>
      </c>
      <c r="D31" s="78">
        <v>87.01</v>
      </c>
      <c r="E31" s="94" t="s">
        <v>191</v>
      </c>
      <c r="F31" s="95" t="s">
        <v>192</v>
      </c>
      <c r="G31" s="85">
        <v>38615</v>
      </c>
      <c r="H31" s="84" t="s">
        <v>134</v>
      </c>
      <c r="I31" s="87" t="s">
        <v>205</v>
      </c>
      <c r="J31" s="87" t="s">
        <v>206</v>
      </c>
      <c r="K31" s="96">
        <v>92</v>
      </c>
      <c r="L31" s="97">
        <v>97</v>
      </c>
      <c r="M31" s="97">
        <v>102</v>
      </c>
      <c r="N31" s="97">
        <v>125</v>
      </c>
      <c r="O31" s="98">
        <v>-130</v>
      </c>
      <c r="P31" s="98">
        <v>-135</v>
      </c>
      <c r="Q31" s="75">
        <f>IF(MAX(K31:M31)&gt;0,IF(MAX(K31:M31)&lt;0,0,TRUNC(MAX(K31:M31)/1)*1),"")</f>
        <v>102</v>
      </c>
      <c r="R31" s="76">
        <f>IF(MAX(N31:P31)&gt;0,IF(MAX(N31:P31)&lt;0,0,TRUNC(MAX(N31:P31)/1)*1),"")</f>
        <v>125</v>
      </c>
      <c r="S31" s="74">
        <f>IF(Q31="","",IF(R31="","",IF(SUM(Q31:R31)=0,"",SUM(Q31:R31))))</f>
        <v>227</v>
      </c>
      <c r="T31" s="77">
        <f>IF(S31="","",IF(D31="","",IF((AD31="k"),IF(D31&gt;153.757,S31,IF(C31&lt;28,10^(0.0787004341*LOG10(28/153.757)^2)*S31,10^(0.787004341*LOG10(D31/153.757)^2)*S31)),IF(D31&gt;193.609,S31,IF(D31&lt;32,10^(0.722762521*LOG10(32/193.609)^2)*S31,10^(0.722762521*LOG10(D31/193.609)^2)*S31)))))</f>
        <v>277.48008390492936</v>
      </c>
      <c r="U31" s="78" t="str">
        <f>IF(AF31=1,T31*AI31,"")</f>
        <v/>
      </c>
      <c r="V31" s="79">
        <v>7.47</v>
      </c>
      <c r="W31" s="79">
        <v>9.33</v>
      </c>
      <c r="X31" s="79">
        <v>6.78</v>
      </c>
      <c r="Y31" s="80"/>
      <c r="Z31" s="78"/>
      <c r="AA31" s="78">
        <v>7</v>
      </c>
      <c r="AB31" s="81"/>
      <c r="AC31" s="71">
        <f>U5</f>
        <v>46263</v>
      </c>
      <c r="AD31" s="60" t="str">
        <f>IF(ISNUMBER(FIND("M",E31)),"m",IF(ISNUMBER(FIND("K",E31)),"k"))</f>
        <v>m</v>
      </c>
      <c r="AE31" s="92">
        <f>IF(OR(G31="",AC31=""),0,(YEAR(AC31)-YEAR(G31)))</f>
        <v>21</v>
      </c>
      <c r="AF31" s="62">
        <f>IF(AE31&gt;34,1,0)</f>
        <v>0</v>
      </c>
      <c r="AG31" s="44" t="b">
        <f>IF(AF31=1,LOOKUP(AE31,'Meltzer-Faber'!A3:A63,'Meltzer-Faber'!B3:B63))</f>
        <v>0</v>
      </c>
      <c r="AH31" s="63" t="b">
        <f>IF(AF31=1,LOOKUP(AE31,'Meltzer-Faber'!A3:A63,'Meltzer-Faber'!C3:C63))</f>
        <v>0</v>
      </c>
      <c r="AI31" s="63" t="b">
        <f>IF(AD31="m",AG31,IF(AD31="k",AH31,""))</f>
        <v>0</v>
      </c>
      <c r="AJ31" s="64">
        <f>IF(D31="","",IF(D31&gt;193.609,1,IF(D31&lt;32,10^(0.722762521*LOG10(32/193.609)^2),10^(0.722762521*LOG10(D31/193.609)^2))))</f>
        <v>1.22237922425079</v>
      </c>
      <c r="AK31" s="44"/>
    </row>
    <row r="32" spans="1:37" ht="19.5" customHeight="1">
      <c r="A32" s="44"/>
      <c r="B32" s="82"/>
      <c r="C32" s="99"/>
      <c r="D32" s="3"/>
      <c r="E32" s="66"/>
      <c r="F32" s="66"/>
      <c r="G32" s="67"/>
      <c r="H32" s="67"/>
      <c r="I32" s="69"/>
      <c r="J32" s="69"/>
      <c r="K32" s="172"/>
      <c r="L32" s="172"/>
      <c r="M32" s="172"/>
      <c r="N32" s="172"/>
      <c r="O32" s="172"/>
      <c r="P32" s="172"/>
      <c r="Q32" s="70"/>
      <c r="R32" s="3"/>
      <c r="S32" s="173">
        <f>IF(T31="","",T31*1.2)</f>
        <v>332.97610068591524</v>
      </c>
      <c r="T32" s="173"/>
      <c r="U32" s="3"/>
      <c r="V32" s="3">
        <f>IF(V31&gt;0,V31*20,"")</f>
        <v>149.4</v>
      </c>
      <c r="W32" s="3">
        <f>IF(W31="","",(W31*10)*AJ31)</f>
        <v>114.04798162259871</v>
      </c>
      <c r="X32" s="3">
        <f>IF(ROUNDUP(X31,1)&gt;0,IF((80+(8-ROUNDUP(X31,1))*40)&lt;0,0,80+(8-ROUNDUP(X31,1))*40),"")</f>
        <v>128</v>
      </c>
      <c r="Y32" s="4">
        <f>IF(SUM(V32,W32,X32)&gt;0,SUM(V32,W32,X32),"")</f>
        <v>391.44798162259872</v>
      </c>
      <c r="Z32" s="3">
        <f>IF(AE31&gt;34,(IF(OR(S32="",V32="",W32="",X32=""),"",SUM(S32,V32,W32,X32))*AI31),IF(OR(S32="",V32="",W32="",X32=""),"", SUM(S32,V32,W32,X32)))</f>
        <v>724.42408230851402</v>
      </c>
      <c r="AA32" s="3"/>
      <c r="AB32" s="66"/>
      <c r="AC32" s="71"/>
      <c r="AD32" s="6"/>
      <c r="AE32" s="61"/>
      <c r="AF32" s="62"/>
      <c r="AG32" s="44"/>
      <c r="AH32" s="63"/>
      <c r="AI32" s="63"/>
      <c r="AJ32" s="64"/>
      <c r="AK32" s="44"/>
    </row>
    <row r="33" spans="1:37" ht="18.75" customHeight="1">
      <c r="A33" s="114"/>
      <c r="B33" s="114"/>
      <c r="C33" s="114"/>
      <c r="D33" s="115"/>
      <c r="E33" s="116"/>
      <c r="F33" s="116"/>
      <c r="G33" s="116"/>
      <c r="H33" s="117"/>
      <c r="I33" s="114"/>
      <c r="J33" s="114"/>
      <c r="K33" s="118"/>
      <c r="L33" s="119"/>
      <c r="M33" s="118"/>
      <c r="N33" s="118" t="s">
        <v>101</v>
      </c>
      <c r="O33" s="118"/>
      <c r="P33" s="118"/>
      <c r="Q33" s="116"/>
      <c r="R33" s="116"/>
      <c r="S33" s="116"/>
      <c r="T33" s="120"/>
      <c r="U33" s="120"/>
      <c r="V33" s="120"/>
      <c r="W33" s="120"/>
      <c r="X33" s="120"/>
      <c r="Y33" s="120"/>
      <c r="Z33" s="120"/>
      <c r="AA33" s="120"/>
      <c r="AB33" s="120"/>
      <c r="AC33" s="6"/>
      <c r="AD33" s="121"/>
      <c r="AE33" s="122">
        <f>(YEAR(AC33)-YEAR(G33))</f>
        <v>0</v>
      </c>
      <c r="AF33" s="62">
        <f>IF(AE35&gt;34,1,0)</f>
        <v>0</v>
      </c>
      <c r="AG33" s="114"/>
      <c r="AH33" s="117"/>
      <c r="AI33" s="117"/>
      <c r="AJ33" s="114"/>
      <c r="AK33" s="114"/>
    </row>
    <row r="34" spans="1:37" ht="21" customHeight="1">
      <c r="A34" s="114"/>
      <c r="B34" s="114"/>
      <c r="C34" s="114"/>
      <c r="D34" s="115"/>
      <c r="E34" s="116"/>
      <c r="F34" s="116"/>
      <c r="G34" s="116"/>
      <c r="H34" s="117"/>
      <c r="I34" s="114"/>
      <c r="J34" s="114"/>
      <c r="K34" s="118"/>
      <c r="L34" s="119"/>
      <c r="M34" s="118"/>
      <c r="N34" s="118"/>
      <c r="O34" s="118"/>
      <c r="P34" s="118"/>
      <c r="Q34" s="116"/>
      <c r="R34" s="116"/>
      <c r="S34" s="116"/>
      <c r="T34" s="120"/>
      <c r="U34" s="120"/>
      <c r="V34" s="120"/>
      <c r="W34" s="120"/>
      <c r="X34" s="120"/>
      <c r="Y34" s="120"/>
      <c r="Z34" s="120"/>
      <c r="AA34" s="120"/>
      <c r="AB34" s="120"/>
      <c r="AC34" s="6"/>
      <c r="AD34" s="121"/>
      <c r="AE34" s="122"/>
      <c r="AF34" s="62"/>
      <c r="AG34" s="114"/>
      <c r="AH34" s="117"/>
      <c r="AI34" s="117"/>
      <c r="AJ34" s="114"/>
      <c r="AK34" s="114"/>
    </row>
    <row r="35" spans="1:37" ht="22.5" customHeight="1">
      <c r="B35" s="166" t="s">
        <v>102</v>
      </c>
      <c r="C35" s="166"/>
      <c r="D35" s="123" t="s">
        <v>14</v>
      </c>
      <c r="E35" s="166" t="s">
        <v>21</v>
      </c>
      <c r="F35" s="166"/>
      <c r="G35" s="166"/>
      <c r="H35" s="166"/>
      <c r="I35" s="2" t="s">
        <v>103</v>
      </c>
      <c r="J35" s="124"/>
      <c r="K35" s="166" t="s">
        <v>102</v>
      </c>
      <c r="L35" s="166"/>
      <c r="M35" s="166"/>
      <c r="N35" s="1" t="s">
        <v>14</v>
      </c>
      <c r="O35" s="167" t="s">
        <v>21</v>
      </c>
      <c r="P35" s="167"/>
      <c r="Q35" s="167"/>
      <c r="R35" s="167"/>
      <c r="S35" s="167" t="s">
        <v>103</v>
      </c>
      <c r="T35" s="167"/>
      <c r="U35" s="12"/>
      <c r="V35" s="12"/>
      <c r="W35" s="12"/>
      <c r="X35" s="12"/>
      <c r="Y35" s="12"/>
      <c r="Z35" s="12"/>
      <c r="AA35" s="12"/>
      <c r="AB35" s="12"/>
      <c r="AF35" s="6"/>
      <c r="AH35" s="125"/>
      <c r="AI35" s="125"/>
    </row>
    <row r="36" spans="1:37" ht="19.5" customHeight="1">
      <c r="A36" s="16"/>
      <c r="B36" s="168" t="s">
        <v>104</v>
      </c>
      <c r="C36" s="168"/>
      <c r="D36" s="126" t="s">
        <v>105</v>
      </c>
      <c r="E36" s="169" t="s">
        <v>106</v>
      </c>
      <c r="F36" s="169"/>
      <c r="G36" s="169"/>
      <c r="H36" s="169"/>
      <c r="I36" s="127" t="s">
        <v>107</v>
      </c>
      <c r="K36" s="168" t="s">
        <v>108</v>
      </c>
      <c r="L36" s="168"/>
      <c r="M36" s="168"/>
      <c r="N36" s="128" t="s">
        <v>109</v>
      </c>
      <c r="O36" s="170" t="s">
        <v>110</v>
      </c>
      <c r="P36" s="170"/>
      <c r="Q36" s="170"/>
      <c r="R36" s="170"/>
      <c r="S36" s="171" t="s">
        <v>96</v>
      </c>
      <c r="T36" s="171"/>
      <c r="U36" s="16"/>
      <c r="V36" s="16"/>
      <c r="W36" s="16"/>
      <c r="X36" s="16"/>
      <c r="Y36" s="16"/>
      <c r="Z36" s="16"/>
      <c r="AA36" s="16"/>
      <c r="AB36" s="16"/>
      <c r="AC36" s="16"/>
      <c r="AD36" s="16"/>
      <c r="AE36" s="16"/>
      <c r="AF36" s="6"/>
      <c r="AG36" s="16"/>
      <c r="AH36" s="21"/>
      <c r="AI36" s="21"/>
      <c r="AJ36" s="16"/>
      <c r="AK36" s="16"/>
    </row>
    <row r="37" spans="1:37" ht="21" customHeight="1">
      <c r="A37" s="16"/>
      <c r="B37" s="162" t="s">
        <v>111</v>
      </c>
      <c r="C37" s="162"/>
      <c r="D37" s="129" t="s">
        <v>173</v>
      </c>
      <c r="E37" s="163" t="s">
        <v>174</v>
      </c>
      <c r="F37" s="163"/>
      <c r="G37" s="163"/>
      <c r="H37" s="163"/>
      <c r="I37" s="130" t="s">
        <v>96</v>
      </c>
      <c r="K37" s="162" t="s">
        <v>115</v>
      </c>
      <c r="L37" s="162"/>
      <c r="M37" s="162"/>
      <c r="N37" s="131" t="s">
        <v>116</v>
      </c>
      <c r="O37" s="164" t="s">
        <v>117</v>
      </c>
      <c r="P37" s="164"/>
      <c r="Q37" s="164"/>
      <c r="R37" s="164"/>
      <c r="S37" s="165" t="s">
        <v>54</v>
      </c>
      <c r="T37" s="165"/>
      <c r="U37" s="16"/>
      <c r="V37" s="16"/>
      <c r="W37" s="16"/>
      <c r="X37" s="16"/>
      <c r="Y37" s="16"/>
      <c r="Z37" s="16"/>
      <c r="AA37" s="16"/>
      <c r="AB37" s="16"/>
      <c r="AC37" s="16"/>
      <c r="AD37" s="16"/>
      <c r="AE37" s="16"/>
      <c r="AF37" s="16"/>
      <c r="AG37" s="16"/>
      <c r="AH37" s="21"/>
      <c r="AI37" s="21"/>
      <c r="AJ37" s="16"/>
      <c r="AK37" s="16"/>
    </row>
    <row r="38" spans="1:37" ht="18.75" customHeight="1">
      <c r="A38" s="16"/>
      <c r="B38" s="162" t="s">
        <v>111</v>
      </c>
      <c r="C38" s="162"/>
      <c r="D38" s="129" t="s">
        <v>207</v>
      </c>
      <c r="E38" s="163" t="s">
        <v>208</v>
      </c>
      <c r="F38" s="163"/>
      <c r="G38" s="163"/>
      <c r="H38" s="163"/>
      <c r="I38" s="130" t="s">
        <v>124</v>
      </c>
      <c r="K38" s="162" t="s">
        <v>120</v>
      </c>
      <c r="L38" s="162"/>
      <c r="M38" s="162"/>
      <c r="N38" s="131"/>
      <c r="O38" s="164"/>
      <c r="P38" s="164"/>
      <c r="Q38" s="164"/>
      <c r="R38" s="164"/>
      <c r="S38" s="165"/>
      <c r="T38" s="165"/>
      <c r="U38" s="16"/>
      <c r="V38" s="16" t="s">
        <v>121</v>
      </c>
      <c r="W38" s="16"/>
      <c r="X38" s="16"/>
      <c r="Y38" s="16"/>
      <c r="Z38" s="16"/>
      <c r="AA38" s="16"/>
      <c r="AB38" s="16"/>
      <c r="AC38" s="16"/>
      <c r="AD38" s="16"/>
      <c r="AE38" s="16"/>
      <c r="AF38" s="16"/>
      <c r="AG38" s="16"/>
      <c r="AH38" s="21"/>
      <c r="AI38" s="21"/>
      <c r="AJ38" s="16"/>
      <c r="AK38" s="16"/>
    </row>
    <row r="39" spans="1:37" ht="21" customHeight="1">
      <c r="A39" s="16"/>
      <c r="B39" s="162" t="s">
        <v>111</v>
      </c>
      <c r="C39" s="162"/>
      <c r="D39" s="129" t="s">
        <v>209</v>
      </c>
      <c r="E39" s="163" t="s">
        <v>210</v>
      </c>
      <c r="F39" s="163"/>
      <c r="G39" s="163"/>
      <c r="H39" s="163"/>
      <c r="I39" s="130" t="s">
        <v>96</v>
      </c>
      <c r="K39" s="162" t="s">
        <v>125</v>
      </c>
      <c r="L39" s="162"/>
      <c r="M39" s="162"/>
      <c r="N39" s="131"/>
      <c r="O39" s="164"/>
      <c r="P39" s="164"/>
      <c r="Q39" s="164"/>
      <c r="R39" s="164"/>
      <c r="S39" s="165"/>
      <c r="T39" s="165"/>
      <c r="U39" s="16"/>
      <c r="V39" s="16"/>
      <c r="W39" s="16"/>
      <c r="X39" s="16"/>
      <c r="Y39" s="16"/>
      <c r="Z39" s="16"/>
      <c r="AA39" s="16"/>
      <c r="AB39" s="16"/>
      <c r="AC39" s="16"/>
      <c r="AD39" s="16" t="s">
        <v>101</v>
      </c>
      <c r="AE39" s="16"/>
      <c r="AF39" s="16"/>
      <c r="AG39" s="16"/>
      <c r="AH39" s="21"/>
      <c r="AI39" s="21"/>
      <c r="AJ39" s="16"/>
      <c r="AK39" s="16"/>
    </row>
    <row r="40" spans="1:37" ht="19.5" customHeight="1">
      <c r="A40" s="16"/>
      <c r="B40" s="162" t="s">
        <v>111</v>
      </c>
      <c r="C40" s="162"/>
      <c r="D40" s="129"/>
      <c r="E40" s="163"/>
      <c r="F40" s="163"/>
      <c r="G40" s="163"/>
      <c r="H40" s="163"/>
      <c r="I40" s="130"/>
      <c r="K40" s="162" t="s">
        <v>126</v>
      </c>
      <c r="L40" s="162"/>
      <c r="M40" s="162"/>
      <c r="N40" s="131"/>
      <c r="O40" s="164"/>
      <c r="P40" s="164"/>
      <c r="Q40" s="164"/>
      <c r="R40" s="164"/>
      <c r="S40" s="165"/>
      <c r="T40" s="165"/>
      <c r="U40" s="16"/>
      <c r="V40" s="16"/>
      <c r="W40" s="16"/>
      <c r="X40" s="16"/>
      <c r="Y40" s="16"/>
      <c r="Z40" s="16"/>
      <c r="AA40" s="16"/>
      <c r="AB40" s="16"/>
      <c r="AC40" s="16"/>
      <c r="AD40" s="16"/>
      <c r="AE40" s="16"/>
      <c r="AF40" s="16"/>
      <c r="AG40" s="16"/>
      <c r="AH40" s="21"/>
      <c r="AI40" s="21"/>
      <c r="AJ40" s="16"/>
      <c r="AK40" s="16"/>
    </row>
    <row r="41" spans="1:37" ht="18.75" customHeight="1">
      <c r="B41" s="162" t="s">
        <v>111</v>
      </c>
      <c r="C41" s="162"/>
      <c r="D41" s="129"/>
      <c r="E41" s="163"/>
      <c r="F41" s="163"/>
      <c r="G41" s="163"/>
      <c r="H41" s="163"/>
      <c r="I41" s="130"/>
      <c r="J41" s="5"/>
      <c r="K41" s="162" t="s">
        <v>126</v>
      </c>
      <c r="L41" s="162"/>
      <c r="M41" s="162"/>
      <c r="N41" s="131"/>
      <c r="O41" s="164"/>
      <c r="P41" s="164"/>
      <c r="Q41" s="164"/>
      <c r="R41" s="164"/>
      <c r="S41" s="165"/>
      <c r="T41" s="165"/>
      <c r="U41" s="5"/>
      <c r="V41" s="5"/>
      <c r="W41" s="5"/>
      <c r="X41" s="5"/>
      <c r="Y41" s="5"/>
      <c r="Z41" s="5"/>
      <c r="AA41" s="5"/>
      <c r="AB41" s="5"/>
    </row>
    <row r="42" spans="1:37" ht="19.5" customHeight="1">
      <c r="B42" s="162" t="s">
        <v>127</v>
      </c>
      <c r="C42" s="162"/>
      <c r="D42" s="129" t="s">
        <v>211</v>
      </c>
      <c r="E42" s="163" t="s">
        <v>212</v>
      </c>
      <c r="F42" s="163"/>
      <c r="G42" s="163"/>
      <c r="H42" s="163"/>
      <c r="I42" s="130" t="s">
        <v>159</v>
      </c>
      <c r="J42" s="5"/>
      <c r="K42" s="162" t="s">
        <v>126</v>
      </c>
      <c r="L42" s="162"/>
      <c r="M42" s="162"/>
      <c r="N42" s="131"/>
      <c r="O42" s="164"/>
      <c r="P42" s="164"/>
      <c r="Q42" s="164"/>
      <c r="R42" s="164"/>
      <c r="S42" s="165"/>
      <c r="T42" s="165"/>
      <c r="U42" s="5"/>
      <c r="V42" s="5"/>
      <c r="W42" s="5"/>
      <c r="X42" s="5"/>
      <c r="Y42" s="5"/>
      <c r="Z42" s="5"/>
      <c r="AA42" s="5"/>
      <c r="AB42" s="5"/>
    </row>
    <row r="43" spans="1:37" ht="19.5" customHeight="1">
      <c r="B43" s="156"/>
      <c r="C43" s="156"/>
      <c r="D43" s="132"/>
      <c r="E43" s="157"/>
      <c r="F43" s="157"/>
      <c r="G43" s="157"/>
      <c r="H43" s="157"/>
      <c r="I43" s="133"/>
      <c r="J43" s="5"/>
      <c r="K43" s="156" t="s">
        <v>126</v>
      </c>
      <c r="L43" s="156"/>
      <c r="M43" s="156"/>
      <c r="N43" s="134"/>
      <c r="O43" s="158"/>
      <c r="P43" s="158"/>
      <c r="Q43" s="158"/>
      <c r="R43" s="158"/>
      <c r="S43" s="159"/>
      <c r="T43" s="159"/>
      <c r="U43" s="5"/>
      <c r="V43" s="5"/>
      <c r="W43" s="5"/>
      <c r="X43" s="5"/>
      <c r="Y43" s="5"/>
      <c r="Z43" s="5"/>
      <c r="AA43" s="5"/>
      <c r="AB43" s="5"/>
    </row>
    <row r="44" spans="1:37" ht="18.75" customHeight="1">
      <c r="B44" s="160"/>
      <c r="C44" s="160"/>
      <c r="D44" s="161"/>
      <c r="E44" s="161"/>
      <c r="F44" s="135"/>
      <c r="G44" s="161"/>
      <c r="H44" s="161"/>
      <c r="I44" s="161"/>
      <c r="J44" s="5"/>
      <c r="K44" s="161"/>
      <c r="L44" s="161"/>
      <c r="M44" s="161"/>
      <c r="N44" s="161"/>
      <c r="O44" s="161"/>
      <c r="P44" s="161"/>
      <c r="Q44" s="161"/>
      <c r="R44" s="161"/>
      <c r="S44" s="161"/>
      <c r="T44" s="161"/>
      <c r="U44" s="5"/>
      <c r="V44" s="5"/>
      <c r="W44" s="5"/>
      <c r="X44" s="5"/>
      <c r="Y44" s="5"/>
      <c r="Z44" s="5"/>
      <c r="AA44" s="5"/>
      <c r="AB44" s="5"/>
    </row>
    <row r="45" spans="1:37" ht="18" customHeight="1">
      <c r="B45" s="153" t="s">
        <v>130</v>
      </c>
      <c r="C45" s="153"/>
      <c r="D45" s="153"/>
      <c r="E45" s="153"/>
      <c r="F45" s="153"/>
      <c r="G45" s="153"/>
      <c r="H45" s="153"/>
      <c r="I45" s="153"/>
      <c r="J45" s="153"/>
      <c r="K45" s="153"/>
      <c r="L45" s="153"/>
      <c r="M45" s="153"/>
      <c r="N45" s="153"/>
      <c r="O45" s="153"/>
      <c r="P45" s="153"/>
      <c r="Q45" s="153"/>
      <c r="R45" s="153"/>
      <c r="S45" s="153"/>
      <c r="T45" s="153"/>
      <c r="U45" s="5"/>
      <c r="V45" s="5"/>
      <c r="W45" s="5"/>
      <c r="X45" s="5"/>
      <c r="Y45" s="5"/>
      <c r="Z45" s="5"/>
      <c r="AA45" s="5"/>
      <c r="AB45" s="5"/>
    </row>
    <row r="46" spans="1:37" ht="18" customHeight="1">
      <c r="B46" s="154" t="s">
        <v>213</v>
      </c>
      <c r="C46" s="154"/>
      <c r="D46" s="154"/>
      <c r="E46" s="154"/>
      <c r="F46" s="154"/>
      <c r="G46" s="154"/>
      <c r="H46" s="154"/>
      <c r="I46" s="154"/>
      <c r="J46" s="154"/>
      <c r="K46" s="154"/>
      <c r="L46" s="154"/>
      <c r="M46" s="154"/>
      <c r="N46" s="154"/>
      <c r="O46" s="154"/>
      <c r="P46" s="154"/>
      <c r="Q46" s="154"/>
      <c r="R46" s="154"/>
      <c r="S46" s="154"/>
      <c r="T46" s="154"/>
      <c r="U46" s="5"/>
      <c r="V46" s="5"/>
      <c r="W46" s="5"/>
      <c r="X46" s="5"/>
      <c r="Y46" s="5"/>
      <c r="Z46" s="5"/>
      <c r="AA46" s="5"/>
      <c r="AB46" s="5"/>
    </row>
    <row r="47" spans="1:37" ht="13.5" customHeight="1">
      <c r="B47" s="6"/>
      <c r="D47" s="136"/>
      <c r="E47" s="16"/>
      <c r="F47" s="16"/>
      <c r="G47" s="136"/>
      <c r="H47" s="16"/>
      <c r="I47" s="124"/>
      <c r="J47" s="16"/>
      <c r="K47" s="16"/>
      <c r="L47" s="16"/>
      <c r="M47" s="16"/>
      <c r="N47" s="16"/>
      <c r="O47" s="16"/>
      <c r="P47" s="16"/>
      <c r="Q47" s="16"/>
      <c r="R47" s="16"/>
      <c r="S47" s="16"/>
      <c r="T47" s="16"/>
      <c r="U47" s="16"/>
      <c r="V47" s="16"/>
      <c r="W47" s="16"/>
      <c r="X47" s="16"/>
      <c r="Y47" s="16"/>
      <c r="Z47" s="16"/>
      <c r="AA47" s="16"/>
    </row>
    <row r="48" spans="1:37" ht="13.5" customHeight="1">
      <c r="B48" s="137"/>
      <c r="C48" s="137"/>
      <c r="D48" s="138"/>
      <c r="E48" s="139"/>
      <c r="F48" s="139"/>
      <c r="G48" s="140"/>
      <c r="H48" s="141"/>
      <c r="I48" s="5"/>
      <c r="J48" s="16"/>
      <c r="K48" s="16"/>
      <c r="L48" s="16"/>
      <c r="M48" s="16"/>
      <c r="N48" s="16"/>
      <c r="O48" s="16"/>
      <c r="P48" s="16"/>
      <c r="Q48" s="16"/>
      <c r="R48" s="16"/>
      <c r="S48" s="16"/>
      <c r="T48" s="16"/>
      <c r="U48" s="16"/>
      <c r="V48" s="16"/>
      <c r="W48" s="16"/>
      <c r="X48" s="16"/>
      <c r="Y48" s="16"/>
      <c r="Z48" s="16"/>
      <c r="AA48" s="16"/>
    </row>
    <row r="49" spans="5:7" ht="15"/>
    <row r="50" spans="5:7" ht="12.75" customHeight="1">
      <c r="E50" s="155"/>
      <c r="F50" s="155"/>
      <c r="G50" s="155"/>
    </row>
    <row r="51" spans="5:7" ht="15"/>
    <row r="52" spans="5:7" ht="15"/>
    <row r="53" spans="5:7" ht="15"/>
    <row r="54" spans="5:7" ht="15"/>
    <row r="55" spans="5:7" ht="15"/>
    <row r="56" spans="5:7" ht="15"/>
    <row r="57" spans="5:7" ht="15"/>
    <row r="58" spans="5:7" ht="15"/>
    <row r="59" spans="5:7" ht="15"/>
    <row r="60" spans="5:7" ht="15"/>
    <row r="61" spans="5:7" ht="15"/>
    <row r="62" spans="5:7" ht="15"/>
    <row r="63" spans="5:7" ht="15"/>
    <row r="64" spans="5:7" ht="15"/>
    <row r="65" ht="15"/>
    <row r="66" ht="15"/>
    <row r="67" ht="15"/>
    <row r="68" ht="15"/>
    <row r="69" ht="15"/>
    <row r="70" ht="15"/>
    <row r="71" ht="15"/>
    <row r="72" ht="15"/>
    <row r="73" ht="15"/>
    <row r="74" ht="15"/>
    <row r="75" ht="15"/>
    <row r="76" ht="15"/>
    <row r="77" ht="15"/>
    <row r="78" ht="15"/>
    <row r="79" ht="15"/>
    <row r="80" ht="15"/>
  </sheetData>
  <mergeCells count="102">
    <mergeCell ref="G2:R2"/>
    <mergeCell ref="G3:R3"/>
    <mergeCell ref="D5:I5"/>
    <mergeCell ref="K5:N5"/>
    <mergeCell ref="P5:S5"/>
    <mergeCell ref="U5:V5"/>
    <mergeCell ref="AJ6:AJ7"/>
    <mergeCell ref="B7:B8"/>
    <mergeCell ref="C7:C8"/>
    <mergeCell ref="D7:D8"/>
    <mergeCell ref="E7:E8"/>
    <mergeCell ref="F7:F8"/>
    <mergeCell ref="K10:M10"/>
    <mergeCell ref="N10:P10"/>
    <mergeCell ref="S10:T10"/>
    <mergeCell ref="K12:M12"/>
    <mergeCell ref="N12:P12"/>
    <mergeCell ref="S12:T12"/>
    <mergeCell ref="K14:M14"/>
    <mergeCell ref="N14:P14"/>
    <mergeCell ref="S14:T14"/>
    <mergeCell ref="K16:M16"/>
    <mergeCell ref="N16:P16"/>
    <mergeCell ref="S16:T16"/>
    <mergeCell ref="K18:M18"/>
    <mergeCell ref="N18:P18"/>
    <mergeCell ref="S18:T18"/>
    <mergeCell ref="K20:M20"/>
    <mergeCell ref="N20:P20"/>
    <mergeCell ref="S20:T20"/>
    <mergeCell ref="K22:M22"/>
    <mergeCell ref="N22:P22"/>
    <mergeCell ref="S22:T22"/>
    <mergeCell ref="K24:M24"/>
    <mergeCell ref="N24:P24"/>
    <mergeCell ref="S24:T24"/>
    <mergeCell ref="K26:M26"/>
    <mergeCell ref="N26:P26"/>
    <mergeCell ref="S26:T26"/>
    <mergeCell ref="K28:M28"/>
    <mergeCell ref="N28:P28"/>
    <mergeCell ref="S28:T28"/>
    <mergeCell ref="K30:M30"/>
    <mergeCell ref="N30:P30"/>
    <mergeCell ref="S30:T30"/>
    <mergeCell ref="K32:M32"/>
    <mergeCell ref="N32:P32"/>
    <mergeCell ref="S32:T32"/>
    <mergeCell ref="B35:C35"/>
    <mergeCell ref="E35:H35"/>
    <mergeCell ref="K35:M35"/>
    <mergeCell ref="O35:R35"/>
    <mergeCell ref="S35:T35"/>
    <mergeCell ref="B36:C36"/>
    <mergeCell ref="E36:H36"/>
    <mergeCell ref="K36:M36"/>
    <mergeCell ref="O36:R36"/>
    <mergeCell ref="S36:T36"/>
    <mergeCell ref="B37:C37"/>
    <mergeCell ref="E37:H37"/>
    <mergeCell ref="K37:M37"/>
    <mergeCell ref="O37:R37"/>
    <mergeCell ref="S37:T37"/>
    <mergeCell ref="B38:C38"/>
    <mergeCell ref="E38:H38"/>
    <mergeCell ref="K38:M38"/>
    <mergeCell ref="O38:R38"/>
    <mergeCell ref="S38:T38"/>
    <mergeCell ref="B39:C39"/>
    <mergeCell ref="E39:H39"/>
    <mergeCell ref="K39:M39"/>
    <mergeCell ref="O39:R39"/>
    <mergeCell ref="S39:T39"/>
    <mergeCell ref="B40:C40"/>
    <mergeCell ref="E40:H40"/>
    <mergeCell ref="K40:M40"/>
    <mergeCell ref="O40:R40"/>
    <mergeCell ref="S40:T40"/>
    <mergeCell ref="B41:C41"/>
    <mergeCell ref="E41:H41"/>
    <mergeCell ref="K41:M41"/>
    <mergeCell ref="O41:R41"/>
    <mergeCell ref="S41:T41"/>
    <mergeCell ref="B42:C42"/>
    <mergeCell ref="E42:H42"/>
    <mergeCell ref="K42:M42"/>
    <mergeCell ref="O42:R42"/>
    <mergeCell ref="S42:T42"/>
    <mergeCell ref="B45:T45"/>
    <mergeCell ref="B46:T46"/>
    <mergeCell ref="E50:G50"/>
    <mergeCell ref="B43:C43"/>
    <mergeCell ref="E43:H43"/>
    <mergeCell ref="K43:M43"/>
    <mergeCell ref="O43:R43"/>
    <mergeCell ref="S43:T43"/>
    <mergeCell ref="B44:C44"/>
    <mergeCell ref="D44:E44"/>
    <mergeCell ref="G44:I44"/>
    <mergeCell ref="K44:M44"/>
    <mergeCell ref="N44:O44"/>
    <mergeCell ref="P44:T44"/>
  </mergeCells>
  <conditionalFormatting sqref="K27">
    <cfRule type="cellIs" dxfId="179" priority="25" operator="lessThanOrEqual">
      <formula>0</formula>
    </cfRule>
    <cfRule type="cellIs" dxfId="178" priority="24" operator="between">
      <formula>1</formula>
      <formula>300</formula>
    </cfRule>
  </conditionalFormatting>
  <conditionalFormatting sqref="K29">
    <cfRule type="cellIs" dxfId="177" priority="23" operator="lessThanOrEqual">
      <formula>0</formula>
    </cfRule>
    <cfRule type="cellIs" dxfId="176" priority="22" operator="between">
      <formula>1</formula>
      <formula>300</formula>
    </cfRule>
  </conditionalFormatting>
  <conditionalFormatting sqref="K31">
    <cfRule type="cellIs" dxfId="175" priority="20" operator="between">
      <formula>1</formula>
      <formula>300</formula>
    </cfRule>
    <cfRule type="cellIs" dxfId="174" priority="21" operator="lessThanOrEqual">
      <formula>0</formula>
    </cfRule>
  </conditionalFormatting>
  <conditionalFormatting sqref="K9:P9">
    <cfRule type="cellIs" dxfId="173" priority="14" operator="between">
      <formula>1</formula>
      <formula>300</formula>
    </cfRule>
    <cfRule type="cellIs" dxfId="172" priority="15" operator="lessThanOrEqual">
      <formula>0</formula>
    </cfRule>
  </conditionalFormatting>
  <conditionalFormatting sqref="K11:P11">
    <cfRule type="cellIs" dxfId="171" priority="12" operator="between">
      <formula>1</formula>
      <formula>300</formula>
    </cfRule>
    <cfRule type="cellIs" dxfId="170" priority="13" operator="lessThanOrEqual">
      <formula>0</formula>
    </cfRule>
  </conditionalFormatting>
  <conditionalFormatting sqref="K13:P13">
    <cfRule type="cellIs" dxfId="169" priority="8" operator="between">
      <formula>1</formula>
      <formula>300</formula>
    </cfRule>
    <cfRule type="cellIs" dxfId="168" priority="9" operator="lessThanOrEqual">
      <formula>0</formula>
    </cfRule>
  </conditionalFormatting>
  <conditionalFormatting sqref="K15:P15">
    <cfRule type="cellIs" dxfId="167" priority="10" operator="between">
      <formula>1</formula>
      <formula>300</formula>
    </cfRule>
    <cfRule type="cellIs" dxfId="166" priority="11" operator="lessThanOrEqual">
      <formula>0</formula>
    </cfRule>
  </conditionalFormatting>
  <conditionalFormatting sqref="K17:P17">
    <cfRule type="cellIs" dxfId="165" priority="16" operator="between">
      <formula>1</formula>
      <formula>300</formula>
    </cfRule>
    <cfRule type="cellIs" dxfId="164" priority="17" operator="lessThanOrEqual">
      <formula>0</formula>
    </cfRule>
  </conditionalFormatting>
  <conditionalFormatting sqref="K19:P19">
    <cfRule type="cellIs" dxfId="163" priority="2" operator="between">
      <formula>1</formula>
      <formula>300</formula>
    </cfRule>
    <cfRule type="cellIs" dxfId="162" priority="3" operator="lessThanOrEqual">
      <formula>0</formula>
    </cfRule>
  </conditionalFormatting>
  <conditionalFormatting sqref="K21:P21">
    <cfRule type="cellIs" dxfId="161" priority="5" operator="lessThanOrEqual">
      <formula>0</formula>
    </cfRule>
    <cfRule type="cellIs" dxfId="160" priority="4" operator="between">
      <formula>1</formula>
      <formula>300</formula>
    </cfRule>
  </conditionalFormatting>
  <conditionalFormatting sqref="K23:P23">
    <cfRule type="cellIs" dxfId="159" priority="7" operator="lessThanOrEqual">
      <formula>0</formula>
    </cfRule>
    <cfRule type="cellIs" dxfId="158" priority="6" operator="between">
      <formula>1</formula>
      <formula>300</formula>
    </cfRule>
  </conditionalFormatting>
  <conditionalFormatting sqref="K25:P25">
    <cfRule type="cellIs" dxfId="157" priority="19" operator="lessThanOrEqual">
      <formula>0</formula>
    </cfRule>
    <cfRule type="cellIs" dxfId="156" priority="18" operator="between">
      <formula>1</formula>
      <formula>300</formula>
    </cfRule>
  </conditionalFormatting>
  <conditionalFormatting sqref="L27:N27">
    <cfRule type="cellIs" dxfId="155" priority="30" operator="between">
      <formula>1</formula>
      <formula>300</formula>
    </cfRule>
    <cfRule type="cellIs" dxfId="154" priority="31" operator="lessThanOrEqual">
      <formula>0</formula>
    </cfRule>
  </conditionalFormatting>
  <conditionalFormatting sqref="L29:N29">
    <cfRule type="cellIs" dxfId="153" priority="28" operator="between">
      <formula>1</formula>
      <formula>300</formula>
    </cfRule>
    <cfRule type="cellIs" dxfId="152" priority="29" operator="lessThanOrEqual">
      <formula>0</formula>
    </cfRule>
  </conditionalFormatting>
  <conditionalFormatting sqref="L31:N31">
    <cfRule type="cellIs" dxfId="151" priority="26" operator="between">
      <formula>1</formula>
      <formula>300</formula>
    </cfRule>
    <cfRule type="cellIs" dxfId="150" priority="27" operator="lessThanOrEqual">
      <formula>0</formula>
    </cfRule>
  </conditionalFormatting>
  <dataValidations count="6">
    <dataValidation type="list" allowBlank="1" showInputMessage="1" showErrorMessage="1" sqref="B36:C43 K36:M43" xr:uid="{00000000-0002-0000-0500-000000000000}">
      <formula1>"Dommer,Stevnets leder,Jury,Sekretær,Speaker,Teknisk kontrollør,Chief Marshall,Tidtaker"</formula1>
      <formula2>0</formula2>
    </dataValidation>
    <dataValidation type="list" allowBlank="1" showInputMessage="1" showErrorMessage="1" sqref="C11 C9 C31 C29 C27 C25 C23 C21 C19 C17 C15 C13" xr:uid="{00000000-0002-0000-0500-000001000000}">
      <formula1>"44,48,53,56,58,60,63,65,69,71,77,'+77,79,86,'+86,88,94,'+94,110,'+110"</formula1>
      <formula2>0</formula2>
    </dataValidation>
    <dataValidation type="list" allowBlank="1" showInputMessage="1" showErrorMessage="1" sqref="D5:I5" xr:uid="{00000000-0002-0000-0500-00000D000000}">
      <formula1>"Nasjonalt stevne,Seriestevne,Seriestevne 5-kamp,Klubbmesterskap,Regionsmesterskap,Landsdelsmesterskap,Norgesmesterskap Senior,Norgesmesterskap Ungdom,Norgesmesterskap Junior,Norgesmesterskap Veteran,Norgesmesterskap 5-kamp,Norgesmesterskap Lag"</formula1>
      <formula2>0</formula2>
    </dataValidation>
    <dataValidation type="list" allowBlank="1" showInputMessage="1" showErrorMessage="1" sqref="E11 F12 E9 E31 E29 E27 E25 E23 E21 E19 E17 E15 E13" xr:uid="{00000000-0002-0000-0500-00000E000000}">
      <formula1>"UM,JM,SM,UK,JK,SK,M35,M40,M45,M50,M55,M60,M65,M70,M75,M80,M85,M90,K35,K40,K45,K50,K55,K60,K65,K70,K75,K80,K85,K90"</formula1>
      <formula2>0</formula2>
    </dataValidation>
    <dataValidation type="list" allowBlank="1" showInputMessage="1" showErrorMessage="1" sqref="F11 F9 F31 F29 F27 F25 F23 F21 F19 F17 F15 F13" xr:uid="{00000000-0002-0000-0500-00001A000000}">
      <formula1>"11-12,13-14,15-16,17-18,19-23,24-34,+35"</formula1>
      <formula2>0</formula2>
    </dataValidation>
    <dataValidation type="list" allowBlank="1" showInputMessage="1" showErrorMessage="1" prompt="Feil_i_kat. 5-kamp - Feil verdi i kategori 5-kamp" sqref="G12" xr:uid="{00000000-0002-0000-0500-000027000000}">
      <formula1>"11-12,13-14,15-16,17-18,19-23,24-34,+35,35+"</formula1>
      <formula2>0</formula2>
    </dataValidation>
  </dataValidations>
  <pageMargins left="0.27569444444444402" right="0.35416666666666702" top="0.27569444444444402" bottom="0.27569444444444402" header="0.511811023622047" footer="0.511811023622047"/>
  <pageSetup paperSize="9" orientation="landscape" useFirstPageNumber="1" horizontalDpi="300" verticalDpi="300"/>
  <drawing r:id="rId1"/>
  <legacy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K80"/>
  <sheetViews>
    <sheetView zoomScaleNormal="100" workbookViewId="0">
      <selection activeCell="G1" sqref="G1:G1048576"/>
    </sheetView>
  </sheetViews>
  <sheetFormatPr baseColWidth="10" defaultColWidth="9.1640625" defaultRowHeight="12.75" customHeight="1"/>
  <cols>
    <col min="1" max="1" width="4.33203125" style="5" customWidth="1"/>
    <col min="2" max="2" width="10.1640625" style="5" customWidth="1"/>
    <col min="3" max="3" width="6.33203125" style="6" customWidth="1"/>
    <col min="4" max="4" width="8.6640625" style="6" customWidth="1"/>
    <col min="5" max="6" width="6.33203125" style="7" customWidth="1"/>
    <col min="7" max="7" width="10.6640625" style="6" hidden="1" customWidth="1"/>
    <col min="8" max="8" width="3.83203125" style="6" customWidth="1"/>
    <col min="9" max="9" width="27.83203125" style="8" customWidth="1"/>
    <col min="10" max="10" width="21" style="8" customWidth="1"/>
    <col min="11" max="11" width="6.83203125" style="6" customWidth="1"/>
    <col min="12" max="12" width="6.83203125" style="9" customWidth="1"/>
    <col min="13" max="13" width="6.83203125" style="6" customWidth="1"/>
    <col min="14" max="14" width="8.83203125" style="6" customWidth="1"/>
    <col min="15" max="19" width="6.83203125" style="6" customWidth="1"/>
    <col min="20" max="23" width="8" style="10" customWidth="1"/>
    <col min="24" max="24" width="9" style="10" customWidth="1"/>
    <col min="25" max="26" width="8" style="10" customWidth="1"/>
    <col min="27" max="27" width="4.33203125" style="10" customWidth="1"/>
    <col min="28" max="28" width="5.6640625" style="10" customWidth="1"/>
    <col min="29" max="29" width="9.6640625" style="5" hidden="1" customWidth="1"/>
    <col min="30" max="31" width="9.1640625" style="5" hidden="1"/>
    <col min="32" max="32" width="7.83203125" style="5" hidden="1" customWidth="1"/>
    <col min="33" max="33" width="9.1640625" style="5" hidden="1"/>
    <col min="34" max="35" width="9.1640625" style="11" hidden="1"/>
    <col min="36" max="36" width="9.1640625" style="5" hidden="1"/>
    <col min="37" max="37" width="9.1640625" style="5"/>
  </cols>
  <sheetData>
    <row r="1" spans="1:37" ht="18.75" customHeight="1">
      <c r="A1" s="12"/>
      <c r="B1" s="12"/>
      <c r="C1" s="12"/>
      <c r="D1" s="12"/>
      <c r="E1" s="12"/>
      <c r="F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  <c r="T1" s="12"/>
      <c r="U1" s="12"/>
      <c r="V1" s="12"/>
      <c r="W1" s="12"/>
      <c r="X1" s="12"/>
      <c r="Y1" s="12"/>
    </row>
    <row r="2" spans="1:37" ht="75" customHeight="1">
      <c r="A2" s="12"/>
      <c r="B2" s="12"/>
      <c r="C2" s="12"/>
      <c r="D2" s="12"/>
      <c r="E2" s="12"/>
      <c r="F2" s="12"/>
      <c r="G2" s="174" t="s">
        <v>0</v>
      </c>
      <c r="H2" s="174"/>
      <c r="I2" s="174"/>
      <c r="J2" s="174"/>
      <c r="K2" s="174"/>
      <c r="L2" s="174"/>
      <c r="M2" s="174"/>
      <c r="N2" s="174"/>
      <c r="O2" s="174"/>
      <c r="P2" s="174"/>
      <c r="Q2" s="174"/>
      <c r="R2" s="174"/>
      <c r="S2" s="12"/>
      <c r="T2" s="12"/>
      <c r="U2" s="13" t="s">
        <v>1</v>
      </c>
      <c r="V2" s="12"/>
      <c r="W2" s="12"/>
      <c r="X2" s="12"/>
      <c r="Y2" s="12"/>
    </row>
    <row r="3" spans="1:37" ht="21.75" customHeight="1">
      <c r="A3" s="12"/>
      <c r="B3" s="12"/>
      <c r="C3" s="12"/>
      <c r="D3" s="12"/>
      <c r="E3" s="14"/>
      <c r="F3" s="12"/>
      <c r="G3" s="175" t="s">
        <v>2</v>
      </c>
      <c r="H3" s="175"/>
      <c r="I3" s="175"/>
      <c r="J3" s="175"/>
      <c r="K3" s="175"/>
      <c r="L3" s="175"/>
      <c r="M3" s="175"/>
      <c r="N3" s="175"/>
      <c r="O3" s="175"/>
      <c r="P3" s="175"/>
      <c r="Q3" s="175"/>
      <c r="R3" s="175"/>
      <c r="S3" s="15" t="s">
        <v>3</v>
      </c>
      <c r="T3" s="15"/>
      <c r="U3" s="15"/>
      <c r="V3" s="15"/>
      <c r="W3" s="15"/>
      <c r="X3" s="15"/>
      <c r="Y3" s="15"/>
      <c r="Z3" s="15"/>
    </row>
    <row r="4" spans="1:37" ht="12.75" customHeight="1">
      <c r="A4" s="12"/>
      <c r="B4" s="12"/>
      <c r="C4" s="12"/>
      <c r="D4" s="12"/>
      <c r="E4" s="12"/>
      <c r="F4" s="12"/>
      <c r="H4" s="12"/>
      <c r="I4" s="12"/>
      <c r="J4" s="12"/>
      <c r="K4" s="12"/>
      <c r="L4" s="12"/>
      <c r="M4" s="12"/>
      <c r="N4" s="12"/>
      <c r="O4" s="12"/>
      <c r="P4" s="12"/>
      <c r="Q4" s="12"/>
      <c r="R4" s="12"/>
      <c r="S4" s="12"/>
      <c r="T4" s="12"/>
      <c r="U4" s="12"/>
      <c r="V4" s="12"/>
      <c r="W4" s="12"/>
      <c r="X4" s="12"/>
      <c r="Y4" s="12"/>
    </row>
    <row r="5" spans="1:37" ht="15" customHeight="1">
      <c r="A5" s="16"/>
      <c r="B5" s="16"/>
      <c r="C5" s="17" t="s">
        <v>4</v>
      </c>
      <c r="D5" s="176" t="s">
        <v>5</v>
      </c>
      <c r="E5" s="176"/>
      <c r="F5" s="176"/>
      <c r="G5" s="176"/>
      <c r="H5" s="176"/>
      <c r="I5" s="176"/>
      <c r="J5" s="17" t="s">
        <v>6</v>
      </c>
      <c r="K5" s="176" t="s">
        <v>7</v>
      </c>
      <c r="L5" s="176"/>
      <c r="M5" s="176"/>
      <c r="N5" s="176"/>
      <c r="O5" s="17" t="s">
        <v>8</v>
      </c>
      <c r="P5" s="177" t="s">
        <v>9</v>
      </c>
      <c r="Q5" s="177"/>
      <c r="R5" s="177"/>
      <c r="S5" s="177"/>
      <c r="T5" s="17" t="s">
        <v>10</v>
      </c>
      <c r="U5" s="177">
        <v>46263</v>
      </c>
      <c r="V5" s="177"/>
      <c r="W5" s="18"/>
      <c r="X5" s="18"/>
      <c r="Y5" s="18"/>
      <c r="Z5" s="19" t="s">
        <v>11</v>
      </c>
      <c r="AA5" s="19"/>
      <c r="AB5" s="20">
        <v>5</v>
      </c>
      <c r="AC5" s="16"/>
      <c r="AD5" s="16"/>
      <c r="AE5" s="16"/>
      <c r="AF5" s="16"/>
      <c r="AG5" s="16"/>
      <c r="AH5" s="21"/>
      <c r="AI5" s="21"/>
      <c r="AJ5" s="16"/>
      <c r="AK5" s="16"/>
    </row>
    <row r="6" spans="1:37" ht="12.75" customHeight="1">
      <c r="AG6" s="22" t="s">
        <v>12</v>
      </c>
      <c r="AH6" s="22" t="s">
        <v>12</v>
      </c>
      <c r="AI6" s="22" t="s">
        <v>12</v>
      </c>
      <c r="AJ6" s="178" t="s">
        <v>13</v>
      </c>
    </row>
    <row r="7" spans="1:37" ht="12.75" customHeight="1">
      <c r="A7" s="6"/>
      <c r="B7" s="179" t="s">
        <v>14</v>
      </c>
      <c r="C7" s="180" t="s">
        <v>15</v>
      </c>
      <c r="D7" s="180" t="s">
        <v>16</v>
      </c>
      <c r="E7" s="181" t="s">
        <v>17</v>
      </c>
      <c r="F7" s="182" t="s">
        <v>131</v>
      </c>
      <c r="G7" s="24" t="s">
        <v>19</v>
      </c>
      <c r="H7" s="24" t="s">
        <v>20</v>
      </c>
      <c r="I7" s="24" t="s">
        <v>21</v>
      </c>
      <c r="J7" s="24" t="s">
        <v>22</v>
      </c>
      <c r="K7" s="25"/>
      <c r="L7" s="26" t="s">
        <v>23</v>
      </c>
      <c r="M7" s="24"/>
      <c r="N7" s="24"/>
      <c r="O7" s="27" t="s">
        <v>24</v>
      </c>
      <c r="P7" s="24"/>
      <c r="Q7" s="28" t="s">
        <v>25</v>
      </c>
      <c r="R7" s="24"/>
      <c r="S7" s="24" t="s">
        <v>26</v>
      </c>
      <c r="T7" s="29" t="s">
        <v>27</v>
      </c>
      <c r="U7" s="30" t="s">
        <v>27</v>
      </c>
      <c r="V7" s="31" t="s">
        <v>28</v>
      </c>
      <c r="W7" s="31" t="s">
        <v>29</v>
      </c>
      <c r="X7" s="31" t="s">
        <v>30</v>
      </c>
      <c r="Y7" s="32" t="s">
        <v>31</v>
      </c>
      <c r="Z7" s="33" t="s">
        <v>32</v>
      </c>
      <c r="AA7" s="34" t="s">
        <v>33</v>
      </c>
      <c r="AB7" s="29" t="s">
        <v>34</v>
      </c>
      <c r="AC7" s="11"/>
      <c r="AD7" s="6"/>
      <c r="AE7" s="6"/>
      <c r="AF7" s="6"/>
      <c r="AG7" s="35" t="s">
        <v>35</v>
      </c>
      <c r="AH7" s="35" t="s">
        <v>35</v>
      </c>
      <c r="AI7" s="35" t="s">
        <v>35</v>
      </c>
      <c r="AJ7" s="178"/>
      <c r="AK7" s="6"/>
    </row>
    <row r="8" spans="1:37" ht="12.75" customHeight="1">
      <c r="A8" s="6"/>
      <c r="B8" s="179"/>
      <c r="C8" s="180"/>
      <c r="D8" s="180"/>
      <c r="E8" s="181"/>
      <c r="F8" s="182"/>
      <c r="G8" s="36" t="s">
        <v>36</v>
      </c>
      <c r="H8" s="36" t="s">
        <v>37</v>
      </c>
      <c r="I8" s="36"/>
      <c r="J8" s="36"/>
      <c r="K8" s="37">
        <v>1</v>
      </c>
      <c r="L8" s="37">
        <v>2</v>
      </c>
      <c r="M8" s="38">
        <v>3</v>
      </c>
      <c r="N8" s="38">
        <v>1</v>
      </c>
      <c r="O8" s="37">
        <v>2</v>
      </c>
      <c r="P8" s="38">
        <v>3</v>
      </c>
      <c r="Q8" s="39" t="s">
        <v>38</v>
      </c>
      <c r="R8" s="36"/>
      <c r="S8" s="36" t="s">
        <v>39</v>
      </c>
      <c r="T8" s="40"/>
      <c r="U8" s="41" t="s">
        <v>40</v>
      </c>
      <c r="V8" s="31" t="s">
        <v>27</v>
      </c>
      <c r="W8" s="31" t="s">
        <v>27</v>
      </c>
      <c r="X8" s="31" t="s">
        <v>27</v>
      </c>
      <c r="Y8" s="42" t="s">
        <v>41</v>
      </c>
      <c r="Z8" s="43" t="s">
        <v>42</v>
      </c>
      <c r="AA8" s="43"/>
      <c r="AB8" s="40"/>
      <c r="AC8" s="6"/>
      <c r="AD8" s="6" t="s">
        <v>43</v>
      </c>
      <c r="AE8" s="6" t="s">
        <v>44</v>
      </c>
      <c r="AF8" s="11" t="s">
        <v>40</v>
      </c>
      <c r="AG8" s="35" t="s">
        <v>45</v>
      </c>
      <c r="AH8" s="35" t="s">
        <v>46</v>
      </c>
      <c r="AI8" s="35" t="s">
        <v>47</v>
      </c>
      <c r="AJ8" s="6"/>
      <c r="AK8" s="6"/>
    </row>
    <row r="9" spans="1:37" ht="19.5" customHeight="1">
      <c r="A9" s="44"/>
      <c r="B9" s="45" t="s">
        <v>214</v>
      </c>
      <c r="C9" s="142" t="s">
        <v>157</v>
      </c>
      <c r="D9" s="56">
        <v>70.45</v>
      </c>
      <c r="E9" s="142" t="s">
        <v>179</v>
      </c>
      <c r="F9" s="142" t="s">
        <v>192</v>
      </c>
      <c r="G9" s="143">
        <v>39342</v>
      </c>
      <c r="H9" s="142" t="s">
        <v>82</v>
      </c>
      <c r="I9" s="144" t="s">
        <v>215</v>
      </c>
      <c r="J9" s="145" t="s">
        <v>92</v>
      </c>
      <c r="K9" s="52">
        <v>70</v>
      </c>
      <c r="L9" s="52">
        <v>75</v>
      </c>
      <c r="M9" s="52">
        <v>-80</v>
      </c>
      <c r="N9" s="52">
        <v>90</v>
      </c>
      <c r="O9" s="52">
        <v>95</v>
      </c>
      <c r="P9" s="52">
        <v>-100</v>
      </c>
      <c r="Q9" s="53">
        <f>IF(MAX(K9:M9)&gt;0,IF(MAX(K9:M9)&lt;0,0,TRUNC(MAX(K9:M9)/1)*1),"")</f>
        <v>75</v>
      </c>
      <c r="R9" s="54">
        <f>IF(MAX(N9:P9)&gt;0,IF(MAX(N9:P9)&lt;0,0,TRUNC(MAX(N9:P9)/1)*1),"")</f>
        <v>95</v>
      </c>
      <c r="S9" s="54">
        <f>IF(Q9="","",IF(R9="","",IF(SUM(Q9:R9)=0,"",SUM(Q9:R9))))</f>
        <v>170</v>
      </c>
      <c r="T9" s="55">
        <f>IF(S9="","",IF(D9="","",IF((AD9="k"),IF(D9&gt;153.757,S9,IF(D9&lt;28,10^(0.0787004341*LOG10(28/153.757)^2)*S9,10^(0.787004341*LOG10(D9/153.757)^2)*S9)),IF(D9&gt;193.609,S9,IF(D9&lt;32,10^(0.722762521*LOG10(32/193.609)^2)*S9,10^(0.722762521*LOG10(D9/193.609)^2)*S9)))))</f>
        <v>234.29806712137241</v>
      </c>
      <c r="U9" s="56" t="str">
        <f>IF(AF9=1,T9*AI9,"")</f>
        <v/>
      </c>
      <c r="V9" s="57">
        <v>7.89</v>
      </c>
      <c r="W9" s="57">
        <v>9.7799999999999994</v>
      </c>
      <c r="X9" s="57">
        <v>6.6</v>
      </c>
      <c r="Y9" s="55"/>
      <c r="Z9" s="56"/>
      <c r="AA9" s="56">
        <v>8</v>
      </c>
      <c r="AB9" s="58"/>
      <c r="AC9" s="59">
        <f>U5</f>
        <v>46263</v>
      </c>
      <c r="AD9" s="60" t="str">
        <f>IF(ISNUMBER(FIND("M",E9)),"m",IF(ISNUMBER(FIND("K",E9)),"k"))</f>
        <v>m</v>
      </c>
      <c r="AE9" s="61">
        <f>IF(OR(G9="",AC9=""),0,(YEAR(AC9)-YEAR(G9)))</f>
        <v>19</v>
      </c>
      <c r="AF9" s="62">
        <f>IF(AE9&gt;34,1,0)</f>
        <v>0</v>
      </c>
      <c r="AG9" s="44" t="b">
        <f>IF(AF9=1,LOOKUP(AE9,'Meltzer-Faber'!A3:A63,'Meltzer-Faber'!B3:B63))</f>
        <v>0</v>
      </c>
      <c r="AH9" s="63" t="b">
        <f>IF(AF9=1,LOOKUP(AE9,'Meltzer-Faber'!A3:A63,'Meltzer-Faber'!C3:C63))</f>
        <v>0</v>
      </c>
      <c r="AI9" s="63" t="b">
        <f>IF(AD9="m",AG9,IF(AD9="k",AH9,""))</f>
        <v>0</v>
      </c>
      <c r="AJ9" s="64">
        <f>IF(D9="","",IF(D9&gt;193.609,1,IF(D9&lt;32,10^(0.722762521*LOG10(32/193.609)^2),10^(0.722762521*LOG10(D9/193.609)^2))))</f>
        <v>1.3782239242433671</v>
      </c>
      <c r="AK9" s="44"/>
    </row>
    <row r="10" spans="1:37" ht="19.5" customHeight="1">
      <c r="A10" s="44"/>
      <c r="B10" s="65"/>
      <c r="C10" s="3"/>
      <c r="D10" s="3"/>
      <c r="E10" s="3"/>
      <c r="F10" s="66"/>
      <c r="G10" s="67"/>
      <c r="H10" s="68"/>
      <c r="I10" s="69"/>
      <c r="J10" s="69"/>
      <c r="K10" s="173"/>
      <c r="L10" s="173"/>
      <c r="M10" s="173"/>
      <c r="N10" s="172"/>
      <c r="O10" s="172"/>
      <c r="P10" s="172"/>
      <c r="Q10" s="70"/>
      <c r="R10" s="3"/>
      <c r="S10" s="173">
        <f>IF(T9="","",T9*1.2)</f>
        <v>281.15768054564688</v>
      </c>
      <c r="T10" s="173"/>
      <c r="U10" s="3"/>
      <c r="V10" s="3">
        <f>IF(V9&gt;0,V9*20,"")</f>
        <v>157.79999999999998</v>
      </c>
      <c r="W10" s="3">
        <f>IF(W9="","",(W9*10)*AJ9)</f>
        <v>134.7902997910013</v>
      </c>
      <c r="X10" s="3">
        <f>IF(ROUNDUP(X9,1)&gt;0,IF((80+(8-ROUNDUP(X9,1))*40)&lt;0,0,80+(8-ROUNDUP(X9,1))*40),"")</f>
        <v>136</v>
      </c>
      <c r="Y10" s="4">
        <f>IF(SUM(V10,W10,X10)&gt;0,SUM(V10,W10,X10),"")</f>
        <v>428.59029979100126</v>
      </c>
      <c r="Z10" s="3">
        <f>IF(AE9&gt;34,(IF(OR(S10="",V10="",W10="",X10=""),"",SUM(S10,V10,W10,X10))*AI9),IF(OR(S10="",V10="",W10="",X10=""),"", SUM(S10,V10,W10,X10)))</f>
        <v>709.7479803366482</v>
      </c>
      <c r="AA10" s="3"/>
      <c r="AB10" s="66"/>
      <c r="AC10" s="71"/>
      <c r="AD10" s="6"/>
      <c r="AE10" s="61"/>
      <c r="AF10" s="72"/>
      <c r="AG10" s="44"/>
      <c r="AH10" s="63"/>
      <c r="AI10" s="63"/>
      <c r="AJ10" s="64"/>
      <c r="AK10" s="44"/>
    </row>
    <row r="11" spans="1:37" ht="19.5" customHeight="1">
      <c r="A11" s="44"/>
      <c r="B11" s="73" t="s">
        <v>216</v>
      </c>
      <c r="C11" s="84" t="s">
        <v>154</v>
      </c>
      <c r="D11" s="78">
        <v>84.28</v>
      </c>
      <c r="E11" s="84" t="s">
        <v>179</v>
      </c>
      <c r="F11" s="84" t="s">
        <v>192</v>
      </c>
      <c r="G11" s="85">
        <v>39328</v>
      </c>
      <c r="H11" s="84" t="s">
        <v>52</v>
      </c>
      <c r="I11" s="86" t="s">
        <v>217</v>
      </c>
      <c r="J11" s="87" t="s">
        <v>206</v>
      </c>
      <c r="K11" s="74">
        <v>-80</v>
      </c>
      <c r="L11" s="74">
        <v>80</v>
      </c>
      <c r="M11" s="74">
        <v>-83</v>
      </c>
      <c r="N11" s="74">
        <v>93</v>
      </c>
      <c r="O11" s="74">
        <v>97</v>
      </c>
      <c r="P11" s="74">
        <v>100</v>
      </c>
      <c r="Q11" s="75">
        <f>IF(MAX(K11:M11)&gt;0,IF(MAX(K11:M11)&lt;0,0,TRUNC(MAX(K11:M11)/1)*1),"")</f>
        <v>80</v>
      </c>
      <c r="R11" s="76">
        <f>IF(MAX(N11:P11)&gt;0,IF(MAX(N11:P11)&lt;0,0,TRUNC(MAX(N11:P11)/1)*1),"")</f>
        <v>100</v>
      </c>
      <c r="S11" s="76">
        <f>IF(Q11="","",IF(R11="","",IF(SUM(Q11:R11)=0,"",SUM(Q11:R11))))</f>
        <v>180</v>
      </c>
      <c r="T11" s="77">
        <f>IF(S11="","",IF(D11="","",IF((AD11="k"),IF(D11&gt;153.757,S11,IF(D11&lt;28,10^(0.0787004341*LOG10(28/153.757)^2)*S11,10^(0.787004341*LOG10(D11/153.757)^2)*S11)),IF(D11&gt;193.609,S11,IF(D11&lt;32,10^(0.722762521*LOG10(32/193.609)^2)*S11,10^(0.722762521*LOG10(D11/193.609)^2)*S11)))))</f>
        <v>223.64982635330333</v>
      </c>
      <c r="U11" s="78" t="str">
        <f>IF(AF11=1,T11*AI11,"")</f>
        <v/>
      </c>
      <c r="V11" s="79">
        <v>6.72</v>
      </c>
      <c r="W11" s="79">
        <v>9.8000000000000007</v>
      </c>
      <c r="X11" s="79">
        <v>7.65</v>
      </c>
      <c r="Y11" s="80"/>
      <c r="Z11" s="78"/>
      <c r="AA11" s="78">
        <v>9</v>
      </c>
      <c r="AB11" s="81"/>
      <c r="AC11" s="71">
        <f>U5</f>
        <v>46263</v>
      </c>
      <c r="AD11" s="60" t="str">
        <f>IF(ISNUMBER(FIND("M",E11)),"m",IF(ISNUMBER(FIND("K",E11)),"k"))</f>
        <v>m</v>
      </c>
      <c r="AE11" s="61">
        <f>IF(OR(G11="",AC11=""),0,(YEAR(AC11)-YEAR(G11)))</f>
        <v>19</v>
      </c>
      <c r="AF11" s="62">
        <f>IF(AE11&gt;34,1,0)</f>
        <v>0</v>
      </c>
      <c r="AG11" s="44" t="b">
        <f>IF(AF11=1,LOOKUP(AE11,'Meltzer-Faber'!A3:A63,'Meltzer-Faber'!B3:B63))</f>
        <v>0</v>
      </c>
      <c r="AH11" s="63" t="b">
        <f>IF(AF11=1,LOOKUP(AE11,'Meltzer-Faber'!A3:A63,'Meltzer-Faber'!C3:C63))</f>
        <v>0</v>
      </c>
      <c r="AI11" s="63" t="b">
        <f>IF(AD11="m",AG11,IF(AD11="k",AH11,""))</f>
        <v>0</v>
      </c>
      <c r="AJ11" s="64">
        <f>IF(D11="","",IF(D11&gt;193.609,1,IF(D11&lt;32,10^(0.722762521*LOG10(32/193.609)^2),10^(0.722762521*LOG10(D11/193.609)^2))))</f>
        <v>1.2424990352961296</v>
      </c>
      <c r="AK11" s="44"/>
    </row>
    <row r="12" spans="1:37" ht="19.5" customHeight="1">
      <c r="A12" s="44"/>
      <c r="B12" s="82"/>
      <c r="C12" s="3"/>
      <c r="D12" s="3"/>
      <c r="E12" s="3"/>
      <c r="F12" s="66"/>
      <c r="G12" s="67"/>
      <c r="H12" s="68"/>
      <c r="I12" s="69"/>
      <c r="J12" s="69"/>
      <c r="K12" s="173"/>
      <c r="L12" s="173"/>
      <c r="M12" s="173"/>
      <c r="N12" s="172"/>
      <c r="O12" s="172"/>
      <c r="P12" s="172"/>
      <c r="Q12" s="70"/>
      <c r="R12" s="3"/>
      <c r="S12" s="173">
        <f>IF(T11="","",T11*1.2)</f>
        <v>268.37979162396397</v>
      </c>
      <c r="T12" s="173"/>
      <c r="U12" s="3"/>
      <c r="V12" s="3">
        <f>IF(V11&gt;0,V11*20,"")</f>
        <v>134.4</v>
      </c>
      <c r="W12" s="3">
        <f>IF(W11="","",(W11*10)*AJ11)</f>
        <v>121.7649054590207</v>
      </c>
      <c r="X12" s="3">
        <f>IF(ROUNDUP(X11,1)&gt;0,IF((80+(8-ROUNDUP(X11,1))*40)&lt;0,0,80+(8-ROUNDUP(X11,1))*40),"")</f>
        <v>92.000000000000028</v>
      </c>
      <c r="Y12" s="4">
        <f>IF(SUM(V12,W12,X12)&gt;0,SUM(V12,W12,X12),"")</f>
        <v>348.1649054590207</v>
      </c>
      <c r="Z12" s="3">
        <f>IF(AE11&gt;34,(IF(OR(S12="",V12="",W12="",X12=""),"",SUM(S12,V12,W12,X12))*AI11),IF(OR(S12="",V12="",W12="",X12=""),"", SUM(S12,V12,W12,X12)))</f>
        <v>616.54469708298473</v>
      </c>
      <c r="AA12" s="3"/>
      <c r="AB12" s="66"/>
      <c r="AC12" s="71"/>
      <c r="AD12" s="6"/>
      <c r="AE12" s="61"/>
      <c r="AF12" s="62"/>
      <c r="AG12" s="44"/>
      <c r="AH12" s="63"/>
      <c r="AI12" s="63"/>
      <c r="AJ12" s="64"/>
      <c r="AK12" s="44"/>
    </row>
    <row r="13" spans="1:37" ht="19.5" customHeight="1">
      <c r="A13" s="44"/>
      <c r="B13" s="83"/>
      <c r="C13" s="84"/>
      <c r="D13" s="78"/>
      <c r="E13" s="84"/>
      <c r="F13" s="84"/>
      <c r="G13" s="85"/>
      <c r="H13" s="84"/>
      <c r="I13" s="86"/>
      <c r="J13" s="87"/>
      <c r="K13" s="74"/>
      <c r="L13" s="74"/>
      <c r="M13" s="74"/>
      <c r="N13" s="74"/>
      <c r="O13" s="74"/>
      <c r="P13" s="74"/>
      <c r="Q13" s="75" t="str">
        <f>IF(MAX(K13:M13)&gt;0,IF(MAX(K13:M13)&lt;0,0,TRUNC(MAX(K13:M13)/1)*1),"")</f>
        <v/>
      </c>
      <c r="R13" s="76" t="str">
        <f>IF(MAX(N13:P13)&gt;0,IF(MAX(N13:P13)&lt;0,0,TRUNC(MAX(N13:P13)/1)*1),"")</f>
        <v/>
      </c>
      <c r="S13" s="76" t="str">
        <f>IF(Q13="","",IF(R13="","",IF(SUM(Q13:R13)=0,"",SUM(Q13:R13))))</f>
        <v/>
      </c>
      <c r="T13" s="77" t="str">
        <f>IF(S13="","",IF(D13="","",IF((AD13="k"),IF(D13&gt;153.757,S13,IF(D13&lt;28,10^(0.0787004341*LOG10(28/153.757)^2)*S13,10^(0.787004341*LOG10(D13/153.757)^2)*S13)),IF(D13&gt;193.609,S13,IF(D13&lt;32,10^(0.722762521*LOG10(32/193.609)^2)*S13,10^(0.722762521*LOG10(D13/193.609)^2)*S13)))))</f>
        <v/>
      </c>
      <c r="U13" s="78" t="str">
        <f>IF(AF13=1,T13*AI13,"")</f>
        <v/>
      </c>
      <c r="V13" s="79"/>
      <c r="W13" s="79"/>
      <c r="X13" s="79"/>
      <c r="Y13" s="88"/>
      <c r="Z13" s="78"/>
      <c r="AA13" s="78"/>
      <c r="AB13" s="81"/>
      <c r="AC13" s="71">
        <f>U5</f>
        <v>46263</v>
      </c>
      <c r="AD13" s="60" t="b">
        <f>IF(ISNUMBER(FIND("M",E13)),"m",IF(ISNUMBER(FIND("K",E13)),"k"))</f>
        <v>0</v>
      </c>
      <c r="AE13" s="61">
        <f>IF(OR(G13="",AC13=""),0,(YEAR(AC13)-YEAR(G13)))</f>
        <v>0</v>
      </c>
      <c r="AF13" s="62">
        <f>IF(AE13&gt;34,1,0)</f>
        <v>0</v>
      </c>
      <c r="AG13" s="44" t="b">
        <f>IF(AF13=1,LOOKUP(AE13,'Meltzer-Faber'!A3:A63,'Meltzer-Faber'!B3:B63))</f>
        <v>0</v>
      </c>
      <c r="AH13" s="63" t="b">
        <f>IF(AF13=1,LOOKUP(AE13,'Meltzer-Faber'!A3:A63,'Meltzer-Faber'!C3:C63))</f>
        <v>0</v>
      </c>
      <c r="AI13" s="63" t="str">
        <f>IF(AD13="m",AG13,IF(AD13="k",AH13,""))</f>
        <v/>
      </c>
      <c r="AJ13" s="64" t="str">
        <f>IF(D13="","",IF(D13&gt;193.609,1,IF(D13&lt;32,10^(0.722762521*LOG10(32/193.609)^2),10^(0.722762521*LOG10(D13/193.609)^2))))</f>
        <v/>
      </c>
      <c r="AK13" s="44"/>
    </row>
    <row r="14" spans="1:37" ht="19.5" customHeight="1">
      <c r="A14" s="44"/>
      <c r="B14" s="82"/>
      <c r="C14" s="3"/>
      <c r="D14" s="3"/>
      <c r="E14" s="3"/>
      <c r="F14" s="66"/>
      <c r="G14" s="67"/>
      <c r="H14" s="68"/>
      <c r="I14" s="69"/>
      <c r="J14" s="69"/>
      <c r="K14" s="173"/>
      <c r="L14" s="173"/>
      <c r="M14" s="173"/>
      <c r="N14" s="172"/>
      <c r="O14" s="172"/>
      <c r="P14" s="172"/>
      <c r="Q14" s="70"/>
      <c r="R14" s="3"/>
      <c r="S14" s="173" t="str">
        <f>IF(T13="","",T13*1.2)</f>
        <v/>
      </c>
      <c r="T14" s="173"/>
      <c r="U14" s="3"/>
      <c r="V14" s="3"/>
      <c r="W14" s="3"/>
      <c r="X14" s="3"/>
      <c r="Y14" s="4" t="str">
        <f>IF(SUM(V14,W14,X14)&gt;0,SUM(V14,W14,X14),"")</f>
        <v/>
      </c>
      <c r="Z14" s="3" t="str">
        <f>IF(AE13&gt;34,(IF(OR(S14="",V14="",W14="",X14=""),"",SUM(S14,V14,W14,X14))*AI13),IF(OR(S14="",V14="",W14="",X14=""),"", SUM(S14,V14,W14,X14)))</f>
        <v/>
      </c>
      <c r="AA14" s="3"/>
      <c r="AB14" s="66"/>
      <c r="AC14" s="71"/>
      <c r="AD14" s="6"/>
      <c r="AE14" s="61"/>
      <c r="AF14" s="62"/>
      <c r="AG14" s="44"/>
      <c r="AH14" s="63"/>
      <c r="AI14" s="63"/>
      <c r="AJ14" s="64"/>
      <c r="AK14" s="44"/>
    </row>
    <row r="15" spans="1:37" ht="19.5" customHeight="1">
      <c r="A15" s="44"/>
      <c r="B15" s="83"/>
      <c r="C15" s="84"/>
      <c r="D15" s="78"/>
      <c r="E15" s="84"/>
      <c r="F15" s="84"/>
      <c r="G15" s="85"/>
      <c r="H15" s="84"/>
      <c r="I15" s="86"/>
      <c r="J15" s="87"/>
      <c r="K15" s="74"/>
      <c r="L15" s="74"/>
      <c r="M15" s="74"/>
      <c r="N15" s="74"/>
      <c r="O15" s="74"/>
      <c r="P15" s="74"/>
      <c r="Q15" s="75" t="str">
        <f>IF(MAX(K15:M15)&gt;0,IF(MAX(K15:M15)&lt;0,0,TRUNC(MAX(K15:M15)/1)*1),"")</f>
        <v/>
      </c>
      <c r="R15" s="76" t="str">
        <f>IF(MAX(N15:P15)&gt;0,IF(MAX(N15:P15)&lt;0,0,TRUNC(MAX(N15:P15)/1)*1),"")</f>
        <v/>
      </c>
      <c r="S15" s="76" t="str">
        <f>IF(Q15="","",IF(R15="","",IF(SUM(Q15:R15)=0,"",SUM(Q15:R15))))</f>
        <v/>
      </c>
      <c r="T15" s="77" t="str">
        <f>IF(S15="","",IF(D15="","",IF((AD15="k"),IF(D15&gt;153.757,S15,IF(D15&lt;28,10^(0.0787004341*LOG10(28/153.757)^2)*S15,10^(0.787004341*LOG10(D15/153.757)^2)*S15)),IF(D15&gt;193.609,S15,IF(D15&lt;32,10^(0.722762521*LOG10(32/193.609)^2)*S15,10^(0.722762521*LOG10(D15/193.609)^2)*S15)))))</f>
        <v/>
      </c>
      <c r="U15" s="78" t="str">
        <f>IF(AF15=1,T15*AI15,"")</f>
        <v/>
      </c>
      <c r="V15" s="79"/>
      <c r="W15" s="79"/>
      <c r="X15" s="79"/>
      <c r="Y15" s="80"/>
      <c r="Z15" s="78"/>
      <c r="AA15" s="78"/>
      <c r="AB15" s="81"/>
      <c r="AC15" s="71">
        <f>U5</f>
        <v>46263</v>
      </c>
      <c r="AD15" s="60" t="b">
        <f>IF(ISNUMBER(FIND("M",E15)),"m",IF(ISNUMBER(FIND("K",E15)),"k"))</f>
        <v>0</v>
      </c>
      <c r="AE15" s="61">
        <f>IF(OR(G15="",AC15=""),0,(YEAR(AC15)-YEAR(G15)))</f>
        <v>0</v>
      </c>
      <c r="AF15" s="62">
        <f>IF(AE15&gt;34,1,0)</f>
        <v>0</v>
      </c>
      <c r="AG15" s="44" t="b">
        <f>IF(AF15=1,LOOKUP(AE15,'Meltzer-Faber'!A3:A63,'Meltzer-Faber'!B3:B63))</f>
        <v>0</v>
      </c>
      <c r="AH15" s="63" t="b">
        <f>IF(AF15=1,LOOKUP(AE15,'Meltzer-Faber'!A3:A63,'Meltzer-Faber'!C3:C63))</f>
        <v>0</v>
      </c>
      <c r="AI15" s="63" t="str">
        <f>IF(AD15="m",AG15,IF(AD15="k",AH15,""))</f>
        <v/>
      </c>
      <c r="AJ15" s="64" t="str">
        <f>IF(D15="","",IF(D15&gt;193.609,1,IF(D15&lt;32,10^(0.722762521*LOG10(32/193.609)^2),10^(0.722762521*LOG10(D15/193.609)^2))))</f>
        <v/>
      </c>
      <c r="AK15" s="44"/>
    </row>
    <row r="16" spans="1:37" ht="19.5" customHeight="1">
      <c r="A16" s="44"/>
      <c r="B16" s="82"/>
      <c r="C16" s="3"/>
      <c r="D16" s="3"/>
      <c r="E16" s="3"/>
      <c r="F16" s="66"/>
      <c r="G16" s="67"/>
      <c r="H16" s="68"/>
      <c r="I16" s="69"/>
      <c r="J16" s="69"/>
      <c r="K16" s="173"/>
      <c r="L16" s="173"/>
      <c r="M16" s="173"/>
      <c r="N16" s="172"/>
      <c r="O16" s="172"/>
      <c r="P16" s="172"/>
      <c r="Q16" s="89"/>
      <c r="R16" s="90"/>
      <c r="S16" s="173" t="str">
        <f>IF(T15="","",T15*1.2)</f>
        <v/>
      </c>
      <c r="T16" s="173"/>
      <c r="U16" s="3"/>
      <c r="V16" s="3"/>
      <c r="W16" s="3"/>
      <c r="X16" s="3"/>
      <c r="Y16" s="4" t="str">
        <f>IF(SUM(V16,W16,X16)&gt;0,SUM(V16,W16,X16),"")</f>
        <v/>
      </c>
      <c r="Z16" s="3" t="str">
        <f>IF(AE15&gt;34,(IF(OR(S16="",V16="",W16="",X16=""),"",SUM(S16,V16,W16,X16))*AI15),IF(OR(S16="",V16="",W16="",X16=""),"", SUM(S16,V16,W16,X16)))</f>
        <v/>
      </c>
      <c r="AA16" s="3"/>
      <c r="AB16" s="66"/>
      <c r="AC16" s="71"/>
      <c r="AD16" s="6"/>
      <c r="AE16" s="61"/>
      <c r="AF16" s="62"/>
      <c r="AG16" s="44"/>
      <c r="AH16" s="63"/>
      <c r="AI16" s="63"/>
      <c r="AJ16" s="64"/>
      <c r="AK16" s="44"/>
    </row>
    <row r="17" spans="1:37" ht="19.5" customHeight="1">
      <c r="A17" s="44"/>
      <c r="B17" s="83"/>
      <c r="C17" s="84"/>
      <c r="D17" s="78"/>
      <c r="E17" s="84"/>
      <c r="F17" s="84"/>
      <c r="G17" s="85"/>
      <c r="H17" s="84"/>
      <c r="I17" s="91"/>
      <c r="J17" s="87"/>
      <c r="K17" s="74"/>
      <c r="L17" s="74"/>
      <c r="M17" s="74"/>
      <c r="N17" s="74"/>
      <c r="O17" s="74"/>
      <c r="P17" s="74"/>
      <c r="Q17" s="75" t="str">
        <f>IF(MAX(K17:M17)&gt;0,IF(MAX(K17:M17)&lt;0,0,TRUNC(MAX(K17:M17)/1)*1),"")</f>
        <v/>
      </c>
      <c r="R17" s="76" t="str">
        <f>IF(MAX(N17:P17)&gt;0,IF(MAX(N17:P17)&lt;0,0,TRUNC(MAX(N17:P17)/1)*1),"")</f>
        <v/>
      </c>
      <c r="S17" s="74" t="str">
        <f>IF(Q17="","",IF(R17="","",IF(SUM(Q17:R17)=0,"",SUM(Q17:R17))))</f>
        <v/>
      </c>
      <c r="T17" s="77" t="str">
        <f>IF(S17="","",IF(D17="","",IF((AD17="k"),IF(D17&gt;153.757,S17,IF(D17&lt;28,10^(0.0787004341*LOG10(28/153.757)^2)*S17,10^(0.787004341*LOG10(D17/153.757)^2)*S17)),IF(D17&gt;193.609,S17,IF(D17&lt;32,10^(0.722762521*LOG10(32/193.609)^2)*S17,10^(0.722762521*LOG10(D17/193.609)^2)*S17)))))</f>
        <v/>
      </c>
      <c r="U17" s="78" t="str">
        <f>IF(AF17=1,T17*AI17,"")</f>
        <v/>
      </c>
      <c r="V17" s="79"/>
      <c r="W17" s="79"/>
      <c r="X17" s="79"/>
      <c r="Y17" s="80"/>
      <c r="Z17" s="78"/>
      <c r="AA17" s="78"/>
      <c r="AB17" s="81"/>
      <c r="AC17" s="71">
        <f>U5</f>
        <v>46263</v>
      </c>
      <c r="AD17" s="60" t="b">
        <f>IF(ISNUMBER(FIND("M",E17)),"m",IF(ISNUMBER(FIND("K",E17)),"k"))</f>
        <v>0</v>
      </c>
      <c r="AE17" s="61">
        <f>IF(OR(G17="",AC17=""),0,(YEAR(AC17)-YEAR(G17)))</f>
        <v>0</v>
      </c>
      <c r="AF17" s="62">
        <f>IF(AE17&gt;34,1,0)</f>
        <v>0</v>
      </c>
      <c r="AG17" s="44" t="b">
        <f>IF(AF17=1,LOOKUP(AE17,'Meltzer-Faber'!A3:A63,'Meltzer-Faber'!B3:B63))</f>
        <v>0</v>
      </c>
      <c r="AH17" s="63" t="b">
        <f>IF(AF17=1,LOOKUP(AE17,'Meltzer-Faber'!A3:A63,'Meltzer-Faber'!C3:C63))</f>
        <v>0</v>
      </c>
      <c r="AI17" s="63" t="str">
        <f>IF(AD17="m",AG17,IF(AD17="k",AH17,""))</f>
        <v/>
      </c>
      <c r="AJ17" s="64" t="str">
        <f>IF(D17="","",IF(D17&gt;193.609,1,IF(D17&lt;32,10^(0.722762521*LOG10(32/193.609)^2),10^(0.722762521*LOG10(D17/193.609)^2))))</f>
        <v/>
      </c>
      <c r="AK17" s="44"/>
    </row>
    <row r="18" spans="1:37" ht="19.5" customHeight="1">
      <c r="A18" s="44"/>
      <c r="B18" s="82"/>
      <c r="C18" s="3"/>
      <c r="D18" s="3"/>
      <c r="E18" s="3"/>
      <c r="F18" s="66"/>
      <c r="G18" s="67"/>
      <c r="H18" s="68"/>
      <c r="I18" s="69"/>
      <c r="J18" s="69"/>
      <c r="K18" s="173"/>
      <c r="L18" s="173"/>
      <c r="M18" s="173"/>
      <c r="N18" s="172"/>
      <c r="O18" s="172"/>
      <c r="P18" s="172"/>
      <c r="Q18" s="70"/>
      <c r="R18" s="3"/>
      <c r="S18" s="173" t="str">
        <f>IF(T17="","",T17*1.2)</f>
        <v/>
      </c>
      <c r="T18" s="173"/>
      <c r="U18" s="3"/>
      <c r="V18" s="3"/>
      <c r="W18" s="3"/>
      <c r="X18" s="3"/>
      <c r="Y18" s="4" t="str">
        <f>IF(SUM(V18,W18,X18)&gt;0,SUM(V18,W18,X18),"")</f>
        <v/>
      </c>
      <c r="Z18" s="3" t="str">
        <f>IF(AE17&gt;34,(IF(OR(S18="",V18="",W18="",X18=""),"",SUM(S18,V18,W18,X18))*AI17),IF(OR(S18="",V18="",W18="",X18=""),"", SUM(S18,V18,W18,X18)))</f>
        <v/>
      </c>
      <c r="AA18" s="3"/>
      <c r="AB18" s="66"/>
      <c r="AC18" s="71"/>
      <c r="AD18" s="6"/>
      <c r="AE18" s="61"/>
      <c r="AF18" s="62"/>
      <c r="AG18" s="44"/>
      <c r="AH18" s="63"/>
      <c r="AI18" s="63"/>
      <c r="AJ18" s="64"/>
      <c r="AK18" s="44"/>
    </row>
    <row r="19" spans="1:37" ht="19.5" customHeight="1">
      <c r="A19" s="44"/>
      <c r="B19" s="83"/>
      <c r="C19" s="84"/>
      <c r="D19" s="78"/>
      <c r="E19" s="84"/>
      <c r="F19" s="84"/>
      <c r="G19" s="85"/>
      <c r="H19" s="84"/>
      <c r="I19" s="91"/>
      <c r="J19" s="87"/>
      <c r="K19" s="74"/>
      <c r="L19" s="74"/>
      <c r="M19" s="74"/>
      <c r="N19" s="74"/>
      <c r="O19" s="74"/>
      <c r="P19" s="74"/>
      <c r="Q19" s="75" t="str">
        <f>IF(MAX(K19:M19)&gt;0,IF(MAX(K19:M19)&lt;0,0,TRUNC(MAX(K19:M19)/1)*1),"")</f>
        <v/>
      </c>
      <c r="R19" s="76" t="str">
        <f>IF(MAX(N19:P19)&gt;0,IF(MAX(N19:P19)&lt;0,0,TRUNC(MAX(N19:P19)/1)*1),"")</f>
        <v/>
      </c>
      <c r="S19" s="74" t="str">
        <f>IF(Q19="","",IF(R19="","",IF(SUM(Q19:R19)=0,"",SUM(Q19:R19))))</f>
        <v/>
      </c>
      <c r="T19" s="77" t="str">
        <f>IF(S19="","",IF(D19="","",IF((AD19="k"),IF(D19&gt;153.757,S19,IF(D19&lt;28,10^(0.0787004341*LOG10(28/153.757)^2)*S19,10^(0.787004341*LOG10(D19/153.757)^2)*S19)),IF(D19&gt;193.609,S19,IF(D19&lt;32,10^(0.722762521*LOG10(32/193.609)^2)*S19,10^(0.722762521*LOG10(D19/193.609)^2)*S19)))))</f>
        <v/>
      </c>
      <c r="U19" s="78" t="str">
        <f>IF(AF19=1,T19*AI19,"")</f>
        <v/>
      </c>
      <c r="V19" s="79"/>
      <c r="W19" s="79"/>
      <c r="X19" s="79"/>
      <c r="Y19" s="80"/>
      <c r="Z19" s="78"/>
      <c r="AA19" s="78"/>
      <c r="AB19" s="81"/>
      <c r="AC19" s="71">
        <f>U5</f>
        <v>46263</v>
      </c>
      <c r="AD19" s="60" t="b">
        <f>IF(ISNUMBER(FIND("M",E19)),"m",IF(ISNUMBER(FIND("K",E19)),"k"))</f>
        <v>0</v>
      </c>
      <c r="AE19" s="61">
        <f>IF(OR(G19="",AC19=""),0,(YEAR(AC19)-YEAR(G19)))</f>
        <v>0</v>
      </c>
      <c r="AF19" s="62">
        <f>IF(AE19&gt;34,1,0)</f>
        <v>0</v>
      </c>
      <c r="AG19" s="44" t="b">
        <f>IF(AF19=1,LOOKUP(AE19,'Meltzer-Faber'!A3:A63,'Meltzer-Faber'!B3:B63))</f>
        <v>0</v>
      </c>
      <c r="AH19" s="63" t="b">
        <f>IF(AF19=1,LOOKUP(AE19,'Meltzer-Faber'!A3:A63,'Meltzer-Faber'!C3:C63))</f>
        <v>0</v>
      </c>
      <c r="AI19" s="63" t="str">
        <f>IF(AD19="m",AG19,IF(AD19="k",AH19,""))</f>
        <v/>
      </c>
      <c r="AJ19" s="64" t="str">
        <f>IF(D19="","",IF(D19&gt;193.609,1,IF(D19&lt;32,10^(0.722762521*LOG10(32/193.609)^2),10^(0.722762521*LOG10(D19/193.609)^2))))</f>
        <v/>
      </c>
      <c r="AK19" s="44"/>
    </row>
    <row r="20" spans="1:37" ht="19.5" customHeight="1">
      <c r="A20" s="44"/>
      <c r="B20" s="82"/>
      <c r="C20" s="3"/>
      <c r="D20" s="3"/>
      <c r="E20" s="3"/>
      <c r="F20" s="66"/>
      <c r="G20" s="67"/>
      <c r="H20" s="68"/>
      <c r="I20" s="69"/>
      <c r="J20" s="69"/>
      <c r="K20" s="173"/>
      <c r="L20" s="173"/>
      <c r="M20" s="173"/>
      <c r="N20" s="172"/>
      <c r="O20" s="172"/>
      <c r="P20" s="172"/>
      <c r="Q20" s="70"/>
      <c r="R20" s="3"/>
      <c r="S20" s="173" t="str">
        <f>IF(T19="","",T19*1.2)</f>
        <v/>
      </c>
      <c r="T20" s="173"/>
      <c r="U20" s="3"/>
      <c r="V20" s="3"/>
      <c r="W20" s="3"/>
      <c r="X20" s="3"/>
      <c r="Y20" s="4" t="str">
        <f>IF(SUM(V20,W20,X20)&gt;0,SUM(V20,W20,X20),"")</f>
        <v/>
      </c>
      <c r="Z20" s="3" t="str">
        <f>IF(AE19&gt;34,(IF(OR(S20="",V20="",W20="",X20=""),"",SUM(S20,V20,W20,X20))*AI19),IF(OR(S20="",V20="",W20="",X20=""),"", SUM(S20,V20,W20,X20)))</f>
        <v/>
      </c>
      <c r="AA20" s="3"/>
      <c r="AB20" s="66"/>
      <c r="AC20" s="71"/>
      <c r="AD20" s="6"/>
      <c r="AE20" s="61"/>
      <c r="AF20" s="62"/>
      <c r="AG20" s="44"/>
      <c r="AH20" s="63"/>
      <c r="AI20" s="63"/>
      <c r="AJ20" s="64"/>
      <c r="AK20" s="44"/>
    </row>
    <row r="21" spans="1:37" ht="19.5" customHeight="1">
      <c r="A21" s="44"/>
      <c r="B21" s="83"/>
      <c r="C21" s="84"/>
      <c r="D21" s="78"/>
      <c r="E21" s="84"/>
      <c r="F21" s="84"/>
      <c r="G21" s="85"/>
      <c r="H21" s="84"/>
      <c r="I21" s="86"/>
      <c r="J21" s="87"/>
      <c r="K21" s="74"/>
      <c r="L21" s="74"/>
      <c r="M21" s="74"/>
      <c r="N21" s="74"/>
      <c r="O21" s="74"/>
      <c r="P21" s="74"/>
      <c r="Q21" s="75" t="str">
        <f>IF(MAX(K21:M21)&gt;0,IF(MAX(K21:M21)&lt;0,0,TRUNC(MAX(K21:M21)/1)*1),"")</f>
        <v/>
      </c>
      <c r="R21" s="76" t="str">
        <f>IF(MAX(N21:P21)&gt;0,IF(MAX(N21:P21)&lt;0,0,TRUNC(MAX(N21:P21)/1)*1),"")</f>
        <v/>
      </c>
      <c r="S21" s="74" t="str">
        <f>IF(Q21="","",IF(R21="","",IF(SUM(Q21:R21)=0,"",SUM(Q21:R21))))</f>
        <v/>
      </c>
      <c r="T21" s="77" t="str">
        <f>IF(S21="","",IF(D21="","",IF((AD21="k"),IF(D21&gt;153.757,S21,IF(D21&lt;28,10^(0.0787004341*LOG10(28/153.757)^2)*S21,10^(0.787004341*LOG10(D21/153.757)^2)*S21)),IF(D21&gt;193.609,S21,IF(D21&lt;32,10^(0.722762521*LOG10(32/193.609)^2)*S21,10^(0.722762521*LOG10(D21/193.609)^2)*S21)))))</f>
        <v/>
      </c>
      <c r="U21" s="78" t="str">
        <f>IF(AF21=1,T21*AI21,"")</f>
        <v/>
      </c>
      <c r="V21" s="79"/>
      <c r="W21" s="79"/>
      <c r="X21" s="79"/>
      <c r="Y21" s="80"/>
      <c r="Z21" s="78"/>
      <c r="AA21" s="78"/>
      <c r="AB21" s="81"/>
      <c r="AC21" s="71">
        <f>U5</f>
        <v>46263</v>
      </c>
      <c r="AD21" s="60" t="b">
        <f>IF(ISNUMBER(FIND("M",E21)),"m",IF(ISNUMBER(FIND("K",E21)),"k"))</f>
        <v>0</v>
      </c>
      <c r="AE21" s="61">
        <f>IF(OR(G21="",AC21=""),0,(YEAR(AC21)-YEAR(G21)))</f>
        <v>0</v>
      </c>
      <c r="AF21" s="62">
        <f>IF(AE21&gt;34,1,0)</f>
        <v>0</v>
      </c>
      <c r="AG21" s="44" t="b">
        <f>IF(AF21=1,LOOKUP(AE21,'Meltzer-Faber'!A3:A63,'Meltzer-Faber'!B3:B63))</f>
        <v>0</v>
      </c>
      <c r="AH21" s="63" t="b">
        <f>IF(AF21=1,LOOKUP(AE21,'Meltzer-Faber'!A3:A63,'Meltzer-Faber'!C3:C63))</f>
        <v>0</v>
      </c>
      <c r="AI21" s="63" t="str">
        <f>IF(AD21="m",AG21,IF(AD21="k",AH21,""))</f>
        <v/>
      </c>
      <c r="AJ21" s="64" t="str">
        <f>IF(D21="","",IF(D21&gt;193.609,1,IF(D21&lt;32,10^(0.722762521*LOG10(32/193.609)^2),10^(0.722762521*LOG10(D21/193.609)^2))))</f>
        <v/>
      </c>
      <c r="AK21" s="44"/>
    </row>
    <row r="22" spans="1:37" ht="19.5" customHeight="1">
      <c r="A22" s="44"/>
      <c r="B22" s="82"/>
      <c r="C22" s="3"/>
      <c r="D22" s="3"/>
      <c r="E22" s="3"/>
      <c r="F22" s="66"/>
      <c r="G22" s="67"/>
      <c r="H22" s="68"/>
      <c r="I22" s="69"/>
      <c r="J22" s="69"/>
      <c r="K22" s="173"/>
      <c r="L22" s="173"/>
      <c r="M22" s="173"/>
      <c r="N22" s="172"/>
      <c r="O22" s="172"/>
      <c r="P22" s="172"/>
      <c r="Q22" s="70"/>
      <c r="R22" s="3"/>
      <c r="S22" s="173" t="str">
        <f>IF(T21="","",T21*1.2)</f>
        <v/>
      </c>
      <c r="T22" s="173"/>
      <c r="U22" s="3"/>
      <c r="V22" s="3"/>
      <c r="W22" s="3"/>
      <c r="X22" s="3"/>
      <c r="Y22" s="4" t="str">
        <f>IF(SUM(V22,W22,X22)&gt;0,SUM(V22,W22,X22),"")</f>
        <v/>
      </c>
      <c r="Z22" s="3" t="str">
        <f>IF(AE21&gt;34,(IF(OR(S22="",V22="",W22="",X22=""),"",SUM(S22,V22,W22,X22))*AI21),IF(OR(S22="",V22="",W22="",X22=""),"", SUM(S22,V22,W22,X22)))</f>
        <v/>
      </c>
      <c r="AA22" s="3"/>
      <c r="AB22" s="66"/>
      <c r="AC22" s="71"/>
      <c r="AD22" s="6"/>
      <c r="AE22" s="61"/>
      <c r="AF22" s="62"/>
      <c r="AG22" s="44"/>
      <c r="AH22" s="63"/>
      <c r="AI22" s="63"/>
      <c r="AJ22" s="64"/>
      <c r="AK22" s="44"/>
    </row>
    <row r="23" spans="1:37" ht="19.5" customHeight="1">
      <c r="A23" s="44"/>
      <c r="B23" s="83"/>
      <c r="C23" s="84"/>
      <c r="D23" s="78"/>
      <c r="E23" s="84"/>
      <c r="F23" s="84"/>
      <c r="G23" s="85"/>
      <c r="H23" s="84"/>
      <c r="I23" s="86"/>
      <c r="J23" s="87"/>
      <c r="K23" s="74"/>
      <c r="L23" s="74"/>
      <c r="M23" s="74"/>
      <c r="N23" s="74"/>
      <c r="O23" s="74"/>
      <c r="P23" s="74"/>
      <c r="Q23" s="75" t="str">
        <f>IF(MAX(K23:M23)&gt;0,IF(MAX(K23:M23)&lt;0,0,TRUNC(MAX(K23:M23)/1)*1),"")</f>
        <v/>
      </c>
      <c r="R23" s="76" t="str">
        <f>IF(MAX(N23:P23)&gt;0,IF(MAX(N23:P23)&lt;0,0,TRUNC(MAX(N23:P23)/1)*1),"")</f>
        <v/>
      </c>
      <c r="S23" s="74" t="str">
        <f>IF(Q23="","",IF(R23="","",IF(SUM(Q23:R23)=0,"",SUM(Q23:R23))))</f>
        <v/>
      </c>
      <c r="T23" s="77" t="str">
        <f>IF(S23="","",IF(D23="","",IF((AD23="k"),IF(D23&gt;153.757,S23,IF(C23&lt;28,10^(0.0787004341*LOG10(28/153.757)^2)*S23,10^(0.787004341*LOG10(D23/153.757)^2)*S23)),IF(D23&gt;193.609,S23,IF(D23&lt;32,10^(0.722762521*LOG10(32/193.609)^2)*S23,10^(0.722762521*LOG10(D23/193.609)^2)*S23)))))</f>
        <v/>
      </c>
      <c r="U23" s="78" t="str">
        <f>IF(AF23=1,T23*AI23,"")</f>
        <v/>
      </c>
      <c r="V23" s="79"/>
      <c r="W23" s="79"/>
      <c r="X23" s="79"/>
      <c r="Y23" s="80"/>
      <c r="Z23" s="78"/>
      <c r="AA23" s="78"/>
      <c r="AB23" s="81"/>
      <c r="AC23" s="71">
        <f>U5</f>
        <v>46263</v>
      </c>
      <c r="AD23" s="60" t="b">
        <f>IF(ISNUMBER(FIND("M",E23)),"m",IF(ISNUMBER(FIND("K",E23)),"k"))</f>
        <v>0</v>
      </c>
      <c r="AE23" s="92">
        <f>IF(OR(G23="",AC23=""),0,(YEAR(AC23)-YEAR(G23)))</f>
        <v>0</v>
      </c>
      <c r="AF23" s="62">
        <f>IF(AE23&gt;34,1,0)</f>
        <v>0</v>
      </c>
      <c r="AG23" s="44" t="b">
        <f>IF(AF23=1,LOOKUP(AE23,'Meltzer-Faber'!A3:A63,'Meltzer-Faber'!B3:B63))</f>
        <v>0</v>
      </c>
      <c r="AH23" s="63" t="b">
        <f>IF(AF23=1,LOOKUP(AE23,'Meltzer-Faber'!A3:A63,'Meltzer-Faber'!C3:C63))</f>
        <v>0</v>
      </c>
      <c r="AI23" s="63" t="str">
        <f>IF(AD23="m",AG23,IF(AD23="k",AH23,""))</f>
        <v/>
      </c>
      <c r="AJ23" s="64" t="str">
        <f>IF(D23="","",IF(D23&gt;193.609,1,IF(D23&lt;32,10^(0.722762521*LOG10(32/193.609)^2),10^(0.722762521*LOG10(D23/193.609)^2))))</f>
        <v/>
      </c>
      <c r="AK23" s="44"/>
    </row>
    <row r="24" spans="1:37" ht="19.5" customHeight="1">
      <c r="A24" s="44"/>
      <c r="B24" s="82"/>
      <c r="C24" s="3"/>
      <c r="D24" s="3"/>
      <c r="E24" s="3"/>
      <c r="F24" s="66"/>
      <c r="G24" s="67"/>
      <c r="H24" s="68"/>
      <c r="I24" s="69"/>
      <c r="J24" s="69"/>
      <c r="K24" s="173"/>
      <c r="L24" s="173"/>
      <c r="M24" s="173"/>
      <c r="N24" s="172"/>
      <c r="O24" s="172"/>
      <c r="P24" s="172"/>
      <c r="Q24" s="70"/>
      <c r="R24" s="3"/>
      <c r="S24" s="173" t="str">
        <f>IF(T23="","",T23*1.2)</f>
        <v/>
      </c>
      <c r="T24" s="173"/>
      <c r="U24" s="3"/>
      <c r="V24" s="3"/>
      <c r="W24" s="3"/>
      <c r="X24" s="3"/>
      <c r="Y24" s="4" t="str">
        <f>IF(SUM(V24,W24,X24)&gt;0,SUM(V24,W24,X24),"")</f>
        <v/>
      </c>
      <c r="Z24" s="3" t="str">
        <f>IF(AE23&gt;34,(IF(OR(S24="",V24="",W24="",X24=""),"",SUM(S24,V24,W24,X24))*AI23),IF(OR(S24="",V24="",W24="",X24=""),"", SUM(S24,V24,W24,X24)))</f>
        <v/>
      </c>
      <c r="AA24" s="3"/>
      <c r="AB24" s="66"/>
      <c r="AC24" s="71"/>
      <c r="AD24" s="6"/>
      <c r="AE24" s="61"/>
      <c r="AF24" s="62"/>
      <c r="AG24" s="44"/>
      <c r="AH24" s="63"/>
      <c r="AI24" s="63"/>
      <c r="AJ24" s="64"/>
      <c r="AK24" s="44"/>
    </row>
    <row r="25" spans="1:37" ht="19.5" customHeight="1">
      <c r="A25" s="44"/>
      <c r="B25" s="83"/>
      <c r="C25" s="84"/>
      <c r="D25" s="78"/>
      <c r="E25" s="84"/>
      <c r="F25" s="84"/>
      <c r="G25" s="85"/>
      <c r="H25" s="84"/>
      <c r="I25" s="86"/>
      <c r="J25" s="87"/>
      <c r="K25" s="74"/>
      <c r="L25" s="74"/>
      <c r="M25" s="74"/>
      <c r="N25" s="74"/>
      <c r="O25" s="74"/>
      <c r="P25" s="74"/>
      <c r="Q25" s="75" t="str">
        <f>IF(MAX(K25:M25)&gt;0,IF(MAX(K25:M25)&lt;0,0,TRUNC(MAX(K25:M25)/1)*1),"")</f>
        <v/>
      </c>
      <c r="R25" s="76" t="str">
        <f>IF(MAX(N25:P25)&gt;0,IF(MAX(N25:P25)&lt;0,0,TRUNC(MAX(N25:P25)/1)*1),"")</f>
        <v/>
      </c>
      <c r="S25" s="74" t="str">
        <f>IF(Q25="","",IF(R25="","",IF(SUM(Q25:R25)=0,"",SUM(Q25:R25))))</f>
        <v/>
      </c>
      <c r="T25" s="77" t="str">
        <f>IF(S25="","",IF(D25="","",IF((AD25="k"),IF(D25&gt;153.757,S25,IF(C25&lt;28,10^(0.0787004341*LOG10(28/153.757)^2)*S25,10^(0.787004341*LOG10(D25/153.757)^2)*S25)),IF(D25&gt;193.609,S25,IF(D25&lt;32,10^(0.722762521*LOG10(32/193.609)^2)*S25,10^(0.722762521*LOG10(D25/193.609)^2)*S25)))))</f>
        <v/>
      </c>
      <c r="U25" s="78" t="str">
        <f>IF(AF25=1,T25*AI25,"")</f>
        <v/>
      </c>
      <c r="V25" s="79"/>
      <c r="W25" s="79"/>
      <c r="X25" s="79"/>
      <c r="Y25" s="80"/>
      <c r="Z25" s="78"/>
      <c r="AA25" s="78"/>
      <c r="AB25" s="81"/>
      <c r="AC25" s="71">
        <f>U5</f>
        <v>46263</v>
      </c>
      <c r="AD25" s="60" t="b">
        <f>IF(ISNUMBER(FIND("M",E25)),"m",IF(ISNUMBER(FIND("K",E25)),"k"))</f>
        <v>0</v>
      </c>
      <c r="AE25" s="92">
        <f>IF(OR(G25="",AC25=""),0,(YEAR(AC25)-YEAR(G25)))</f>
        <v>0</v>
      </c>
      <c r="AF25" s="62">
        <f>IF(AE25&gt;34,1,0)</f>
        <v>0</v>
      </c>
      <c r="AG25" s="44" t="b">
        <f>IF(AF25=1,LOOKUP(AE25,'Meltzer-Faber'!A3:A63,'Meltzer-Faber'!B3:B63))</f>
        <v>0</v>
      </c>
      <c r="AH25" s="63" t="b">
        <f>IF(AF25=1,LOOKUP(AE25,'Meltzer-Faber'!A3:A63,'Meltzer-Faber'!C3:C63))</f>
        <v>0</v>
      </c>
      <c r="AI25" s="63" t="str">
        <f>IF(AD25="m",AG25,IF(AD25="k",AH25,""))</f>
        <v/>
      </c>
      <c r="AJ25" s="64" t="str">
        <f>IF(D25="","",IF(D25&gt;193.609,1,IF(D25&lt;32,10^(0.722762521*LOG10(32/193.609)^2),10^(0.722762521*LOG10(D25/193.609)^2))))</f>
        <v/>
      </c>
      <c r="AK25" s="44"/>
    </row>
    <row r="26" spans="1:37" ht="19.5" customHeight="1">
      <c r="A26" s="44"/>
      <c r="B26" s="82"/>
      <c r="C26" s="3"/>
      <c r="D26" s="3"/>
      <c r="E26" s="3"/>
      <c r="F26" s="66"/>
      <c r="G26" s="67"/>
      <c r="H26" s="68"/>
      <c r="I26" s="69"/>
      <c r="J26" s="69"/>
      <c r="K26" s="173"/>
      <c r="L26" s="173"/>
      <c r="M26" s="173"/>
      <c r="N26" s="172"/>
      <c r="O26" s="172"/>
      <c r="P26" s="172"/>
      <c r="Q26" s="70"/>
      <c r="R26" s="3"/>
      <c r="S26" s="173" t="str">
        <f>IF(T25="","",T25*1.2)</f>
        <v/>
      </c>
      <c r="T26" s="173"/>
      <c r="U26" s="3"/>
      <c r="V26" s="3"/>
      <c r="W26" s="3"/>
      <c r="X26" s="3"/>
      <c r="Y26" s="4" t="str">
        <f>IF(SUM(V26,W26,X26)&gt;0,SUM(V26,W26,X26),"")</f>
        <v/>
      </c>
      <c r="Z26" s="3" t="str">
        <f>IF(AE25&gt;34,(IF(OR(S26="",V26="",W26="",X26=""),"",SUM(S26,V26,W26,X26))*AI25),IF(OR(S26="",V26="",W26="",X26=""),"", SUM(S26,V26,W26,X26)))</f>
        <v/>
      </c>
      <c r="AA26" s="3"/>
      <c r="AB26" s="66"/>
      <c r="AC26" s="71"/>
      <c r="AD26" s="6"/>
      <c r="AE26" s="61"/>
      <c r="AF26" s="62"/>
      <c r="AG26" s="44"/>
      <c r="AH26" s="63"/>
      <c r="AI26" s="63"/>
      <c r="AJ26" s="64"/>
      <c r="AK26" s="44"/>
    </row>
    <row r="27" spans="1:37" ht="19.5" customHeight="1">
      <c r="A27" s="44"/>
      <c r="B27" s="83"/>
      <c r="C27" s="93"/>
      <c r="D27" s="78"/>
      <c r="E27" s="94"/>
      <c r="F27" s="95"/>
      <c r="G27" s="85"/>
      <c r="H27" s="84"/>
      <c r="I27" s="87"/>
      <c r="J27" s="87"/>
      <c r="K27" s="96"/>
      <c r="L27" s="97"/>
      <c r="M27" s="97"/>
      <c r="N27" s="97"/>
      <c r="O27" s="98"/>
      <c r="P27" s="98"/>
      <c r="Q27" s="75" t="str">
        <f>IF(MAX(K27:M27)&gt;0,IF(MAX(K27:M27)&lt;0,0,TRUNC(MAX(K27:M27)/1)*1),"")</f>
        <v/>
      </c>
      <c r="R27" s="76" t="str">
        <f>IF(MAX(N27:P27)&gt;0,IF(MAX(N27:P27)&lt;0,0,TRUNC(MAX(N27:P27)/1)*1),"")</f>
        <v/>
      </c>
      <c r="S27" s="74" t="str">
        <f>IF(Q27="","",IF(R27="","",IF(SUM(Q27:R27)=0,"",SUM(Q27:R27))))</f>
        <v/>
      </c>
      <c r="T27" s="77" t="str">
        <f>IF(S27="","",IF(D27="","",IF((AD27="k"),IF(D27&gt;153.757,S27,IF(C27&lt;28,10^(0.0787004341*LOG10(28/153.757)^2)*S27,10^(0.787004341*LOG10(D27/153.757)^2)*S27)),IF(D27&gt;193.609,S27,IF(D27&lt;32,10^(0.722762521*LOG10(32/193.609)^2)*S27,10^(0.722762521*LOG10(D27/193.609)^2)*S27)))))</f>
        <v/>
      </c>
      <c r="U27" s="78" t="str">
        <f>IF(AF27=1,T27*AI27,"")</f>
        <v/>
      </c>
      <c r="V27" s="79"/>
      <c r="W27" s="79"/>
      <c r="X27" s="79"/>
      <c r="Y27" s="80"/>
      <c r="Z27" s="78"/>
      <c r="AA27" s="78"/>
      <c r="AB27" s="81"/>
      <c r="AC27" s="71">
        <f>U5</f>
        <v>46263</v>
      </c>
      <c r="AD27" s="60" t="b">
        <f>IF(ISNUMBER(FIND("M",E27)),"m",IF(ISNUMBER(FIND("K",E27)),"k"))</f>
        <v>0</v>
      </c>
      <c r="AE27" s="92">
        <f>IF(OR(G27="",AC27=""),0,(YEAR(AC27)-YEAR(G27)))</f>
        <v>0</v>
      </c>
      <c r="AF27" s="62">
        <f>IF(AE27&gt;34,1,0)</f>
        <v>0</v>
      </c>
      <c r="AG27" s="44" t="b">
        <f>IF(AF27=1,LOOKUP(AE27,'Meltzer-Faber'!A3:A63,'Meltzer-Faber'!B3:B63))</f>
        <v>0</v>
      </c>
      <c r="AH27" s="63" t="b">
        <f>IF(AF27=1,LOOKUP(AE27,'Meltzer-Faber'!A3:A63,'Meltzer-Faber'!C3:C63))</f>
        <v>0</v>
      </c>
      <c r="AI27" s="63" t="str">
        <f>IF(AD27="m",AG27,IF(AD27="k",AH27,""))</f>
        <v/>
      </c>
      <c r="AJ27" s="64" t="str">
        <f>IF(D27="","",IF(D27&gt;193.609,1,IF(D27&lt;32,10^(0.722762521*LOG10(32/193.609)^2),10^(0.722762521*LOG10(D27/193.609)^2))))</f>
        <v/>
      </c>
      <c r="AK27" s="44"/>
    </row>
    <row r="28" spans="1:37" ht="19.5" customHeight="1">
      <c r="A28" s="44"/>
      <c r="B28" s="82"/>
      <c r="C28" s="99"/>
      <c r="D28" s="3"/>
      <c r="E28" s="66"/>
      <c r="F28" s="66"/>
      <c r="G28" s="67"/>
      <c r="H28" s="67"/>
      <c r="I28" s="69"/>
      <c r="J28" s="69"/>
      <c r="K28" s="172"/>
      <c r="L28" s="172"/>
      <c r="M28" s="172"/>
      <c r="N28" s="172"/>
      <c r="O28" s="172"/>
      <c r="P28" s="172"/>
      <c r="Q28" s="70"/>
      <c r="R28" s="3"/>
      <c r="S28" s="173" t="str">
        <f>IF(T27="","",T27*1.2)</f>
        <v/>
      </c>
      <c r="T28" s="173"/>
      <c r="U28" s="3"/>
      <c r="V28" s="3"/>
      <c r="W28" s="3"/>
      <c r="X28" s="3"/>
      <c r="Y28" s="4" t="str">
        <f>IF(SUM(V28,W28,X28)&gt;0,SUM(V28,W28,X28),"")</f>
        <v/>
      </c>
      <c r="Z28" s="3" t="str">
        <f>IF(AE27&gt;34,(IF(OR(S28="",V28="",W28="",X28=""),"",SUM(S28,V28,W28,X28))*AI27),IF(OR(S28="",V28="",W28="",X28=""),"", SUM(S28,V28,W28,X28)))</f>
        <v/>
      </c>
      <c r="AA28" s="3"/>
      <c r="AB28" s="66"/>
      <c r="AC28" s="71"/>
      <c r="AD28" s="6"/>
      <c r="AE28" s="61"/>
      <c r="AF28" s="62"/>
      <c r="AG28" s="44"/>
      <c r="AH28" s="63"/>
      <c r="AI28" s="63"/>
      <c r="AJ28" s="64"/>
      <c r="AK28" s="44"/>
    </row>
    <row r="29" spans="1:37" ht="19.5" customHeight="1">
      <c r="A29" s="44"/>
      <c r="B29" s="83"/>
      <c r="C29" s="93"/>
      <c r="D29" s="78"/>
      <c r="E29" s="94"/>
      <c r="F29" s="95"/>
      <c r="G29" s="85"/>
      <c r="H29" s="84"/>
      <c r="I29" s="87"/>
      <c r="J29" s="87"/>
      <c r="K29" s="96"/>
      <c r="L29" s="97"/>
      <c r="M29" s="97"/>
      <c r="N29" s="97"/>
      <c r="O29" s="98"/>
      <c r="P29" s="98"/>
      <c r="Q29" s="75" t="str">
        <f>IF(MAX(K29:M29)&gt;0,IF(MAX(K29:M29)&lt;0,0,TRUNC(MAX(K29:M29)/1)*1),"")</f>
        <v/>
      </c>
      <c r="R29" s="76" t="str">
        <f>IF(MAX(N29:P29)&gt;0,IF(MAX(N29:P29)&lt;0,0,TRUNC(MAX(N29:P29)/1)*1),"")</f>
        <v/>
      </c>
      <c r="S29" s="74" t="str">
        <f>IF(Q29="","",IF(R29="","",IF(SUM(Q29:R29)=0,"",SUM(Q29:R29))))</f>
        <v/>
      </c>
      <c r="T29" s="77" t="str">
        <f>IF(S29="","",IF(D29="","",IF((AD29="k"),IF(D29&gt;153.757,S29,IF(C29&lt;28,10^(0.0787004341*LOG10(28/153.757)^2)*S29,10^(0.787004341*LOG10(D29/153.757)^2)*S29)),IF(D29&gt;193.609,S29,IF(D29&lt;32,10^(0.722762521*LOG10(32/193.609)^2)*S29,10^(0.722762521*LOG10(D29/193.609)^2)*S29)))))</f>
        <v/>
      </c>
      <c r="U29" s="78" t="str">
        <f>IF(AF29=1,T29*AI29,"")</f>
        <v/>
      </c>
      <c r="V29" s="79"/>
      <c r="W29" s="79"/>
      <c r="X29" s="79"/>
      <c r="Y29" s="80"/>
      <c r="Z29" s="78"/>
      <c r="AA29" s="78"/>
      <c r="AB29" s="81"/>
      <c r="AC29" s="71">
        <f>U5</f>
        <v>46263</v>
      </c>
      <c r="AD29" s="60" t="b">
        <f>IF(ISNUMBER(FIND("M",E29)),"m",IF(ISNUMBER(FIND("K",E29)),"k"))</f>
        <v>0</v>
      </c>
      <c r="AE29" s="92">
        <f>IF(OR(G29="",AC29=""),0,(YEAR(AC29)-YEAR(G29)))</f>
        <v>0</v>
      </c>
      <c r="AF29" s="62">
        <f>IF(AE29&gt;34,1,0)</f>
        <v>0</v>
      </c>
      <c r="AG29" s="44" t="b">
        <f>IF(AF29=1,LOOKUP(AE29,'Meltzer-Faber'!A3:A63,'Meltzer-Faber'!B3:B63))</f>
        <v>0</v>
      </c>
      <c r="AH29" s="63" t="b">
        <f>IF(AF29=1,LOOKUP(AE29,'Meltzer-Faber'!A3:A63,'Meltzer-Faber'!C3:C63))</f>
        <v>0</v>
      </c>
      <c r="AI29" s="63" t="str">
        <f>IF(AD29="m",AG29,IF(AD29="k",AH29,""))</f>
        <v/>
      </c>
      <c r="AJ29" s="64" t="str">
        <f>IF(D29="","",IF(D29&gt;193.609,1,IF(D29&lt;32,10^(0.722762521*LOG10(32/193.609)^2),10^(0.722762521*LOG10(D29/193.609)^2))))</f>
        <v/>
      </c>
      <c r="AK29" s="44"/>
    </row>
    <row r="30" spans="1:37" ht="19.5" customHeight="1">
      <c r="A30" s="44"/>
      <c r="B30" s="82"/>
      <c r="C30" s="99"/>
      <c r="D30" s="3"/>
      <c r="E30" s="66"/>
      <c r="F30" s="66"/>
      <c r="G30" s="67"/>
      <c r="H30" s="67"/>
      <c r="I30" s="69"/>
      <c r="J30" s="69"/>
      <c r="K30" s="172"/>
      <c r="L30" s="172"/>
      <c r="M30" s="172"/>
      <c r="N30" s="172"/>
      <c r="O30" s="172"/>
      <c r="P30" s="172"/>
      <c r="Q30" s="70"/>
      <c r="R30" s="3"/>
      <c r="S30" s="173" t="str">
        <f>IF(T29="","",T29*1.2)</f>
        <v/>
      </c>
      <c r="T30" s="173"/>
      <c r="U30" s="3"/>
      <c r="V30" s="3"/>
      <c r="W30" s="3"/>
      <c r="X30" s="3"/>
      <c r="Y30" s="4" t="str">
        <f>IF(SUM(V30,W30,X30)&gt;0,SUM(V30,W30,X30),"")</f>
        <v/>
      </c>
      <c r="Z30" s="3" t="str">
        <f>IF(AE29&gt;34,(IF(OR(S30="",V30="",W30="",X30=""),"",SUM(S30,V30,W30,X30))*AI29),IF(OR(S30="",V30="",W30="",X30=""),"", SUM(S30,V30,W30,X30)))</f>
        <v/>
      </c>
      <c r="AA30" s="3"/>
      <c r="AB30" s="66"/>
      <c r="AC30" s="71"/>
      <c r="AD30" s="6"/>
      <c r="AE30" s="61"/>
      <c r="AF30" s="62"/>
      <c r="AG30" s="44"/>
      <c r="AH30" s="63"/>
      <c r="AI30" s="63"/>
      <c r="AJ30" s="64"/>
      <c r="AK30" s="44"/>
    </row>
    <row r="31" spans="1:37" ht="19.5" customHeight="1">
      <c r="A31" s="44"/>
      <c r="B31" s="83"/>
      <c r="C31" s="93"/>
      <c r="D31" s="78"/>
      <c r="E31" s="94"/>
      <c r="F31" s="95"/>
      <c r="G31" s="85"/>
      <c r="H31" s="84"/>
      <c r="I31" s="87"/>
      <c r="J31" s="87"/>
      <c r="K31" s="96"/>
      <c r="L31" s="97"/>
      <c r="M31" s="97"/>
      <c r="N31" s="97"/>
      <c r="O31" s="98"/>
      <c r="P31" s="98"/>
      <c r="Q31" s="75" t="str">
        <f>IF(MAX(K31:M31)&gt;0,IF(MAX(K31:M31)&lt;0,0,TRUNC(MAX(K31:M31)/1)*1),"")</f>
        <v/>
      </c>
      <c r="R31" s="76" t="str">
        <f>IF(MAX(N31:P31)&gt;0,IF(MAX(N31:P31)&lt;0,0,TRUNC(MAX(N31:P31)/1)*1),"")</f>
        <v/>
      </c>
      <c r="S31" s="74" t="str">
        <f>IF(Q31="","",IF(R31="","",IF(SUM(Q31:R31)=0,"",SUM(Q31:R31))))</f>
        <v/>
      </c>
      <c r="T31" s="77" t="str">
        <f>IF(S31="","",IF(D31="","",IF((AD31="k"),IF(D31&gt;153.757,S31,IF(C31&lt;28,10^(0.0787004341*LOG10(28/153.757)^2)*S31,10^(0.787004341*LOG10(D31/153.757)^2)*S31)),IF(D31&gt;193.609,S31,IF(D31&lt;32,10^(0.722762521*LOG10(32/193.609)^2)*S31,10^(0.722762521*LOG10(D31/193.609)^2)*S31)))))</f>
        <v/>
      </c>
      <c r="U31" s="78" t="str">
        <f>IF(AF31=1,T31*AI31,"")</f>
        <v/>
      </c>
      <c r="V31" s="79"/>
      <c r="W31" s="79"/>
      <c r="X31" s="79"/>
      <c r="Y31" s="80"/>
      <c r="Z31" s="78"/>
      <c r="AA31" s="78"/>
      <c r="AB31" s="81"/>
      <c r="AC31" s="71">
        <f>U5</f>
        <v>46263</v>
      </c>
      <c r="AD31" s="60" t="b">
        <f>IF(ISNUMBER(FIND("M",E31)),"m",IF(ISNUMBER(FIND("K",E31)),"k"))</f>
        <v>0</v>
      </c>
      <c r="AE31" s="92">
        <f>IF(OR(G31="",AC31=""),0,(YEAR(AC31)-YEAR(G31)))</f>
        <v>0</v>
      </c>
      <c r="AF31" s="62">
        <f>IF(AE31&gt;34,1,0)</f>
        <v>0</v>
      </c>
      <c r="AG31" s="44" t="b">
        <f>IF(AF31=1,LOOKUP(AE31,'Meltzer-Faber'!A3:A63,'Meltzer-Faber'!B3:B63))</f>
        <v>0</v>
      </c>
      <c r="AH31" s="63" t="b">
        <f>IF(AF31=1,LOOKUP(AE31,'Meltzer-Faber'!A3:A63,'Meltzer-Faber'!C3:C63))</f>
        <v>0</v>
      </c>
      <c r="AI31" s="63" t="str">
        <f>IF(AD31="m",AG31,IF(AD31="k",AH31,""))</f>
        <v/>
      </c>
      <c r="AJ31" s="64" t="str">
        <f>IF(D31="","",IF(D31&gt;193.609,1,IF(D31&lt;32,10^(0.722762521*LOG10(32/193.609)^2),10^(0.722762521*LOG10(D31/193.609)^2))))</f>
        <v/>
      </c>
      <c r="AK31" s="44"/>
    </row>
    <row r="32" spans="1:37" ht="19.5" customHeight="1">
      <c r="A32" s="44"/>
      <c r="B32" s="82"/>
      <c r="C32" s="99"/>
      <c r="D32" s="3"/>
      <c r="E32" s="66"/>
      <c r="F32" s="66"/>
      <c r="G32" s="67"/>
      <c r="H32" s="67"/>
      <c r="I32" s="69"/>
      <c r="J32" s="69"/>
      <c r="K32" s="172"/>
      <c r="L32" s="172"/>
      <c r="M32" s="172"/>
      <c r="N32" s="172"/>
      <c r="O32" s="172"/>
      <c r="P32" s="172"/>
      <c r="Q32" s="70"/>
      <c r="R32" s="3"/>
      <c r="S32" s="173" t="str">
        <f>IF(T31="","",T31*1.2)</f>
        <v/>
      </c>
      <c r="T32" s="173"/>
      <c r="U32" s="3"/>
      <c r="V32" s="3" t="str">
        <f>IF(V31&gt;0,V31*20,"")</f>
        <v/>
      </c>
      <c r="W32" s="3" t="str">
        <f>IF(W31="","",(W31*10)*AJ31)</f>
        <v/>
      </c>
      <c r="X32" s="3" t="str">
        <f>IF(ROUNDUP(X31,1)&gt;0,IF((80+(8-ROUNDUP(X31,1))*40)&lt;0,0,80+(8-ROUNDUP(X31,1))*40),"")</f>
        <v/>
      </c>
      <c r="Y32" s="4" t="str">
        <f>IF(SUM(V32,W32,X32)&gt;0,SUM(V32,W32,X32),"")</f>
        <v/>
      </c>
      <c r="Z32" s="3" t="str">
        <f>IF(AE31&gt;34,(IF(OR(S32="",V32="",W32="",X32=""),"",SUM(S32,V32,W32,X32))*AI31),IF(OR(S32="",V32="",W32="",X32=""),"", SUM(S32,V32,W32,X32)))</f>
        <v/>
      </c>
      <c r="AA32" s="3"/>
      <c r="AB32" s="66"/>
      <c r="AC32" s="71"/>
      <c r="AD32" s="6"/>
      <c r="AE32" s="61"/>
      <c r="AF32" s="62"/>
      <c r="AG32" s="44"/>
      <c r="AH32" s="63"/>
      <c r="AI32" s="63"/>
      <c r="AJ32" s="64"/>
      <c r="AK32" s="44"/>
    </row>
    <row r="33" spans="1:37" ht="18.75" customHeight="1">
      <c r="A33" s="114"/>
      <c r="B33" s="114"/>
      <c r="C33" s="114"/>
      <c r="D33" s="115"/>
      <c r="E33" s="116"/>
      <c r="F33" s="116"/>
      <c r="G33" s="116"/>
      <c r="H33" s="117"/>
      <c r="I33" s="114"/>
      <c r="J33" s="114"/>
      <c r="K33" s="118"/>
      <c r="L33" s="119"/>
      <c r="M33" s="118"/>
      <c r="N33" s="118" t="s">
        <v>101</v>
      </c>
      <c r="O33" s="118"/>
      <c r="P33" s="118"/>
      <c r="Q33" s="116"/>
      <c r="R33" s="116"/>
      <c r="S33" s="116"/>
      <c r="T33" s="120"/>
      <c r="U33" s="120"/>
      <c r="V33" s="120"/>
      <c r="W33" s="120"/>
      <c r="X33" s="120"/>
      <c r="Y33" s="120"/>
      <c r="Z33" s="120"/>
      <c r="AA33" s="120"/>
      <c r="AB33" s="120"/>
      <c r="AC33" s="6"/>
      <c r="AD33" s="121"/>
      <c r="AE33" s="122">
        <f>(YEAR(AC33)-YEAR(G33))</f>
        <v>0</v>
      </c>
      <c r="AF33" s="62">
        <f>IF(AE35&gt;34,1,0)</f>
        <v>0</v>
      </c>
      <c r="AG33" s="114"/>
      <c r="AH33" s="117"/>
      <c r="AI33" s="117"/>
      <c r="AJ33" s="114"/>
      <c r="AK33" s="114"/>
    </row>
    <row r="34" spans="1:37" ht="21" customHeight="1">
      <c r="A34" s="114"/>
      <c r="B34" s="114"/>
      <c r="C34" s="114"/>
      <c r="D34" s="115"/>
      <c r="E34" s="116"/>
      <c r="F34" s="116"/>
      <c r="G34" s="116"/>
      <c r="H34" s="117"/>
      <c r="I34" s="114"/>
      <c r="J34" s="114"/>
      <c r="K34" s="118"/>
      <c r="L34" s="119"/>
      <c r="M34" s="118"/>
      <c r="N34" s="118"/>
      <c r="O34" s="118"/>
      <c r="P34" s="118"/>
      <c r="Q34" s="116"/>
      <c r="R34" s="116"/>
      <c r="S34" s="116"/>
      <c r="T34" s="120"/>
      <c r="U34" s="120"/>
      <c r="V34" s="120"/>
      <c r="W34" s="120"/>
      <c r="X34" s="120"/>
      <c r="Y34" s="120"/>
      <c r="Z34" s="120"/>
      <c r="AA34" s="120"/>
      <c r="AB34" s="120"/>
      <c r="AC34" s="6"/>
      <c r="AD34" s="121"/>
      <c r="AE34" s="122"/>
      <c r="AF34" s="62"/>
      <c r="AG34" s="114"/>
      <c r="AH34" s="117"/>
      <c r="AI34" s="117"/>
      <c r="AJ34" s="114"/>
      <c r="AK34" s="114"/>
    </row>
    <row r="35" spans="1:37" ht="22.5" customHeight="1">
      <c r="B35" s="166" t="s">
        <v>102</v>
      </c>
      <c r="C35" s="166"/>
      <c r="D35" s="123" t="s">
        <v>14</v>
      </c>
      <c r="E35" s="166" t="s">
        <v>21</v>
      </c>
      <c r="F35" s="166"/>
      <c r="G35" s="166"/>
      <c r="H35" s="166"/>
      <c r="I35" s="2" t="s">
        <v>103</v>
      </c>
      <c r="J35" s="124"/>
      <c r="K35" s="166" t="s">
        <v>102</v>
      </c>
      <c r="L35" s="166"/>
      <c r="M35" s="166"/>
      <c r="N35" s="1" t="s">
        <v>14</v>
      </c>
      <c r="O35" s="167" t="s">
        <v>21</v>
      </c>
      <c r="P35" s="167"/>
      <c r="Q35" s="167"/>
      <c r="R35" s="167"/>
      <c r="S35" s="167" t="s">
        <v>103</v>
      </c>
      <c r="T35" s="167"/>
      <c r="U35" s="12"/>
      <c r="V35" s="12"/>
      <c r="W35" s="12"/>
      <c r="X35" s="12"/>
      <c r="Y35" s="12"/>
      <c r="Z35" s="12"/>
      <c r="AA35" s="12"/>
      <c r="AB35" s="12"/>
      <c r="AF35" s="6"/>
      <c r="AH35" s="125"/>
      <c r="AI35" s="125"/>
    </row>
    <row r="36" spans="1:37" ht="19.5" customHeight="1">
      <c r="A36" s="16"/>
      <c r="B36" s="168" t="s">
        <v>104</v>
      </c>
      <c r="C36" s="168"/>
      <c r="D36" s="126" t="s">
        <v>105</v>
      </c>
      <c r="E36" s="169" t="s">
        <v>106</v>
      </c>
      <c r="F36" s="169"/>
      <c r="G36" s="169"/>
      <c r="H36" s="169"/>
      <c r="I36" s="127" t="s">
        <v>107</v>
      </c>
      <c r="K36" s="168" t="s">
        <v>108</v>
      </c>
      <c r="L36" s="168"/>
      <c r="M36" s="168"/>
      <c r="N36" s="128" t="s">
        <v>109</v>
      </c>
      <c r="O36" s="170" t="s">
        <v>110</v>
      </c>
      <c r="P36" s="170"/>
      <c r="Q36" s="170"/>
      <c r="R36" s="170"/>
      <c r="S36" s="171" t="s">
        <v>96</v>
      </c>
      <c r="T36" s="171"/>
      <c r="U36" s="16"/>
      <c r="V36" s="16"/>
      <c r="W36" s="16"/>
      <c r="X36" s="16"/>
      <c r="Y36" s="16"/>
      <c r="Z36" s="16"/>
      <c r="AA36" s="16"/>
      <c r="AB36" s="16"/>
      <c r="AC36" s="16"/>
      <c r="AD36" s="16"/>
      <c r="AE36" s="16"/>
      <c r="AF36" s="6"/>
      <c r="AG36" s="16"/>
      <c r="AH36" s="21"/>
      <c r="AI36" s="21"/>
      <c r="AJ36" s="16"/>
      <c r="AK36" s="16"/>
    </row>
    <row r="37" spans="1:37" ht="21" customHeight="1">
      <c r="A37" s="16"/>
      <c r="B37" s="162" t="s">
        <v>111</v>
      </c>
      <c r="C37" s="162"/>
      <c r="D37" s="129" t="s">
        <v>173</v>
      </c>
      <c r="E37" s="163" t="s">
        <v>174</v>
      </c>
      <c r="F37" s="163"/>
      <c r="G37" s="163"/>
      <c r="H37" s="163"/>
      <c r="I37" s="130" t="s">
        <v>96</v>
      </c>
      <c r="K37" s="162" t="s">
        <v>115</v>
      </c>
      <c r="L37" s="162"/>
      <c r="M37" s="162"/>
      <c r="N37" s="131" t="s">
        <v>116</v>
      </c>
      <c r="O37" s="164" t="s">
        <v>117</v>
      </c>
      <c r="P37" s="164"/>
      <c r="Q37" s="164"/>
      <c r="R37" s="164"/>
      <c r="S37" s="165" t="s">
        <v>54</v>
      </c>
      <c r="T37" s="165"/>
      <c r="U37" s="16"/>
      <c r="V37" s="16"/>
      <c r="W37" s="16"/>
      <c r="X37" s="16"/>
      <c r="Y37" s="16"/>
      <c r="Z37" s="16"/>
      <c r="AA37" s="16"/>
      <c r="AB37" s="16"/>
      <c r="AC37" s="16"/>
      <c r="AD37" s="16"/>
      <c r="AE37" s="16"/>
      <c r="AF37" s="16"/>
      <c r="AG37" s="16"/>
      <c r="AH37" s="21"/>
      <c r="AI37" s="21"/>
      <c r="AJ37" s="16"/>
      <c r="AK37" s="16"/>
    </row>
    <row r="38" spans="1:37" ht="18.75" customHeight="1">
      <c r="A38" s="16"/>
      <c r="B38" s="162" t="s">
        <v>111</v>
      </c>
      <c r="C38" s="162"/>
      <c r="D38" s="129" t="s">
        <v>207</v>
      </c>
      <c r="E38" s="163" t="s">
        <v>208</v>
      </c>
      <c r="F38" s="163"/>
      <c r="G38" s="163"/>
      <c r="H38" s="163"/>
      <c r="I38" s="130" t="s">
        <v>124</v>
      </c>
      <c r="K38" s="162" t="s">
        <v>120</v>
      </c>
      <c r="L38" s="162"/>
      <c r="M38" s="162"/>
      <c r="N38" s="131"/>
      <c r="O38" s="164"/>
      <c r="P38" s="164"/>
      <c r="Q38" s="164"/>
      <c r="R38" s="164"/>
      <c r="S38" s="165"/>
      <c r="T38" s="165"/>
      <c r="U38" s="16"/>
      <c r="V38" s="16" t="s">
        <v>121</v>
      </c>
      <c r="W38" s="16"/>
      <c r="X38" s="16"/>
      <c r="Y38" s="16"/>
      <c r="Z38" s="16"/>
      <c r="AA38" s="16"/>
      <c r="AB38" s="16"/>
      <c r="AC38" s="16"/>
      <c r="AD38" s="16"/>
      <c r="AE38" s="16"/>
      <c r="AF38" s="16"/>
      <c r="AG38" s="16"/>
      <c r="AH38" s="21"/>
      <c r="AI38" s="21"/>
      <c r="AJ38" s="16"/>
      <c r="AK38" s="16"/>
    </row>
    <row r="39" spans="1:37" ht="21" customHeight="1">
      <c r="A39" s="16"/>
      <c r="B39" s="162" t="s">
        <v>111</v>
      </c>
      <c r="C39" s="162"/>
      <c r="D39" s="129" t="s">
        <v>209</v>
      </c>
      <c r="E39" s="163" t="s">
        <v>210</v>
      </c>
      <c r="F39" s="163"/>
      <c r="G39" s="163"/>
      <c r="H39" s="163"/>
      <c r="I39" s="130" t="s">
        <v>96</v>
      </c>
      <c r="K39" s="162" t="s">
        <v>125</v>
      </c>
      <c r="L39" s="162"/>
      <c r="M39" s="162"/>
      <c r="N39" s="131"/>
      <c r="O39" s="164"/>
      <c r="P39" s="164"/>
      <c r="Q39" s="164"/>
      <c r="R39" s="164"/>
      <c r="S39" s="165"/>
      <c r="T39" s="165"/>
      <c r="U39" s="16"/>
      <c r="V39" s="16"/>
      <c r="W39" s="16"/>
      <c r="X39" s="16"/>
      <c r="Y39" s="16"/>
      <c r="Z39" s="16"/>
      <c r="AA39" s="16"/>
      <c r="AB39" s="16"/>
      <c r="AC39" s="16"/>
      <c r="AD39" s="16" t="s">
        <v>101</v>
      </c>
      <c r="AE39" s="16"/>
      <c r="AF39" s="16"/>
      <c r="AG39" s="16"/>
      <c r="AH39" s="21"/>
      <c r="AI39" s="21"/>
      <c r="AJ39" s="16"/>
      <c r="AK39" s="16"/>
    </row>
    <row r="40" spans="1:37" ht="19.5" customHeight="1">
      <c r="A40" s="16"/>
      <c r="B40" s="162" t="s">
        <v>111</v>
      </c>
      <c r="C40" s="162"/>
      <c r="D40" s="129"/>
      <c r="E40" s="163"/>
      <c r="F40" s="163"/>
      <c r="G40" s="163"/>
      <c r="H40" s="163"/>
      <c r="I40" s="130"/>
      <c r="K40" s="162" t="s">
        <v>126</v>
      </c>
      <c r="L40" s="162"/>
      <c r="M40" s="162"/>
      <c r="N40" s="131"/>
      <c r="O40" s="164"/>
      <c r="P40" s="164"/>
      <c r="Q40" s="164"/>
      <c r="R40" s="164"/>
      <c r="S40" s="165"/>
      <c r="T40" s="165"/>
      <c r="U40" s="16"/>
      <c r="V40" s="16"/>
      <c r="W40" s="16"/>
      <c r="X40" s="16"/>
      <c r="Y40" s="16"/>
      <c r="Z40" s="16"/>
      <c r="AA40" s="16"/>
      <c r="AB40" s="16"/>
      <c r="AC40" s="16"/>
      <c r="AD40" s="16"/>
      <c r="AE40" s="16"/>
      <c r="AF40" s="16"/>
      <c r="AG40" s="16"/>
      <c r="AH40" s="21"/>
      <c r="AI40" s="21"/>
      <c r="AJ40" s="16"/>
      <c r="AK40" s="16"/>
    </row>
    <row r="41" spans="1:37" ht="18.75" customHeight="1">
      <c r="B41" s="162" t="s">
        <v>111</v>
      </c>
      <c r="C41" s="162"/>
      <c r="D41" s="129"/>
      <c r="E41" s="163"/>
      <c r="F41" s="163"/>
      <c r="G41" s="163"/>
      <c r="H41" s="163"/>
      <c r="I41" s="130"/>
      <c r="J41" s="5"/>
      <c r="K41" s="162" t="s">
        <v>126</v>
      </c>
      <c r="L41" s="162"/>
      <c r="M41" s="162"/>
      <c r="N41" s="131"/>
      <c r="O41" s="164"/>
      <c r="P41" s="164"/>
      <c r="Q41" s="164"/>
      <c r="R41" s="164"/>
      <c r="S41" s="165"/>
      <c r="T41" s="165"/>
      <c r="U41" s="5"/>
      <c r="V41" s="5"/>
      <c r="W41" s="5"/>
      <c r="X41" s="5"/>
      <c r="Y41" s="5"/>
      <c r="Z41" s="5"/>
      <c r="AA41" s="5"/>
      <c r="AB41" s="5"/>
    </row>
    <row r="42" spans="1:37" ht="19.5" customHeight="1">
      <c r="B42" s="162" t="s">
        <v>127</v>
      </c>
      <c r="C42" s="162"/>
      <c r="D42" s="129" t="s">
        <v>211</v>
      </c>
      <c r="E42" s="163" t="s">
        <v>212</v>
      </c>
      <c r="F42" s="163"/>
      <c r="G42" s="163"/>
      <c r="H42" s="163"/>
      <c r="I42" s="130" t="s">
        <v>159</v>
      </c>
      <c r="J42" s="5"/>
      <c r="K42" s="162" t="s">
        <v>126</v>
      </c>
      <c r="L42" s="162"/>
      <c r="M42" s="162"/>
      <c r="N42" s="131"/>
      <c r="O42" s="164"/>
      <c r="P42" s="164"/>
      <c r="Q42" s="164"/>
      <c r="R42" s="164"/>
      <c r="S42" s="165"/>
      <c r="T42" s="165"/>
      <c r="U42" s="5"/>
      <c r="V42" s="5"/>
      <c r="W42" s="5"/>
      <c r="X42" s="5"/>
      <c r="Y42" s="5"/>
      <c r="Z42" s="5"/>
      <c r="AA42" s="5"/>
      <c r="AB42" s="5"/>
    </row>
    <row r="43" spans="1:37" ht="19.5" customHeight="1">
      <c r="B43" s="156"/>
      <c r="C43" s="156"/>
      <c r="D43" s="132"/>
      <c r="E43" s="157"/>
      <c r="F43" s="157"/>
      <c r="G43" s="157"/>
      <c r="H43" s="157"/>
      <c r="I43" s="133"/>
      <c r="J43" s="5"/>
      <c r="K43" s="156" t="s">
        <v>126</v>
      </c>
      <c r="L43" s="156"/>
      <c r="M43" s="156"/>
      <c r="N43" s="134"/>
      <c r="O43" s="158"/>
      <c r="P43" s="158"/>
      <c r="Q43" s="158"/>
      <c r="R43" s="158"/>
      <c r="S43" s="159"/>
      <c r="T43" s="159"/>
      <c r="U43" s="5"/>
      <c r="V43" s="5"/>
      <c r="W43" s="5"/>
      <c r="X43" s="5"/>
      <c r="Y43" s="5"/>
      <c r="Z43" s="5"/>
      <c r="AA43" s="5"/>
      <c r="AB43" s="5"/>
    </row>
    <row r="44" spans="1:37" ht="18.75" customHeight="1">
      <c r="B44" s="160"/>
      <c r="C44" s="160"/>
      <c r="D44" s="161"/>
      <c r="E44" s="161"/>
      <c r="F44" s="135"/>
      <c r="G44" s="161"/>
      <c r="H44" s="161"/>
      <c r="I44" s="161"/>
      <c r="J44" s="5"/>
      <c r="K44" s="161"/>
      <c r="L44" s="161"/>
      <c r="M44" s="161"/>
      <c r="N44" s="161"/>
      <c r="O44" s="161"/>
      <c r="P44" s="161"/>
      <c r="Q44" s="161"/>
      <c r="R44" s="161"/>
      <c r="S44" s="161"/>
      <c r="T44" s="161"/>
      <c r="U44" s="5"/>
      <c r="V44" s="5"/>
      <c r="W44" s="5"/>
      <c r="X44" s="5"/>
      <c r="Y44" s="5"/>
      <c r="Z44" s="5"/>
      <c r="AA44" s="5"/>
      <c r="AB44" s="5"/>
    </row>
    <row r="45" spans="1:37" ht="18" customHeight="1">
      <c r="B45" s="153" t="s">
        <v>130</v>
      </c>
      <c r="C45" s="153"/>
      <c r="D45" s="153"/>
      <c r="E45" s="153"/>
      <c r="F45" s="153"/>
      <c r="G45" s="153"/>
      <c r="H45" s="153"/>
      <c r="I45" s="153"/>
      <c r="J45" s="153"/>
      <c r="K45" s="153"/>
      <c r="L45" s="153"/>
      <c r="M45" s="153"/>
      <c r="N45" s="153"/>
      <c r="O45" s="153"/>
      <c r="P45" s="153"/>
      <c r="Q45" s="153"/>
      <c r="R45" s="153"/>
      <c r="S45" s="153"/>
      <c r="T45" s="153"/>
      <c r="U45" s="5"/>
      <c r="V45" s="5"/>
      <c r="W45" s="5"/>
      <c r="X45" s="5"/>
      <c r="Y45" s="5"/>
      <c r="Z45" s="5"/>
      <c r="AA45" s="5"/>
      <c r="AB45" s="5"/>
    </row>
    <row r="46" spans="1:37" ht="18" customHeight="1">
      <c r="B46" s="154" t="s">
        <v>213</v>
      </c>
      <c r="C46" s="154"/>
      <c r="D46" s="154"/>
      <c r="E46" s="154"/>
      <c r="F46" s="154"/>
      <c r="G46" s="154"/>
      <c r="H46" s="154"/>
      <c r="I46" s="154"/>
      <c r="J46" s="154"/>
      <c r="K46" s="154"/>
      <c r="L46" s="154"/>
      <c r="M46" s="154"/>
      <c r="N46" s="154"/>
      <c r="O46" s="154"/>
      <c r="P46" s="154"/>
      <c r="Q46" s="154"/>
      <c r="R46" s="154"/>
      <c r="S46" s="154"/>
      <c r="T46" s="154"/>
      <c r="U46" s="5"/>
      <c r="V46" s="5"/>
      <c r="W46" s="5"/>
      <c r="X46" s="5"/>
      <c r="Y46" s="5"/>
      <c r="Z46" s="5"/>
      <c r="AA46" s="5"/>
      <c r="AB46" s="5"/>
    </row>
    <row r="47" spans="1:37" ht="13.5" customHeight="1">
      <c r="B47" s="6"/>
      <c r="D47" s="136"/>
      <c r="E47" s="16"/>
      <c r="F47" s="16"/>
      <c r="G47" s="136"/>
      <c r="H47" s="16"/>
      <c r="I47" s="124"/>
      <c r="J47" s="16"/>
      <c r="K47" s="16"/>
      <c r="L47" s="16"/>
      <c r="M47" s="16"/>
      <c r="N47" s="16"/>
      <c r="O47" s="16"/>
      <c r="P47" s="16"/>
      <c r="Q47" s="16"/>
      <c r="R47" s="16"/>
      <c r="S47" s="16"/>
      <c r="T47" s="16"/>
      <c r="U47" s="16"/>
      <c r="V47" s="16"/>
      <c r="W47" s="16"/>
      <c r="X47" s="16"/>
      <c r="Y47" s="16"/>
      <c r="Z47" s="16"/>
      <c r="AA47" s="16"/>
    </row>
    <row r="48" spans="1:37" ht="13.5" customHeight="1">
      <c r="B48" s="137"/>
      <c r="C48" s="137"/>
      <c r="D48" s="138"/>
      <c r="E48" s="139"/>
      <c r="F48" s="139"/>
      <c r="G48" s="140"/>
      <c r="H48" s="141"/>
      <c r="I48" s="5"/>
      <c r="J48" s="16"/>
      <c r="K48" s="16"/>
      <c r="L48" s="16"/>
      <c r="M48" s="16"/>
      <c r="N48" s="16"/>
      <c r="O48" s="16"/>
      <c r="P48" s="16"/>
      <c r="Q48" s="16"/>
      <c r="R48" s="16"/>
      <c r="S48" s="16"/>
      <c r="T48" s="16"/>
      <c r="U48" s="16"/>
      <c r="V48" s="16"/>
      <c r="W48" s="16"/>
      <c r="X48" s="16"/>
      <c r="Y48" s="16"/>
      <c r="Z48" s="16"/>
      <c r="AA48" s="16"/>
    </row>
    <row r="49" spans="5:7" ht="15"/>
    <row r="50" spans="5:7" ht="12.75" customHeight="1">
      <c r="E50" s="155"/>
      <c r="F50" s="155"/>
      <c r="G50" s="155"/>
    </row>
    <row r="51" spans="5:7" ht="15"/>
    <row r="52" spans="5:7" ht="15"/>
    <row r="53" spans="5:7" ht="15"/>
    <row r="54" spans="5:7" ht="15"/>
    <row r="55" spans="5:7" ht="15"/>
    <row r="56" spans="5:7" ht="15"/>
    <row r="57" spans="5:7" ht="15"/>
    <row r="58" spans="5:7" ht="15"/>
    <row r="59" spans="5:7" ht="15"/>
    <row r="60" spans="5:7" ht="15"/>
    <row r="61" spans="5:7" ht="15"/>
    <row r="62" spans="5:7" ht="15"/>
    <row r="63" spans="5:7" ht="15"/>
    <row r="64" spans="5:7" ht="15"/>
    <row r="65" ht="15"/>
    <row r="66" ht="15"/>
    <row r="67" ht="15"/>
    <row r="68" ht="15"/>
    <row r="69" ht="15"/>
    <row r="70" ht="15"/>
    <row r="71" ht="15"/>
    <row r="72" ht="15"/>
    <row r="73" ht="15"/>
    <row r="74" ht="15"/>
    <row r="75" ht="15"/>
    <row r="76" ht="15"/>
    <row r="77" ht="15"/>
    <row r="78" ht="15"/>
    <row r="79" ht="15"/>
    <row r="80" ht="15"/>
  </sheetData>
  <mergeCells count="102">
    <mergeCell ref="G2:R2"/>
    <mergeCell ref="G3:R3"/>
    <mergeCell ref="D5:I5"/>
    <mergeCell ref="K5:N5"/>
    <mergeCell ref="P5:S5"/>
    <mergeCell ref="U5:V5"/>
    <mergeCell ref="AJ6:AJ7"/>
    <mergeCell ref="B7:B8"/>
    <mergeCell ref="C7:C8"/>
    <mergeCell ref="D7:D8"/>
    <mergeCell ref="E7:E8"/>
    <mergeCell ref="F7:F8"/>
    <mergeCell ref="K10:M10"/>
    <mergeCell ref="N10:P10"/>
    <mergeCell ref="S10:T10"/>
    <mergeCell ref="K12:M12"/>
    <mergeCell ref="N12:P12"/>
    <mergeCell ref="S12:T12"/>
    <mergeCell ref="K14:M14"/>
    <mergeCell ref="N14:P14"/>
    <mergeCell ref="S14:T14"/>
    <mergeCell ref="K16:M16"/>
    <mergeCell ref="N16:P16"/>
    <mergeCell ref="S16:T16"/>
    <mergeCell ref="K18:M18"/>
    <mergeCell ref="N18:P18"/>
    <mergeCell ref="S18:T18"/>
    <mergeCell ref="K20:M20"/>
    <mergeCell ref="N20:P20"/>
    <mergeCell ref="S20:T20"/>
    <mergeCell ref="K22:M22"/>
    <mergeCell ref="N22:P22"/>
    <mergeCell ref="S22:T22"/>
    <mergeCell ref="K24:M24"/>
    <mergeCell ref="N24:P24"/>
    <mergeCell ref="S24:T24"/>
    <mergeCell ref="K26:M26"/>
    <mergeCell ref="N26:P26"/>
    <mergeCell ref="S26:T26"/>
    <mergeCell ref="K28:M28"/>
    <mergeCell ref="N28:P28"/>
    <mergeCell ref="S28:T28"/>
    <mergeCell ref="K30:M30"/>
    <mergeCell ref="N30:P30"/>
    <mergeCell ref="S30:T30"/>
    <mergeCell ref="K32:M32"/>
    <mergeCell ref="N32:P32"/>
    <mergeCell ref="S32:T32"/>
    <mergeCell ref="B35:C35"/>
    <mergeCell ref="E35:H35"/>
    <mergeCell ref="K35:M35"/>
    <mergeCell ref="O35:R35"/>
    <mergeCell ref="S35:T35"/>
    <mergeCell ref="B36:C36"/>
    <mergeCell ref="E36:H36"/>
    <mergeCell ref="K36:M36"/>
    <mergeCell ref="O36:R36"/>
    <mergeCell ref="S36:T36"/>
    <mergeCell ref="B37:C37"/>
    <mergeCell ref="E37:H37"/>
    <mergeCell ref="K37:M37"/>
    <mergeCell ref="O37:R37"/>
    <mergeCell ref="S37:T37"/>
    <mergeCell ref="B38:C38"/>
    <mergeCell ref="E38:H38"/>
    <mergeCell ref="K38:M38"/>
    <mergeCell ref="O38:R38"/>
    <mergeCell ref="S38:T38"/>
    <mergeCell ref="B39:C39"/>
    <mergeCell ref="E39:H39"/>
    <mergeCell ref="K39:M39"/>
    <mergeCell ref="O39:R39"/>
    <mergeCell ref="S39:T39"/>
    <mergeCell ref="B40:C40"/>
    <mergeCell ref="E40:H40"/>
    <mergeCell ref="K40:M40"/>
    <mergeCell ref="O40:R40"/>
    <mergeCell ref="S40:T40"/>
    <mergeCell ref="B41:C41"/>
    <mergeCell ref="E41:H41"/>
    <mergeCell ref="K41:M41"/>
    <mergeCell ref="O41:R41"/>
    <mergeCell ref="S41:T41"/>
    <mergeCell ref="B42:C42"/>
    <mergeCell ref="E42:H42"/>
    <mergeCell ref="K42:M42"/>
    <mergeCell ref="O42:R42"/>
    <mergeCell ref="S42:T42"/>
    <mergeCell ref="B45:T45"/>
    <mergeCell ref="B46:T46"/>
    <mergeCell ref="E50:G50"/>
    <mergeCell ref="B43:C43"/>
    <mergeCell ref="E43:H43"/>
    <mergeCell ref="K43:M43"/>
    <mergeCell ref="O43:R43"/>
    <mergeCell ref="S43:T43"/>
    <mergeCell ref="B44:C44"/>
    <mergeCell ref="D44:E44"/>
    <mergeCell ref="G44:I44"/>
    <mergeCell ref="K44:M44"/>
    <mergeCell ref="N44:O44"/>
    <mergeCell ref="P44:T44"/>
  </mergeCells>
  <conditionalFormatting sqref="K27">
    <cfRule type="cellIs" dxfId="149" priority="25" operator="lessThanOrEqual">
      <formula>0</formula>
    </cfRule>
    <cfRule type="cellIs" dxfId="148" priority="24" operator="between">
      <formula>1</formula>
      <formula>300</formula>
    </cfRule>
  </conditionalFormatting>
  <conditionalFormatting sqref="K29">
    <cfRule type="cellIs" dxfId="147" priority="23" operator="lessThanOrEqual">
      <formula>0</formula>
    </cfRule>
    <cfRule type="cellIs" dxfId="146" priority="22" operator="between">
      <formula>1</formula>
      <formula>300</formula>
    </cfRule>
  </conditionalFormatting>
  <conditionalFormatting sqref="K31">
    <cfRule type="cellIs" dxfId="145" priority="20" operator="between">
      <formula>1</formula>
      <formula>300</formula>
    </cfRule>
    <cfRule type="cellIs" dxfId="144" priority="21" operator="lessThanOrEqual">
      <formula>0</formula>
    </cfRule>
  </conditionalFormatting>
  <conditionalFormatting sqref="K9:P9">
    <cfRule type="cellIs" dxfId="143" priority="14" operator="between">
      <formula>1</formula>
      <formula>300</formula>
    </cfRule>
    <cfRule type="cellIs" dxfId="142" priority="15" operator="lessThanOrEqual">
      <formula>0</formula>
    </cfRule>
  </conditionalFormatting>
  <conditionalFormatting sqref="K11:P11">
    <cfRule type="cellIs" dxfId="141" priority="12" operator="between">
      <formula>1</formula>
      <formula>300</formula>
    </cfRule>
    <cfRule type="cellIs" dxfId="140" priority="13" operator="lessThanOrEqual">
      <formula>0</formula>
    </cfRule>
  </conditionalFormatting>
  <conditionalFormatting sqref="K13:P13">
    <cfRule type="cellIs" dxfId="139" priority="8" operator="between">
      <formula>1</formula>
      <formula>300</formula>
    </cfRule>
    <cfRule type="cellIs" dxfId="138" priority="9" operator="lessThanOrEqual">
      <formula>0</formula>
    </cfRule>
  </conditionalFormatting>
  <conditionalFormatting sqref="K15:P15">
    <cfRule type="cellIs" dxfId="137" priority="10" operator="between">
      <formula>1</formula>
      <formula>300</formula>
    </cfRule>
    <cfRule type="cellIs" dxfId="136" priority="11" operator="lessThanOrEqual">
      <formula>0</formula>
    </cfRule>
  </conditionalFormatting>
  <conditionalFormatting sqref="K17:P17">
    <cfRule type="cellIs" dxfId="135" priority="16" operator="between">
      <formula>1</formula>
      <formula>300</formula>
    </cfRule>
    <cfRule type="cellIs" dxfId="134" priority="17" operator="lessThanOrEqual">
      <formula>0</formula>
    </cfRule>
  </conditionalFormatting>
  <conditionalFormatting sqref="K19:P19">
    <cfRule type="cellIs" dxfId="133" priority="2" operator="between">
      <formula>1</formula>
      <formula>300</formula>
    </cfRule>
    <cfRule type="cellIs" dxfId="132" priority="3" operator="lessThanOrEqual">
      <formula>0</formula>
    </cfRule>
  </conditionalFormatting>
  <conditionalFormatting sqref="K21:P21">
    <cfRule type="cellIs" dxfId="131" priority="5" operator="lessThanOrEqual">
      <formula>0</formula>
    </cfRule>
    <cfRule type="cellIs" dxfId="130" priority="4" operator="between">
      <formula>1</formula>
      <formula>300</formula>
    </cfRule>
  </conditionalFormatting>
  <conditionalFormatting sqref="K23:P23">
    <cfRule type="cellIs" dxfId="129" priority="7" operator="lessThanOrEqual">
      <formula>0</formula>
    </cfRule>
    <cfRule type="cellIs" dxfId="128" priority="6" operator="between">
      <formula>1</formula>
      <formula>300</formula>
    </cfRule>
  </conditionalFormatting>
  <conditionalFormatting sqref="K25:P25">
    <cfRule type="cellIs" dxfId="127" priority="19" operator="lessThanOrEqual">
      <formula>0</formula>
    </cfRule>
    <cfRule type="cellIs" dxfId="126" priority="18" operator="between">
      <formula>1</formula>
      <formula>300</formula>
    </cfRule>
  </conditionalFormatting>
  <conditionalFormatting sqref="L27:N27">
    <cfRule type="cellIs" dxfId="125" priority="30" operator="between">
      <formula>1</formula>
      <formula>300</formula>
    </cfRule>
    <cfRule type="cellIs" dxfId="124" priority="31" operator="lessThanOrEqual">
      <formula>0</formula>
    </cfRule>
  </conditionalFormatting>
  <conditionalFormatting sqref="L29:N29">
    <cfRule type="cellIs" dxfId="123" priority="28" operator="between">
      <formula>1</formula>
      <formula>300</formula>
    </cfRule>
    <cfRule type="cellIs" dxfId="122" priority="29" operator="lessThanOrEqual">
      <formula>0</formula>
    </cfRule>
  </conditionalFormatting>
  <conditionalFormatting sqref="L31:N31">
    <cfRule type="cellIs" dxfId="121" priority="26" operator="between">
      <formula>1</formula>
      <formula>300</formula>
    </cfRule>
    <cfRule type="cellIs" dxfId="120" priority="27" operator="lessThanOrEqual">
      <formula>0</formula>
    </cfRule>
  </conditionalFormatting>
  <dataValidations count="6">
    <dataValidation type="list" allowBlank="1" showInputMessage="1" showErrorMessage="1" sqref="B36:C43 K36:M43" xr:uid="{00000000-0002-0000-0600-000000000000}">
      <formula1>"Dommer,Stevnets leder,Jury,Sekretær,Speaker,Teknisk kontrollør,Chief Marshall,Tidtaker"</formula1>
      <formula2>0</formula2>
    </dataValidation>
    <dataValidation type="list" allowBlank="1" showInputMessage="1" showErrorMessage="1" sqref="C11 C9 C31 C29 C27 C25 C23 C21 C19 C17 C15 C13" xr:uid="{00000000-0002-0000-0600-000001000000}">
      <formula1>"44,48,53,56,58,60,63,65,69,71,77,'+77,79,86,'+86,88,94,'+94,110,'+110"</formula1>
      <formula2>0</formula2>
    </dataValidation>
    <dataValidation type="list" allowBlank="1" showInputMessage="1" showErrorMessage="1" sqref="D5:I5" xr:uid="{00000000-0002-0000-0600-00000D000000}">
      <formula1>"Nasjonalt stevne,Seriestevne,Seriestevne 5-kamp,Klubbmesterskap,Regionsmesterskap,Landsdelsmesterskap,Norgesmesterskap Senior,Norgesmesterskap Ungdom,Norgesmesterskap Junior,Norgesmesterskap Veteran,Norgesmesterskap 5-kamp,Norgesmesterskap Lag"</formula1>
      <formula2>0</formula2>
    </dataValidation>
    <dataValidation type="list" allowBlank="1" showInputMessage="1" showErrorMessage="1" sqref="E11 F12 E9 E31 E29 E27 E25 E23 E21 E19 E17 E15 E13" xr:uid="{00000000-0002-0000-0600-00000E000000}">
      <formula1>"UM,JM,SM,UK,JK,SK,M35,M40,M45,M50,M55,M60,M65,M70,M75,M80,M85,M90,K35,K40,K45,K50,K55,K60,K65,K70,K75,K80,K85,K90"</formula1>
      <formula2>0</formula2>
    </dataValidation>
    <dataValidation type="list" allowBlank="1" showInputMessage="1" showErrorMessage="1" sqref="F11 F9 F31 F29 F27 F25 F23 F21 F19 F17 F15 F13" xr:uid="{00000000-0002-0000-0600-00001A000000}">
      <formula1>"11-12,13-14,15-16,17-18,19-23,24-34,+35"</formula1>
      <formula2>0</formula2>
    </dataValidation>
    <dataValidation type="list" allowBlank="1" showInputMessage="1" showErrorMessage="1" prompt="Feil_i_kat. 5-kamp - Feil verdi i kategori 5-kamp" sqref="G12" xr:uid="{00000000-0002-0000-0600-000027000000}">
      <formula1>"11-12,13-14,15-16,17-18,19-23,24-34,+35,35+"</formula1>
      <formula2>0</formula2>
    </dataValidation>
  </dataValidations>
  <pageMargins left="0.27569444444444402" right="0.35416666666666702" top="0.27569444444444402" bottom="0.27569444444444402" header="0.511811023622047" footer="0.511811023622047"/>
  <pageSetup paperSize="9" orientation="landscape" useFirstPageNumber="1" horizontalDpi="300" verticalDpi="300"/>
  <drawing r:id="rId1"/>
  <legacy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AK80"/>
  <sheetViews>
    <sheetView zoomScaleNormal="100" workbookViewId="0">
      <selection activeCell="G1" sqref="G1:G1048576"/>
    </sheetView>
  </sheetViews>
  <sheetFormatPr baseColWidth="10" defaultColWidth="9.1640625" defaultRowHeight="12.75" customHeight="1"/>
  <cols>
    <col min="1" max="1" width="4.33203125" style="5" customWidth="1"/>
    <col min="2" max="2" width="10.1640625" style="5" customWidth="1"/>
    <col min="3" max="3" width="6.33203125" style="6" customWidth="1"/>
    <col min="4" max="4" width="8.6640625" style="6" customWidth="1"/>
    <col min="5" max="6" width="6.33203125" style="7" customWidth="1"/>
    <col min="7" max="7" width="10.6640625" style="6" hidden="1" customWidth="1"/>
    <col min="8" max="8" width="3.83203125" style="6" customWidth="1"/>
    <col min="9" max="9" width="27.83203125" style="8" customWidth="1"/>
    <col min="10" max="10" width="21" style="8" customWidth="1"/>
    <col min="11" max="11" width="6.83203125" style="6" customWidth="1"/>
    <col min="12" max="12" width="6.83203125" style="9" customWidth="1"/>
    <col min="13" max="13" width="6.83203125" style="6" customWidth="1"/>
    <col min="14" max="14" width="8.83203125" style="6" customWidth="1"/>
    <col min="15" max="19" width="6.83203125" style="6" customWidth="1"/>
    <col min="20" max="23" width="8" style="10" customWidth="1"/>
    <col min="24" max="24" width="9" style="10" customWidth="1"/>
    <col min="25" max="26" width="8" style="10" customWidth="1"/>
    <col min="27" max="27" width="4.33203125" style="10" customWidth="1"/>
    <col min="28" max="28" width="5.6640625" style="10" customWidth="1"/>
    <col min="29" max="29" width="9.6640625" style="5" hidden="1" customWidth="1"/>
    <col min="30" max="31" width="9.1640625" style="5" hidden="1"/>
    <col min="32" max="32" width="7.83203125" style="5" hidden="1" customWidth="1"/>
    <col min="33" max="33" width="9.1640625" style="5" hidden="1"/>
    <col min="34" max="35" width="9.1640625" style="11" hidden="1"/>
    <col min="36" max="36" width="9.1640625" style="5" hidden="1"/>
    <col min="37" max="37" width="9.1640625" style="5"/>
  </cols>
  <sheetData>
    <row r="1" spans="1:37" ht="18.75" customHeight="1">
      <c r="A1" s="12"/>
      <c r="B1" s="12"/>
      <c r="C1" s="12"/>
      <c r="D1" s="12"/>
      <c r="E1" s="12"/>
      <c r="F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  <c r="T1" s="12"/>
      <c r="U1" s="12"/>
      <c r="V1" s="12"/>
      <c r="W1" s="12"/>
      <c r="X1" s="12"/>
      <c r="Y1" s="12"/>
    </row>
    <row r="2" spans="1:37" ht="75" customHeight="1">
      <c r="A2" s="12"/>
      <c r="B2" s="12"/>
      <c r="C2" s="12"/>
      <c r="D2" s="12"/>
      <c r="E2" s="12"/>
      <c r="F2" s="12"/>
      <c r="G2" s="174" t="s">
        <v>0</v>
      </c>
      <c r="H2" s="174"/>
      <c r="I2" s="174"/>
      <c r="J2" s="174"/>
      <c r="K2" s="174"/>
      <c r="L2" s="174"/>
      <c r="M2" s="174"/>
      <c r="N2" s="174"/>
      <c r="O2" s="174"/>
      <c r="P2" s="174"/>
      <c r="Q2" s="174"/>
      <c r="R2" s="174"/>
      <c r="S2" s="12"/>
      <c r="T2" s="12"/>
      <c r="U2" s="13" t="s">
        <v>1</v>
      </c>
      <c r="V2" s="12"/>
      <c r="W2" s="12"/>
      <c r="X2" s="12"/>
      <c r="Y2" s="12"/>
    </row>
    <row r="3" spans="1:37" ht="21.75" customHeight="1">
      <c r="A3" s="12"/>
      <c r="B3" s="12"/>
      <c r="C3" s="12"/>
      <c r="D3" s="12"/>
      <c r="E3" s="14"/>
      <c r="F3" s="12"/>
      <c r="G3" s="175" t="s">
        <v>2</v>
      </c>
      <c r="H3" s="175"/>
      <c r="I3" s="175"/>
      <c r="J3" s="175"/>
      <c r="K3" s="175"/>
      <c r="L3" s="175"/>
      <c r="M3" s="175"/>
      <c r="N3" s="175"/>
      <c r="O3" s="175"/>
      <c r="P3" s="175"/>
      <c r="Q3" s="175"/>
      <c r="R3" s="175"/>
      <c r="S3" s="15" t="s">
        <v>3</v>
      </c>
      <c r="T3" s="15"/>
      <c r="U3" s="15"/>
      <c r="V3" s="15"/>
      <c r="W3" s="15"/>
      <c r="X3" s="15"/>
      <c r="Y3" s="15"/>
      <c r="Z3" s="15"/>
    </row>
    <row r="4" spans="1:37" ht="12.75" customHeight="1">
      <c r="A4" s="12"/>
      <c r="B4" s="12"/>
      <c r="C4" s="12"/>
      <c r="D4" s="12"/>
      <c r="E4" s="12"/>
      <c r="F4" s="12"/>
      <c r="H4" s="12"/>
      <c r="I4" s="12"/>
      <c r="J4" s="12"/>
      <c r="K4" s="12"/>
      <c r="L4" s="12"/>
      <c r="M4" s="12"/>
      <c r="N4" s="12"/>
      <c r="O4" s="12"/>
      <c r="P4" s="12"/>
      <c r="Q4" s="12"/>
      <c r="R4" s="12"/>
      <c r="S4" s="12"/>
      <c r="T4" s="12"/>
      <c r="U4" s="12"/>
      <c r="V4" s="12"/>
      <c r="W4" s="12"/>
      <c r="X4" s="12"/>
      <c r="Y4" s="12"/>
    </row>
    <row r="5" spans="1:37" ht="15" customHeight="1">
      <c r="A5" s="16"/>
      <c r="B5" s="16"/>
      <c r="C5" s="17" t="s">
        <v>4</v>
      </c>
      <c r="D5" s="176" t="s">
        <v>5</v>
      </c>
      <c r="E5" s="176"/>
      <c r="F5" s="176"/>
      <c r="G5" s="176"/>
      <c r="H5" s="176"/>
      <c r="I5" s="176"/>
      <c r="J5" s="17" t="s">
        <v>6</v>
      </c>
      <c r="K5" s="176" t="s">
        <v>7</v>
      </c>
      <c r="L5" s="176"/>
      <c r="M5" s="176"/>
      <c r="N5" s="176"/>
      <c r="O5" s="17" t="s">
        <v>8</v>
      </c>
      <c r="P5" s="177" t="s">
        <v>9</v>
      </c>
      <c r="Q5" s="177"/>
      <c r="R5" s="177"/>
      <c r="S5" s="177"/>
      <c r="T5" s="17" t="s">
        <v>10</v>
      </c>
      <c r="U5" s="177">
        <v>46263</v>
      </c>
      <c r="V5" s="177"/>
      <c r="W5" s="18"/>
      <c r="X5" s="18"/>
      <c r="Y5" s="18"/>
      <c r="Z5" s="19" t="s">
        <v>11</v>
      </c>
      <c r="AA5" s="19"/>
      <c r="AB5" s="20">
        <v>6</v>
      </c>
      <c r="AC5" s="16"/>
      <c r="AD5" s="16"/>
      <c r="AE5" s="16"/>
      <c r="AF5" s="16"/>
      <c r="AG5" s="16"/>
      <c r="AH5" s="21"/>
      <c r="AI5" s="21"/>
      <c r="AJ5" s="16"/>
      <c r="AK5" s="16"/>
    </row>
    <row r="6" spans="1:37" ht="12.75" customHeight="1">
      <c r="AG6" s="22" t="s">
        <v>12</v>
      </c>
      <c r="AH6" s="22" t="s">
        <v>12</v>
      </c>
      <c r="AI6" s="22" t="s">
        <v>12</v>
      </c>
      <c r="AJ6" s="178" t="s">
        <v>13</v>
      </c>
    </row>
    <row r="7" spans="1:37" ht="12.75" customHeight="1">
      <c r="A7" s="6"/>
      <c r="B7" s="179" t="s">
        <v>14</v>
      </c>
      <c r="C7" s="180" t="s">
        <v>15</v>
      </c>
      <c r="D7" s="180" t="s">
        <v>16</v>
      </c>
      <c r="E7" s="181" t="s">
        <v>17</v>
      </c>
      <c r="F7" s="182" t="s">
        <v>131</v>
      </c>
      <c r="G7" s="24" t="s">
        <v>19</v>
      </c>
      <c r="H7" s="24" t="s">
        <v>20</v>
      </c>
      <c r="I7" s="24" t="s">
        <v>21</v>
      </c>
      <c r="J7" s="24" t="s">
        <v>22</v>
      </c>
      <c r="K7" s="25"/>
      <c r="L7" s="26" t="s">
        <v>23</v>
      </c>
      <c r="M7" s="24"/>
      <c r="N7" s="24"/>
      <c r="O7" s="27" t="s">
        <v>24</v>
      </c>
      <c r="P7" s="24"/>
      <c r="Q7" s="28" t="s">
        <v>25</v>
      </c>
      <c r="R7" s="24"/>
      <c r="S7" s="24" t="s">
        <v>26</v>
      </c>
      <c r="T7" s="29" t="s">
        <v>27</v>
      </c>
      <c r="U7" s="30" t="s">
        <v>27</v>
      </c>
      <c r="V7" s="31" t="s">
        <v>28</v>
      </c>
      <c r="W7" s="31" t="s">
        <v>29</v>
      </c>
      <c r="X7" s="31" t="s">
        <v>30</v>
      </c>
      <c r="Y7" s="32" t="s">
        <v>31</v>
      </c>
      <c r="Z7" s="33" t="s">
        <v>32</v>
      </c>
      <c r="AA7" s="34" t="s">
        <v>33</v>
      </c>
      <c r="AB7" s="29" t="s">
        <v>34</v>
      </c>
      <c r="AC7" s="11"/>
      <c r="AD7" s="6"/>
      <c r="AE7" s="6"/>
      <c r="AF7" s="6"/>
      <c r="AG7" s="35" t="s">
        <v>35</v>
      </c>
      <c r="AH7" s="35" t="s">
        <v>35</v>
      </c>
      <c r="AI7" s="35" t="s">
        <v>35</v>
      </c>
      <c r="AJ7" s="178"/>
      <c r="AK7" s="6"/>
    </row>
    <row r="8" spans="1:37" ht="12.75" customHeight="1">
      <c r="A8" s="6"/>
      <c r="B8" s="179"/>
      <c r="C8" s="180"/>
      <c r="D8" s="180"/>
      <c r="E8" s="181"/>
      <c r="F8" s="182"/>
      <c r="G8" s="36" t="s">
        <v>36</v>
      </c>
      <c r="H8" s="36" t="s">
        <v>37</v>
      </c>
      <c r="I8" s="36"/>
      <c r="J8" s="36"/>
      <c r="K8" s="37">
        <v>1</v>
      </c>
      <c r="L8" s="37">
        <v>2</v>
      </c>
      <c r="M8" s="38">
        <v>3</v>
      </c>
      <c r="N8" s="38">
        <v>1</v>
      </c>
      <c r="O8" s="37">
        <v>2</v>
      </c>
      <c r="P8" s="38">
        <v>3</v>
      </c>
      <c r="Q8" s="39" t="s">
        <v>38</v>
      </c>
      <c r="R8" s="36"/>
      <c r="S8" s="36" t="s">
        <v>39</v>
      </c>
      <c r="T8" s="40"/>
      <c r="U8" s="41" t="s">
        <v>40</v>
      </c>
      <c r="V8" s="31" t="s">
        <v>27</v>
      </c>
      <c r="W8" s="31" t="s">
        <v>27</v>
      </c>
      <c r="X8" s="31" t="s">
        <v>27</v>
      </c>
      <c r="Y8" s="42" t="s">
        <v>41</v>
      </c>
      <c r="Z8" s="43" t="s">
        <v>42</v>
      </c>
      <c r="AA8" s="43"/>
      <c r="AB8" s="40"/>
      <c r="AC8" s="6"/>
      <c r="AD8" s="6" t="s">
        <v>43</v>
      </c>
      <c r="AE8" s="6" t="s">
        <v>44</v>
      </c>
      <c r="AF8" s="11" t="s">
        <v>40</v>
      </c>
      <c r="AG8" s="35" t="s">
        <v>45</v>
      </c>
      <c r="AH8" s="35" t="s">
        <v>46</v>
      </c>
      <c r="AI8" s="35" t="s">
        <v>47</v>
      </c>
      <c r="AJ8" s="6"/>
      <c r="AK8" s="6"/>
    </row>
    <row r="9" spans="1:37" ht="19.5" customHeight="1">
      <c r="A9" s="44"/>
      <c r="B9" s="45" t="s">
        <v>218</v>
      </c>
      <c r="C9" s="142" t="s">
        <v>67</v>
      </c>
      <c r="D9" s="56">
        <v>70.81</v>
      </c>
      <c r="E9" s="142" t="s">
        <v>219</v>
      </c>
      <c r="F9" s="142" t="s">
        <v>192</v>
      </c>
      <c r="G9" s="143">
        <v>38610</v>
      </c>
      <c r="H9" s="142" t="s">
        <v>72</v>
      </c>
      <c r="I9" s="144" t="s">
        <v>220</v>
      </c>
      <c r="J9" s="145" t="s">
        <v>92</v>
      </c>
      <c r="K9" s="52">
        <v>55</v>
      </c>
      <c r="L9" s="52">
        <v>60</v>
      </c>
      <c r="M9" s="52">
        <v>63</v>
      </c>
      <c r="N9" s="52">
        <v>70</v>
      </c>
      <c r="O9" s="52" t="s">
        <v>97</v>
      </c>
      <c r="P9" s="52" t="s">
        <v>97</v>
      </c>
      <c r="Q9" s="53">
        <f>IF(MAX(K9:M9)&gt;0,IF(MAX(K9:M9)&lt;0,0,TRUNC(MAX(K9:M9)/1)*1),"")</f>
        <v>63</v>
      </c>
      <c r="R9" s="54">
        <f>IF(MAX(N9:P9)&gt;0,IF(MAX(N9:P9)&lt;0,0,TRUNC(MAX(N9:P9)/1)*1),"")</f>
        <v>70</v>
      </c>
      <c r="S9" s="54">
        <f>IF(Q9="","",IF(R9="","",IF(SUM(Q9:R9)=0,"",SUM(Q9:R9))))</f>
        <v>133</v>
      </c>
      <c r="T9" s="55">
        <f>IF(S9="","",IF(D9="","",IF((AD9="k"),IF(D9&gt;153.757,S9,IF(D9&lt;28,10^(0.0787004341*LOG10(28/153.757)^2)*S9,10^(0.787004341*LOG10(D9/153.757)^2)*S9)),IF(D9&gt;193.609,S9,IF(D9&lt;32,10^(0.722762521*LOG10(32/193.609)^2)*S9,10^(0.722762521*LOG10(D9/193.609)^2)*S9)))))</f>
        <v>163.34025745968285</v>
      </c>
      <c r="U9" s="56" t="str">
        <f>IF(AF9=1,T9*AI9,"")</f>
        <v/>
      </c>
      <c r="V9" s="57">
        <v>5.7</v>
      </c>
      <c r="W9" s="57">
        <v>10.81</v>
      </c>
      <c r="X9" s="57">
        <v>8.35</v>
      </c>
      <c r="Y9" s="55"/>
      <c r="Z9" s="56"/>
      <c r="AA9" s="56">
        <v>1</v>
      </c>
      <c r="AB9" s="58"/>
      <c r="AC9" s="59">
        <f>U5</f>
        <v>46263</v>
      </c>
      <c r="AD9" s="60" t="str">
        <f>IF(ISNUMBER(FIND("M",E9)),"m",IF(ISNUMBER(FIND("K",E9)),"k"))</f>
        <v>k</v>
      </c>
      <c r="AE9" s="61">
        <f>IF(OR(G9="",AC9=""),0,(YEAR(AC9)-YEAR(G9)))</f>
        <v>21</v>
      </c>
      <c r="AF9" s="62">
        <f>IF(AE9&gt;34,1,0)</f>
        <v>0</v>
      </c>
      <c r="AG9" s="44" t="b">
        <f>IF(AF9=1,LOOKUP(AE9,'Meltzer-Faber'!A3:A63,'Meltzer-Faber'!B3:B63))</f>
        <v>0</v>
      </c>
      <c r="AH9" s="63" t="b">
        <f>IF(AF9=1,LOOKUP(AE9,'Meltzer-Faber'!A3:A63,'Meltzer-Faber'!C3:C63))</f>
        <v>0</v>
      </c>
      <c r="AI9" s="63" t="b">
        <f>IF(AD9="m",AG9,IF(AD9="k",AH9,""))</f>
        <v>0</v>
      </c>
      <c r="AJ9" s="64">
        <f>IF(D9="","",IF(D9&gt;193.609,1,IF(D9&lt;32,10^(0.722762521*LOG10(32/193.609)^2),10^(0.722762521*LOG10(D9/193.609)^2))))</f>
        <v>1.3737840410233575</v>
      </c>
      <c r="AK9" s="44"/>
    </row>
    <row r="10" spans="1:37" ht="19.5" customHeight="1">
      <c r="A10" s="44"/>
      <c r="B10" s="65"/>
      <c r="C10" s="3"/>
      <c r="D10" s="3"/>
      <c r="E10" s="3"/>
      <c r="F10" s="66"/>
      <c r="G10" s="67"/>
      <c r="H10" s="68"/>
      <c r="I10" s="69"/>
      <c r="J10" s="69"/>
      <c r="K10" s="173"/>
      <c r="L10" s="173"/>
      <c r="M10" s="173"/>
      <c r="N10" s="172"/>
      <c r="O10" s="172"/>
      <c r="P10" s="172"/>
      <c r="Q10" s="70"/>
      <c r="R10" s="3"/>
      <c r="S10" s="173">
        <f>IF(T9="","",T9*1.2)</f>
        <v>196.0083089516194</v>
      </c>
      <c r="T10" s="173"/>
      <c r="U10" s="3"/>
      <c r="V10" s="3">
        <f>IF(V9&gt;0,V9*20,"")</f>
        <v>114</v>
      </c>
      <c r="W10" s="3">
        <f>IF(W9="","",(W9*10)*AJ9)</f>
        <v>148.50605483462496</v>
      </c>
      <c r="X10" s="3">
        <f>IF(ROUNDUP(X9,1)&gt;0,IF((80+(8-ROUNDUP(X9,1))*40)&lt;0,0,80+(8-ROUNDUP(X9,1))*40),"")</f>
        <v>63.999999999999986</v>
      </c>
      <c r="Y10" s="4">
        <f>IF(SUM(V10,W10,X10)&gt;0,SUM(V10,W10,X10),"")</f>
        <v>326.50605483462493</v>
      </c>
      <c r="Z10" s="3">
        <f>IF(AE9&gt;34,(IF(OR(S10="",V10="",W10="",X10=""),"",SUM(S10,V10,W10,X10))*AI9),IF(OR(S10="",V10="",W10="",X10=""),"", SUM(S10,V10,W10,X10)))</f>
        <v>522.5143637862443</v>
      </c>
      <c r="AA10" s="3"/>
      <c r="AB10" s="66"/>
      <c r="AC10" s="71"/>
      <c r="AD10" s="6"/>
      <c r="AE10" s="61"/>
      <c r="AF10" s="72"/>
      <c r="AG10" s="44"/>
      <c r="AH10" s="63"/>
      <c r="AI10" s="63"/>
      <c r="AJ10" s="64"/>
      <c r="AK10" s="44"/>
    </row>
    <row r="11" spans="1:37" ht="19.5" customHeight="1">
      <c r="A11" s="44"/>
      <c r="B11" s="73" t="s">
        <v>221</v>
      </c>
      <c r="C11" s="84" t="s">
        <v>75</v>
      </c>
      <c r="D11" s="78">
        <v>67.489999999999995</v>
      </c>
      <c r="E11" s="84" t="s">
        <v>133</v>
      </c>
      <c r="F11" s="84" t="s">
        <v>192</v>
      </c>
      <c r="G11" s="85">
        <v>39121</v>
      </c>
      <c r="H11" s="84" t="s">
        <v>60</v>
      </c>
      <c r="I11" s="86" t="s">
        <v>222</v>
      </c>
      <c r="J11" s="87" t="s">
        <v>206</v>
      </c>
      <c r="K11" s="74">
        <v>-50</v>
      </c>
      <c r="L11" s="74">
        <v>50</v>
      </c>
      <c r="M11" s="74">
        <v>53</v>
      </c>
      <c r="N11" s="74">
        <v>-65</v>
      </c>
      <c r="O11" s="74">
        <v>65</v>
      </c>
      <c r="P11" s="74">
        <v>70</v>
      </c>
      <c r="Q11" s="75">
        <f>IF(MAX(K11:M11)&gt;0,IF(MAX(K11:M11)&lt;0,0,TRUNC(MAX(K11:M11)/1)*1),"")</f>
        <v>53</v>
      </c>
      <c r="R11" s="76">
        <f>IF(MAX(N11:P11)&gt;0,IF(MAX(N11:P11)&lt;0,0,TRUNC(MAX(N11:P11)/1)*1),"")</f>
        <v>70</v>
      </c>
      <c r="S11" s="76">
        <f>IF(Q11="","",IF(R11="","",IF(SUM(Q11:R11)=0,"",SUM(Q11:R11))))</f>
        <v>123</v>
      </c>
      <c r="T11" s="77">
        <f>IF(S11="","",IF(D11="","",IF((AD11="k"),IF(D11&gt;153.757,S11,IF(D11&lt;28,10^(0.0787004341*LOG10(28/153.757)^2)*S11,10^(0.787004341*LOG10(D11/153.757)^2)*S11)),IF(D11&gt;193.609,S11,IF(D11&lt;32,10^(0.722762521*LOG10(32/193.609)^2)*S11,10^(0.722762521*LOG10(D11/193.609)^2)*S11)))))</f>
        <v>155.07540109905219</v>
      </c>
      <c r="U11" s="78" t="str">
        <f>IF(AF11=1,T11*AI11,"")</f>
        <v/>
      </c>
      <c r="V11" s="79">
        <v>5.65</v>
      </c>
      <c r="W11" s="79">
        <v>6.32</v>
      </c>
      <c r="X11" s="79">
        <v>8.09</v>
      </c>
      <c r="Y11" s="80"/>
      <c r="Z11" s="78"/>
      <c r="AA11" s="78">
        <v>2</v>
      </c>
      <c r="AB11" s="81"/>
      <c r="AC11" s="71">
        <f>U5</f>
        <v>46263</v>
      </c>
      <c r="AD11" s="60" t="str">
        <f>IF(ISNUMBER(FIND("M",E11)),"m",IF(ISNUMBER(FIND("K",E11)),"k"))</f>
        <v>k</v>
      </c>
      <c r="AE11" s="61">
        <f>IF(OR(G11="",AC11=""),0,(YEAR(AC11)-YEAR(G11)))</f>
        <v>19</v>
      </c>
      <c r="AF11" s="62">
        <f>IF(AE11&gt;34,1,0)</f>
        <v>0</v>
      </c>
      <c r="AG11" s="44" t="b">
        <f>IF(AF11=1,LOOKUP(AE11,'Meltzer-Faber'!A3:A63,'Meltzer-Faber'!B3:B63))</f>
        <v>0</v>
      </c>
      <c r="AH11" s="63" t="b">
        <f>IF(AF11=1,LOOKUP(AE11,'Meltzer-Faber'!A3:A63,'Meltzer-Faber'!C3:C63))</f>
        <v>0</v>
      </c>
      <c r="AI11" s="63" t="b">
        <f>IF(AD11="m",AG11,IF(AD11="k",AH11,""))</f>
        <v>0</v>
      </c>
      <c r="AJ11" s="64">
        <f>IF(D11="","",IF(D11&gt;193.609,1,IF(D11&lt;32,10^(0.722762521*LOG10(32/193.609)^2),10^(0.722762521*LOG10(D11/193.609)^2))))</f>
        <v>1.4171043138082149</v>
      </c>
      <c r="AK11" s="44"/>
    </row>
    <row r="12" spans="1:37" ht="19.5" customHeight="1">
      <c r="A12" s="44"/>
      <c r="B12" s="82"/>
      <c r="C12" s="3"/>
      <c r="D12" s="3"/>
      <c r="E12" s="3"/>
      <c r="F12" s="66"/>
      <c r="G12" s="67"/>
      <c r="H12" s="68"/>
      <c r="I12" s="69"/>
      <c r="J12" s="69"/>
      <c r="K12" s="173"/>
      <c r="L12" s="173"/>
      <c r="M12" s="173"/>
      <c r="N12" s="172"/>
      <c r="O12" s="172"/>
      <c r="P12" s="172"/>
      <c r="Q12" s="70"/>
      <c r="R12" s="3"/>
      <c r="S12" s="173">
        <f>IF(T11="","",T11*1.2)</f>
        <v>186.09048131886263</v>
      </c>
      <c r="T12" s="173"/>
      <c r="U12" s="3"/>
      <c r="V12" s="3">
        <f>IF(V11&gt;0,V11*20,"")</f>
        <v>113</v>
      </c>
      <c r="W12" s="3">
        <f>IF(W11="","",(W11*10)*AJ11)</f>
        <v>89.560992632679188</v>
      </c>
      <c r="X12" s="3">
        <f>IF(ROUNDUP(X11,1)&gt;0,IF((80+(8-ROUNDUP(X11,1))*40)&lt;0,0,80+(8-ROUNDUP(X11,1))*40),"")</f>
        <v>76.000000000000014</v>
      </c>
      <c r="Y12" s="4">
        <f>IF(SUM(V12,W12,X12)&gt;0,SUM(V12,W12,X12),"")</f>
        <v>278.56099263267919</v>
      </c>
      <c r="Z12" s="3">
        <f>IF(AE11&gt;34,(IF(OR(S12="",V12="",W12="",X12=""),"",SUM(S12,V12,W12,X12))*AI11),IF(OR(S12="",V12="",W12="",X12=""),"", SUM(S12,V12,W12,X12)))</f>
        <v>464.65147395154185</v>
      </c>
      <c r="AA12" s="3"/>
      <c r="AB12" s="66"/>
      <c r="AC12" s="71"/>
      <c r="AD12" s="6"/>
      <c r="AE12" s="61"/>
      <c r="AF12" s="62"/>
      <c r="AG12" s="44"/>
      <c r="AH12" s="63"/>
      <c r="AI12" s="63"/>
      <c r="AJ12" s="64"/>
      <c r="AK12" s="44"/>
    </row>
    <row r="13" spans="1:37" ht="19.5" customHeight="1">
      <c r="A13" s="44"/>
      <c r="B13" s="83" t="s">
        <v>128</v>
      </c>
      <c r="C13" s="84" t="s">
        <v>75</v>
      </c>
      <c r="D13" s="78">
        <v>66.290000000000006</v>
      </c>
      <c r="E13" s="84" t="s">
        <v>219</v>
      </c>
      <c r="F13" s="84" t="s">
        <v>192</v>
      </c>
      <c r="G13" s="85">
        <v>38573</v>
      </c>
      <c r="H13" s="84" t="s">
        <v>82</v>
      </c>
      <c r="I13" s="86" t="s">
        <v>129</v>
      </c>
      <c r="J13" s="87" t="s">
        <v>92</v>
      </c>
      <c r="K13" s="74">
        <v>35</v>
      </c>
      <c r="L13" s="74">
        <v>38</v>
      </c>
      <c r="M13" s="74">
        <v>-41</v>
      </c>
      <c r="N13" s="74">
        <v>40</v>
      </c>
      <c r="O13" s="74">
        <v>43</v>
      </c>
      <c r="P13" s="74">
        <v>-45</v>
      </c>
      <c r="Q13" s="75">
        <f>IF(MAX(K13:M13)&gt;0,IF(MAX(K13:M13)&lt;0,0,TRUNC(MAX(K13:M13)/1)*1),"")</f>
        <v>38</v>
      </c>
      <c r="R13" s="76">
        <f>IF(MAX(N13:P13)&gt;0,IF(MAX(N13:P13)&lt;0,0,TRUNC(MAX(N13:P13)/1)*1),"")</f>
        <v>43</v>
      </c>
      <c r="S13" s="76">
        <f>IF(Q13="","",IF(R13="","",IF(SUM(Q13:R13)=0,"",SUM(Q13:R13))))</f>
        <v>81</v>
      </c>
      <c r="T13" s="77">
        <f>IF(S13="","",IF(D13="","",IF((AD13="k"),IF(D13&gt;153.757,S13,IF(D13&lt;28,10^(0.0787004341*LOG10(28/153.757)^2)*S13,10^(0.787004341*LOG10(D13/153.757)^2)*S13)),IF(D13&gt;193.609,S13,IF(D13&lt;32,10^(0.722762521*LOG10(32/193.609)^2)*S13,10^(0.722762521*LOG10(D13/193.609)^2)*S13)))))</f>
        <v>103.17062378461164</v>
      </c>
      <c r="U13" s="78" t="str">
        <f>IF(AF13=1,T13*AI13,"")</f>
        <v/>
      </c>
      <c r="V13" s="79">
        <v>4.95</v>
      </c>
      <c r="W13" s="79">
        <v>8.1999999999999993</v>
      </c>
      <c r="X13" s="79">
        <v>8.77</v>
      </c>
      <c r="Y13" s="88"/>
      <c r="Z13" s="78"/>
      <c r="AA13" s="78">
        <v>3</v>
      </c>
      <c r="AB13" s="81"/>
      <c r="AC13" s="71">
        <f>U5</f>
        <v>46263</v>
      </c>
      <c r="AD13" s="60" t="str">
        <f>IF(ISNUMBER(FIND("M",E13)),"m",IF(ISNUMBER(FIND("K",E13)),"k"))</f>
        <v>k</v>
      </c>
      <c r="AE13" s="61">
        <f>IF(OR(G13="",AC13=""),0,(YEAR(AC13)-YEAR(G13)))</f>
        <v>21</v>
      </c>
      <c r="AF13" s="62">
        <f>IF(AE13&gt;34,1,0)</f>
        <v>0</v>
      </c>
      <c r="AG13" s="44" t="b">
        <f>IF(AF13=1,LOOKUP(AE13,'Meltzer-Faber'!A3:A63,'Meltzer-Faber'!B3:B63))</f>
        <v>0</v>
      </c>
      <c r="AH13" s="63" t="b">
        <f>IF(AF13=1,LOOKUP(AE13,'Meltzer-Faber'!A3:A63,'Meltzer-Faber'!C3:C63))</f>
        <v>0</v>
      </c>
      <c r="AI13" s="63" t="b">
        <f>IF(AD13="m",AG13,IF(AD13="k",AH13,""))</f>
        <v>0</v>
      </c>
      <c r="AJ13" s="64">
        <f>IF(D13="","",IF(D13&gt;193.609,1,IF(D13&lt;32,10^(0.722762521*LOG10(32/193.609)^2),10^(0.722762521*LOG10(D13/193.609)^2))))</f>
        <v>1.4341694495828692</v>
      </c>
      <c r="AK13" s="44"/>
    </row>
    <row r="14" spans="1:37" ht="19.5" customHeight="1">
      <c r="A14" s="44"/>
      <c r="B14" s="82"/>
      <c r="C14" s="3"/>
      <c r="D14" s="3"/>
      <c r="E14" s="3"/>
      <c r="F14" s="66"/>
      <c r="G14" s="67"/>
      <c r="H14" s="68"/>
      <c r="I14" s="69"/>
      <c r="J14" s="69"/>
      <c r="K14" s="173"/>
      <c r="L14" s="173"/>
      <c r="M14" s="173"/>
      <c r="N14" s="172"/>
      <c r="O14" s="172"/>
      <c r="P14" s="172"/>
      <c r="Q14" s="70"/>
      <c r="R14" s="3"/>
      <c r="S14" s="173">
        <f>IF(T13="","",T13*1.2)</f>
        <v>123.80474854153395</v>
      </c>
      <c r="T14" s="173"/>
      <c r="U14" s="3"/>
      <c r="V14" s="3">
        <f>IF(V13&gt;0,V13*20,"")</f>
        <v>99</v>
      </c>
      <c r="W14" s="3">
        <f>IF(W13="","",(W13*10)*AJ13)</f>
        <v>117.60189486579527</v>
      </c>
      <c r="X14" s="3">
        <f>IF(ROUNDUP(X13,1)&gt;0,IF((80+(8-ROUNDUP(X13,1))*40)&lt;0,0,80+(8-ROUNDUP(X13,1))*40),"")</f>
        <v>48.000000000000043</v>
      </c>
      <c r="Y14" s="4">
        <f>IF(SUM(V14,W14,X14)&gt;0,SUM(V14,W14,X14),"")</f>
        <v>264.60189486579532</v>
      </c>
      <c r="Z14" s="3">
        <f>IF(AE13&gt;34,(IF(OR(S14="",V14="",W14="",X14=""),"",SUM(S14,V14,W14,X14))*AI13),IF(OR(S14="",V14="",W14="",X14=""),"", SUM(S14,V14,W14,X14)))</f>
        <v>388.40664340732928</v>
      </c>
      <c r="AA14" s="3"/>
      <c r="AB14" s="66"/>
      <c r="AC14" s="71"/>
      <c r="AD14" s="6"/>
      <c r="AE14" s="61"/>
      <c r="AF14" s="62"/>
      <c r="AG14" s="44"/>
      <c r="AH14" s="63"/>
      <c r="AI14" s="63"/>
      <c r="AJ14" s="64"/>
      <c r="AK14" s="44"/>
    </row>
    <row r="15" spans="1:37" ht="19.5" customHeight="1">
      <c r="A15" s="44"/>
      <c r="B15" s="83" t="s">
        <v>223</v>
      </c>
      <c r="C15" s="84" t="s">
        <v>67</v>
      </c>
      <c r="D15" s="78">
        <v>70.989999999999995</v>
      </c>
      <c r="E15" s="84" t="s">
        <v>219</v>
      </c>
      <c r="F15" s="84" t="s">
        <v>224</v>
      </c>
      <c r="G15" s="85">
        <v>37315</v>
      </c>
      <c r="H15" s="84" t="s">
        <v>94</v>
      </c>
      <c r="I15" s="86" t="s">
        <v>225</v>
      </c>
      <c r="J15" s="87" t="s">
        <v>54</v>
      </c>
      <c r="K15" s="74">
        <v>90</v>
      </c>
      <c r="L15" s="74">
        <v>93</v>
      </c>
      <c r="M15" s="74">
        <v>-95</v>
      </c>
      <c r="N15" s="74">
        <v>-111</v>
      </c>
      <c r="O15" s="74">
        <v>-111</v>
      </c>
      <c r="P15" s="74">
        <v>111</v>
      </c>
      <c r="Q15" s="75">
        <f>IF(MAX(K15:M15)&gt;0,IF(MAX(K15:M15)&lt;0,0,TRUNC(MAX(K15:M15)/1)*1),"")</f>
        <v>93</v>
      </c>
      <c r="R15" s="76">
        <f>IF(MAX(N15:P15)&gt;0,IF(MAX(N15:P15)&lt;0,0,TRUNC(MAX(N15:P15)/1)*1),"")</f>
        <v>111</v>
      </c>
      <c r="S15" s="76">
        <f>IF(Q15="","",IF(R15="","",IF(SUM(Q15:R15)=0,"",SUM(Q15:R15))))</f>
        <v>204</v>
      </c>
      <c r="T15" s="77">
        <f>IF(S15="","",IF(D15="","",IF((AD15="k"),IF(D15&gt;153.757,S15,IF(D15&lt;28,10^(0.0787004341*LOG10(28/153.757)^2)*S15,10^(0.787004341*LOG10(D15/153.757)^2)*S15)),IF(D15&gt;193.609,S15,IF(D15&lt;32,10^(0.722762521*LOG10(32/193.609)^2)*S15,10^(0.722762521*LOG10(D15/193.609)^2)*S15)))))</f>
        <v>250.20058177725065</v>
      </c>
      <c r="U15" s="78" t="str">
        <f>IF(AF15=1,T15*AI15,"")</f>
        <v/>
      </c>
      <c r="V15" s="79">
        <v>7.45</v>
      </c>
      <c r="W15" s="79">
        <v>14.9</v>
      </c>
      <c r="X15" s="79">
        <v>6.88</v>
      </c>
      <c r="Y15" s="80"/>
      <c r="Z15" s="78"/>
      <c r="AA15" s="78">
        <v>1</v>
      </c>
      <c r="AB15" s="81"/>
      <c r="AC15" s="71">
        <f>U5</f>
        <v>46263</v>
      </c>
      <c r="AD15" s="60" t="str">
        <f>IF(ISNUMBER(FIND("M",E15)),"m",IF(ISNUMBER(FIND("K",E15)),"k"))</f>
        <v>k</v>
      </c>
      <c r="AE15" s="61">
        <f>IF(OR(G15="",AC15=""),0,(YEAR(AC15)-YEAR(G15)))</f>
        <v>24</v>
      </c>
      <c r="AF15" s="62">
        <f>IF(AE15&gt;34,1,0)</f>
        <v>0</v>
      </c>
      <c r="AG15" s="44" t="b">
        <f>IF(AF15=1,LOOKUP(AE15,'Meltzer-Faber'!A3:A63,'Meltzer-Faber'!B3:B63))</f>
        <v>0</v>
      </c>
      <c r="AH15" s="63" t="b">
        <f>IF(AF15=1,LOOKUP(AE15,'Meltzer-Faber'!A3:A63,'Meltzer-Faber'!C3:C63))</f>
        <v>0</v>
      </c>
      <c r="AI15" s="63" t="b">
        <f>IF(AD15="m",AG15,IF(AD15="k",AH15,""))</f>
        <v>0</v>
      </c>
      <c r="AJ15" s="64">
        <f>IF(D15="","",IF(D15&gt;193.609,1,IF(D15&lt;32,10^(0.722762521*LOG10(32/193.609)^2),10^(0.722762521*LOG10(D15/193.609)^2))))</f>
        <v>1.3715862422561156</v>
      </c>
      <c r="AK15" s="44"/>
    </row>
    <row r="16" spans="1:37" ht="19.5" customHeight="1">
      <c r="A16" s="44"/>
      <c r="B16" s="82"/>
      <c r="C16" s="3"/>
      <c r="D16" s="3"/>
      <c r="E16" s="3"/>
      <c r="F16" s="66"/>
      <c r="G16" s="67"/>
      <c r="H16" s="68"/>
      <c r="I16" s="69"/>
      <c r="J16" s="69"/>
      <c r="K16" s="173"/>
      <c r="L16" s="173"/>
      <c r="M16" s="173"/>
      <c r="N16" s="172"/>
      <c r="O16" s="172"/>
      <c r="P16" s="172"/>
      <c r="Q16" s="89"/>
      <c r="R16" s="90"/>
      <c r="S16" s="173">
        <f>IF(T15="","",T15*1.2)</f>
        <v>300.24069813270074</v>
      </c>
      <c r="T16" s="173"/>
      <c r="U16" s="3"/>
      <c r="V16" s="3">
        <f>IF(V15&gt;0,V15*20,"")</f>
        <v>149</v>
      </c>
      <c r="W16" s="3">
        <f>IF(W15="","",(W15*10)*AJ15)</f>
        <v>204.36635009616123</v>
      </c>
      <c r="X16" s="3">
        <f>IF(ROUNDUP(X15,1)&gt;0,IF((80+(8-ROUNDUP(X15,1))*40)&lt;0,0,80+(8-ROUNDUP(X15,1))*40),"")</f>
        <v>124.00000000000003</v>
      </c>
      <c r="Y16" s="4">
        <f>IF(SUM(V16,W16,X16)&gt;0,SUM(V16,W16,X16),"")</f>
        <v>477.36635009616123</v>
      </c>
      <c r="Z16" s="3">
        <f>IF(AE15&gt;34,(IF(OR(S16="",V16="",W16="",X16=""),"",SUM(S16,V16,W16,X16))*AI15),IF(OR(S16="",V16="",W16="",X16=""),"", SUM(S16,V16,W16,X16)))</f>
        <v>777.60704822886191</v>
      </c>
      <c r="AA16" s="3"/>
      <c r="AB16" s="66"/>
      <c r="AC16" s="71"/>
      <c r="AD16" s="6"/>
      <c r="AE16" s="61"/>
      <c r="AF16" s="62"/>
      <c r="AG16" s="44"/>
      <c r="AH16" s="63"/>
      <c r="AI16" s="63"/>
      <c r="AJ16" s="64"/>
      <c r="AK16" s="44"/>
    </row>
    <row r="17" spans="1:37" ht="19.5" customHeight="1">
      <c r="A17" s="44"/>
      <c r="B17" s="83" t="s">
        <v>226</v>
      </c>
      <c r="C17" s="84" t="s">
        <v>227</v>
      </c>
      <c r="D17" s="78">
        <v>55.27</v>
      </c>
      <c r="E17" s="84" t="s">
        <v>219</v>
      </c>
      <c r="F17" s="84" t="s">
        <v>224</v>
      </c>
      <c r="G17" s="85">
        <v>35320</v>
      </c>
      <c r="H17" s="84" t="s">
        <v>86</v>
      </c>
      <c r="I17" s="91" t="s">
        <v>228</v>
      </c>
      <c r="J17" s="87" t="s">
        <v>152</v>
      </c>
      <c r="K17" s="74">
        <v>77</v>
      </c>
      <c r="L17" s="74">
        <v>79</v>
      </c>
      <c r="M17" s="74">
        <v>81</v>
      </c>
      <c r="N17" s="74">
        <v>102</v>
      </c>
      <c r="O17" s="74">
        <v>105</v>
      </c>
      <c r="P17" s="74">
        <v>-107</v>
      </c>
      <c r="Q17" s="75">
        <f>IF(MAX(K17:M17)&gt;0,IF(MAX(K17:M17)&lt;0,0,TRUNC(MAX(K17:M17)/1)*1),"")</f>
        <v>81</v>
      </c>
      <c r="R17" s="76">
        <f>IF(MAX(N17:P17)&gt;0,IF(MAX(N17:P17)&lt;0,0,TRUNC(MAX(N17:P17)/1)*1),"")</f>
        <v>105</v>
      </c>
      <c r="S17" s="74">
        <f>IF(Q17="","",IF(R17="","",IF(SUM(Q17:R17)=0,"",SUM(Q17:R17))))</f>
        <v>186</v>
      </c>
      <c r="T17" s="77">
        <f>IF(S17="","",IF(D17="","",IF((AD17="k"),IF(D17&gt;153.757,S17,IF(D17&lt;28,10^(0.0787004341*LOG10(28/153.757)^2)*S17,10^(0.787004341*LOG10(D17/153.757)^2)*S17)),IF(D17&gt;193.609,S17,IF(D17&lt;32,10^(0.722762521*LOG10(32/193.609)^2)*S17,10^(0.722762521*LOG10(D17/193.609)^2)*S17)))))</f>
        <v>266.01206501838362</v>
      </c>
      <c r="U17" s="78" t="str">
        <f>IF(AF17=1,T17*AI17,"")</f>
        <v/>
      </c>
      <c r="V17" s="79">
        <v>7.1</v>
      </c>
      <c r="W17" s="79">
        <v>10.9</v>
      </c>
      <c r="X17" s="79">
        <v>7.05</v>
      </c>
      <c r="Y17" s="80"/>
      <c r="Z17" s="78"/>
      <c r="AA17" s="78">
        <v>2</v>
      </c>
      <c r="AB17" s="81"/>
      <c r="AC17" s="71">
        <f>U5</f>
        <v>46263</v>
      </c>
      <c r="AD17" s="60" t="str">
        <f>IF(ISNUMBER(FIND("M",E17)),"m",IF(ISNUMBER(FIND("K",E17)),"k"))</f>
        <v>k</v>
      </c>
      <c r="AE17" s="61">
        <f>IF(OR(G17="",AC17=""),0,(YEAR(AC17)-YEAR(G17)))</f>
        <v>30</v>
      </c>
      <c r="AF17" s="62">
        <f>IF(AE17&gt;34,1,0)</f>
        <v>0</v>
      </c>
      <c r="AG17" s="44" t="b">
        <f>IF(AF17=1,LOOKUP(AE17,'Meltzer-Faber'!A3:A63,'Meltzer-Faber'!B3:B63))</f>
        <v>0</v>
      </c>
      <c r="AH17" s="63" t="b">
        <f>IF(AF17=1,LOOKUP(AE17,'Meltzer-Faber'!A3:A63,'Meltzer-Faber'!C3:C63))</f>
        <v>0</v>
      </c>
      <c r="AI17" s="63" t="b">
        <f>IF(AD17="m",AG17,IF(AD17="k",AH17,""))</f>
        <v>0</v>
      </c>
      <c r="AJ17" s="64">
        <f>IF(D17="","",IF(D17&gt;193.609,1,IF(D17&lt;32,10^(0.722762521*LOG10(32/193.609)^2),10^(0.722762521*LOG10(D17/193.609)^2))))</f>
        <v>1.6377005806322238</v>
      </c>
      <c r="AK17" s="44"/>
    </row>
    <row r="18" spans="1:37" ht="19.5" customHeight="1">
      <c r="A18" s="44"/>
      <c r="B18" s="82"/>
      <c r="C18" s="3"/>
      <c r="D18" s="3"/>
      <c r="E18" s="3"/>
      <c r="F18" s="66"/>
      <c r="G18" s="67"/>
      <c r="H18" s="68"/>
      <c r="I18" s="69"/>
      <c r="J18" s="69"/>
      <c r="K18" s="173"/>
      <c r="L18" s="173"/>
      <c r="M18" s="173"/>
      <c r="N18" s="172"/>
      <c r="O18" s="172"/>
      <c r="P18" s="172"/>
      <c r="Q18" s="70"/>
      <c r="R18" s="3"/>
      <c r="S18" s="173">
        <f>IF(T17="","",T17*1.2)</f>
        <v>319.21447802206035</v>
      </c>
      <c r="T18" s="173"/>
      <c r="U18" s="3"/>
      <c r="V18" s="3">
        <f>IF(V17&gt;0,V17*20,"")</f>
        <v>142</v>
      </c>
      <c r="W18" s="3">
        <f>IF(W17="","",(W17*10)*AJ17)</f>
        <v>178.5093632889124</v>
      </c>
      <c r="X18" s="3">
        <f>IF(ROUNDUP(X17,1)&gt;0,IF((80+(8-ROUNDUP(X17,1))*40)&lt;0,0,80+(8-ROUNDUP(X17,1))*40),"")</f>
        <v>116.00000000000001</v>
      </c>
      <c r="Y18" s="4">
        <f>IF(SUM(V18,W18,X18)&gt;0,SUM(V18,W18,X18),"")</f>
        <v>436.50936328891237</v>
      </c>
      <c r="Z18" s="3">
        <f>IF(AE17&gt;34,(IF(OR(S18="",V18="",W18="",X18=""),"",SUM(S18,V18,W18,X18))*AI17),IF(OR(S18="",V18="",W18="",X18=""),"", SUM(S18,V18,W18,X18)))</f>
        <v>755.72384131097272</v>
      </c>
      <c r="AA18" s="3"/>
      <c r="AB18" s="66"/>
      <c r="AC18" s="71"/>
      <c r="AD18" s="6"/>
      <c r="AE18" s="61"/>
      <c r="AF18" s="62"/>
      <c r="AG18" s="44"/>
      <c r="AH18" s="63"/>
      <c r="AI18" s="63"/>
      <c r="AJ18" s="64"/>
      <c r="AK18" s="44"/>
    </row>
    <row r="19" spans="1:37" ht="19.5" customHeight="1">
      <c r="A19" s="44"/>
      <c r="B19" s="83" t="s">
        <v>229</v>
      </c>
      <c r="C19" s="84" t="s">
        <v>75</v>
      </c>
      <c r="D19" s="78">
        <v>61.83</v>
      </c>
      <c r="E19" s="84" t="s">
        <v>219</v>
      </c>
      <c r="F19" s="84" t="s">
        <v>224</v>
      </c>
      <c r="G19" s="85">
        <v>36677</v>
      </c>
      <c r="H19" s="84" t="s">
        <v>56</v>
      </c>
      <c r="I19" s="91" t="s">
        <v>230</v>
      </c>
      <c r="J19" s="87" t="s">
        <v>231</v>
      </c>
      <c r="K19" s="74">
        <v>73</v>
      </c>
      <c r="L19" s="74">
        <v>76</v>
      </c>
      <c r="M19" s="74">
        <v>79</v>
      </c>
      <c r="N19" s="74">
        <v>93</v>
      </c>
      <c r="O19" s="74">
        <v>95</v>
      </c>
      <c r="P19" s="74">
        <v>-97</v>
      </c>
      <c r="Q19" s="75">
        <f>IF(MAX(K19:M19)&gt;0,IF(MAX(K19:M19)&lt;0,0,TRUNC(MAX(K19:M19)/1)*1),"")</f>
        <v>79</v>
      </c>
      <c r="R19" s="76">
        <f>IF(MAX(N19:P19)&gt;0,IF(MAX(N19:P19)&lt;0,0,TRUNC(MAX(N19:P19)/1)*1),"")</f>
        <v>95</v>
      </c>
      <c r="S19" s="74">
        <f>IF(Q19="","",IF(R19="","",IF(SUM(Q19:R19)=0,"",SUM(Q19:R19))))</f>
        <v>174</v>
      </c>
      <c r="T19" s="77">
        <f>IF(S19="","",IF(D19="","",IF((AD19="k"),IF(D19&gt;153.757,S19,IF(D19&lt;28,10^(0.0787004341*LOG10(28/153.757)^2)*S19,10^(0.787004341*LOG10(D19/153.757)^2)*S19)),IF(D19&gt;193.609,S19,IF(D19&lt;32,10^(0.722762521*LOG10(32/193.609)^2)*S19,10^(0.722762521*LOG10(D19/193.609)^2)*S19)))))</f>
        <v>231.06657316844581</v>
      </c>
      <c r="U19" s="78" t="str">
        <f>IF(AF19=1,T19*AI19,"")</f>
        <v/>
      </c>
      <c r="V19" s="79">
        <v>7.18</v>
      </c>
      <c r="W19" s="79">
        <v>9.25</v>
      </c>
      <c r="X19" s="79">
        <v>6.98</v>
      </c>
      <c r="Y19" s="80"/>
      <c r="Z19" s="78"/>
      <c r="AA19" s="78">
        <v>3</v>
      </c>
      <c r="AB19" s="81"/>
      <c r="AC19" s="71">
        <f>U5</f>
        <v>46263</v>
      </c>
      <c r="AD19" s="60" t="str">
        <f>IF(ISNUMBER(FIND("M",E19)),"m",IF(ISNUMBER(FIND("K",E19)),"k"))</f>
        <v>k</v>
      </c>
      <c r="AE19" s="61">
        <f>IF(OR(G19="",AC19=""),0,(YEAR(AC19)-YEAR(G19)))</f>
        <v>26</v>
      </c>
      <c r="AF19" s="62">
        <f>IF(AE19&gt;34,1,0)</f>
        <v>0</v>
      </c>
      <c r="AG19" s="44" t="b">
        <f>IF(AF19=1,LOOKUP(AE19,'Meltzer-Faber'!A3:A63,'Meltzer-Faber'!B3:B63))</f>
        <v>0</v>
      </c>
      <c r="AH19" s="63" t="b">
        <f>IF(AF19=1,LOOKUP(AE19,'Meltzer-Faber'!A3:A63,'Meltzer-Faber'!C3:C63))</f>
        <v>0</v>
      </c>
      <c r="AI19" s="63" t="b">
        <f>IF(AD19="m",AG19,IF(AD19="k",AH19,""))</f>
        <v>0</v>
      </c>
      <c r="AJ19" s="64">
        <f>IF(D19="","",IF(D19&gt;193.609,1,IF(D19&lt;32,10^(0.722762521*LOG10(32/193.609)^2),10^(0.722762521*LOG10(D19/193.609)^2))))</f>
        <v>1.5052719110665294</v>
      </c>
      <c r="AK19" s="44"/>
    </row>
    <row r="20" spans="1:37" ht="19.5" customHeight="1">
      <c r="A20" s="44"/>
      <c r="B20" s="82"/>
      <c r="C20" s="3"/>
      <c r="D20" s="3"/>
      <c r="E20" s="3"/>
      <c r="F20" s="66"/>
      <c r="G20" s="67"/>
      <c r="H20" s="68"/>
      <c r="I20" s="69"/>
      <c r="J20" s="69"/>
      <c r="K20" s="173"/>
      <c r="L20" s="173"/>
      <c r="M20" s="173"/>
      <c r="N20" s="172"/>
      <c r="O20" s="172"/>
      <c r="P20" s="172"/>
      <c r="Q20" s="70"/>
      <c r="R20" s="3"/>
      <c r="S20" s="173">
        <f>IF(T19="","",T19*1.2)</f>
        <v>277.27988780213497</v>
      </c>
      <c r="T20" s="173"/>
      <c r="U20" s="3"/>
      <c r="V20" s="3">
        <f>IF(V19&gt;0,V19*20,"")</f>
        <v>143.6</v>
      </c>
      <c r="W20" s="3">
        <f>IF(W19="","",(W19*10)*AJ19)</f>
        <v>139.23765177365397</v>
      </c>
      <c r="X20" s="3">
        <f>IF(ROUNDUP(X19,1)&gt;0,IF((80+(8-ROUNDUP(X19,1))*40)&lt;0,0,80+(8-ROUNDUP(X19,1))*40),"")</f>
        <v>120</v>
      </c>
      <c r="Y20" s="4">
        <f>IF(SUM(V20,W20,X20)&gt;0,SUM(V20,W20,X20),"")</f>
        <v>402.83765177365399</v>
      </c>
      <c r="Z20" s="3">
        <f>IF(AE19&gt;34,(IF(OR(S20="",V20="",W20="",X20=""),"",SUM(S20,V20,W20,X20))*AI19),IF(OR(S20="",V20="",W20="",X20=""),"", SUM(S20,V20,W20,X20)))</f>
        <v>680.1175395757889</v>
      </c>
      <c r="AA20" s="3"/>
      <c r="AB20" s="66"/>
      <c r="AC20" s="71"/>
      <c r="AD20" s="6"/>
      <c r="AE20" s="61"/>
      <c r="AF20" s="62"/>
      <c r="AG20" s="44"/>
      <c r="AH20" s="63"/>
      <c r="AI20" s="63"/>
      <c r="AJ20" s="64"/>
      <c r="AK20" s="44"/>
    </row>
    <row r="21" spans="1:37" ht="19.5" customHeight="1">
      <c r="A21" s="44"/>
      <c r="B21" s="83" t="s">
        <v>232</v>
      </c>
      <c r="C21" s="84" t="s">
        <v>67</v>
      </c>
      <c r="D21" s="78">
        <v>69.709999999999994</v>
      </c>
      <c r="E21" s="84" t="s">
        <v>219</v>
      </c>
      <c r="F21" s="84" t="s">
        <v>224</v>
      </c>
      <c r="G21" s="85">
        <v>34411</v>
      </c>
      <c r="H21" s="84" t="s">
        <v>64</v>
      </c>
      <c r="I21" s="86" t="s">
        <v>233</v>
      </c>
      <c r="J21" s="87" t="s">
        <v>124</v>
      </c>
      <c r="K21" s="74">
        <v>-63</v>
      </c>
      <c r="L21" s="74">
        <v>63</v>
      </c>
      <c r="M21" s="74">
        <v>-67</v>
      </c>
      <c r="N21" s="74">
        <v>80</v>
      </c>
      <c r="O21" s="74">
        <v>83</v>
      </c>
      <c r="P21" s="74">
        <v>85</v>
      </c>
      <c r="Q21" s="75">
        <f>IF(MAX(K21:M21)&gt;0,IF(MAX(K21:M21)&lt;0,0,TRUNC(MAX(K21:M21)/1)*1),"")</f>
        <v>63</v>
      </c>
      <c r="R21" s="76">
        <f>IF(MAX(N21:P21)&gt;0,IF(MAX(N21:P21)&lt;0,0,TRUNC(MAX(N21:P21)/1)*1),"")</f>
        <v>85</v>
      </c>
      <c r="S21" s="74">
        <f>IF(Q21="","",IF(R21="","",IF(SUM(Q21:R21)=0,"",SUM(Q21:R21))))</f>
        <v>148</v>
      </c>
      <c r="T21" s="77">
        <f>IF(S21="","",IF(D21="","",IF((AD21="k"),IF(D21&gt;153.757,S21,IF(D21&lt;28,10^(0.0787004341*LOG10(28/153.757)^2)*S21,10^(0.787004341*LOG10(D21/153.757)^2)*S21)),IF(D21&gt;193.609,S21,IF(D21&lt;32,10^(0.722762521*LOG10(32/193.609)^2)*S21,10^(0.722762521*LOG10(D21/193.609)^2)*S21)))))</f>
        <v>183.2920615554907</v>
      </c>
      <c r="U21" s="78" t="str">
        <f>IF(AF21=1,T21*AI21,"")</f>
        <v/>
      </c>
      <c r="V21" s="79">
        <v>7.45</v>
      </c>
      <c r="W21" s="79">
        <v>11.85</v>
      </c>
      <c r="X21" s="79">
        <v>6.79</v>
      </c>
      <c r="Y21" s="80"/>
      <c r="Z21" s="78"/>
      <c r="AA21" s="78">
        <v>4</v>
      </c>
      <c r="AB21" s="81"/>
      <c r="AC21" s="71">
        <f>U5</f>
        <v>46263</v>
      </c>
      <c r="AD21" s="60" t="str">
        <f>IF(ISNUMBER(FIND("M",E21)),"m",IF(ISNUMBER(FIND("K",E21)),"k"))</f>
        <v>k</v>
      </c>
      <c r="AE21" s="61">
        <f>IF(OR(G21="",AC21=""),0,(YEAR(AC21)-YEAR(G21)))</f>
        <v>32</v>
      </c>
      <c r="AF21" s="62">
        <f>IF(AE21&gt;34,1,0)</f>
        <v>0</v>
      </c>
      <c r="AG21" s="44" t="b">
        <f>IF(AF21=1,LOOKUP(AE21,'Meltzer-Faber'!A3:A63,'Meltzer-Faber'!B3:B63))</f>
        <v>0</v>
      </c>
      <c r="AH21" s="63" t="b">
        <f>IF(AF21=1,LOOKUP(AE21,'Meltzer-Faber'!A3:A63,'Meltzer-Faber'!C3:C63))</f>
        <v>0</v>
      </c>
      <c r="AI21" s="63" t="b">
        <f>IF(AD21="m",AG21,IF(AD21="k",AH21,""))</f>
        <v>0</v>
      </c>
      <c r="AJ21" s="64">
        <f>IF(D21="","",IF(D21&gt;193.609,1,IF(D21&lt;32,10^(0.722762521*LOG10(32/193.609)^2),10^(0.722762521*LOG10(D21/193.609)^2))))</f>
        <v>1.3875397540299974</v>
      </c>
      <c r="AK21" s="44"/>
    </row>
    <row r="22" spans="1:37" ht="19.5" customHeight="1">
      <c r="A22" s="44"/>
      <c r="B22" s="82"/>
      <c r="C22" s="3"/>
      <c r="D22" s="3"/>
      <c r="E22" s="3"/>
      <c r="F22" s="66"/>
      <c r="G22" s="67"/>
      <c r="H22" s="68"/>
      <c r="I22" s="69"/>
      <c r="J22" s="69"/>
      <c r="K22" s="173"/>
      <c r="L22" s="173"/>
      <c r="M22" s="173"/>
      <c r="N22" s="172"/>
      <c r="O22" s="172"/>
      <c r="P22" s="172"/>
      <c r="Q22" s="70"/>
      <c r="R22" s="3"/>
      <c r="S22" s="173">
        <f>IF(T21="","",T21*1.2)</f>
        <v>219.95047386658885</v>
      </c>
      <c r="T22" s="173"/>
      <c r="U22" s="3"/>
      <c r="V22" s="3">
        <f>IF(V21&gt;0,V21*20,"")</f>
        <v>149</v>
      </c>
      <c r="W22" s="3">
        <f>IF(W21="","",(W21*10)*AJ21)</f>
        <v>164.42346085255468</v>
      </c>
      <c r="X22" s="3">
        <f>IF(ROUNDUP(X21,1)&gt;0,IF((80+(8-ROUNDUP(X21,1))*40)&lt;0,0,80+(8-ROUNDUP(X21,1))*40),"")</f>
        <v>128</v>
      </c>
      <c r="Y22" s="4">
        <f>IF(SUM(V22,W22,X22)&gt;0,SUM(V22,W22,X22),"")</f>
        <v>441.42346085255468</v>
      </c>
      <c r="Z22" s="3">
        <f>IF(AE21&gt;34,(IF(OR(S22="",V22="",W22="",X22=""),"",SUM(S22,V22,W22,X22))*AI21),IF(OR(S22="",V22="",W22="",X22=""),"", SUM(S22,V22,W22,X22)))</f>
        <v>661.37393471914356</v>
      </c>
      <c r="AA22" s="3"/>
      <c r="AB22" s="66"/>
      <c r="AC22" s="71"/>
      <c r="AD22" s="6"/>
      <c r="AE22" s="61"/>
      <c r="AF22" s="62"/>
      <c r="AG22" s="44"/>
      <c r="AH22" s="63"/>
      <c r="AI22" s="63"/>
      <c r="AJ22" s="64"/>
      <c r="AK22" s="44"/>
    </row>
    <row r="23" spans="1:37" ht="19.5" customHeight="1">
      <c r="A23" s="44"/>
      <c r="B23" s="83" t="s">
        <v>234</v>
      </c>
      <c r="C23" s="84" t="s">
        <v>67</v>
      </c>
      <c r="D23" s="78">
        <v>72.290000000000006</v>
      </c>
      <c r="E23" s="84" t="s">
        <v>219</v>
      </c>
      <c r="F23" s="84" t="s">
        <v>224</v>
      </c>
      <c r="G23" s="85">
        <v>36614</v>
      </c>
      <c r="H23" s="84" t="s">
        <v>52</v>
      </c>
      <c r="I23" s="86" t="s">
        <v>235</v>
      </c>
      <c r="J23" s="87" t="s">
        <v>79</v>
      </c>
      <c r="K23" s="74">
        <v>73</v>
      </c>
      <c r="L23" s="74">
        <v>76</v>
      </c>
      <c r="M23" s="74">
        <v>-79</v>
      </c>
      <c r="N23" s="74">
        <v>93</v>
      </c>
      <c r="O23" s="74">
        <v>-97</v>
      </c>
      <c r="P23" s="74">
        <v>99</v>
      </c>
      <c r="Q23" s="75">
        <f>IF(MAX(K23:M23)&gt;0,IF(MAX(K23:M23)&lt;0,0,TRUNC(MAX(K23:M23)/1)*1),"")</f>
        <v>76</v>
      </c>
      <c r="R23" s="76">
        <f>IF(MAX(N23:P23)&gt;0,IF(MAX(N23:P23)&lt;0,0,TRUNC(MAX(N23:P23)/1)*1),"")</f>
        <v>99</v>
      </c>
      <c r="S23" s="74">
        <f>IF(Q23="","",IF(R23="","",IF(SUM(Q23:R23)=0,"",SUM(Q23:R23))))</f>
        <v>175</v>
      </c>
      <c r="T23" s="77">
        <f>IF(S23="","",IF(D23="","",IF((AD23="k"),IF(D23&gt;153.757,S23,IF(C23&lt;28,10^(0.0787004341*LOG10(28/153.757)^2)*S23,10^(0.787004341*LOG10(D23/153.757)^2)*S23)),IF(D23&gt;193.609,S23,IF(D23&lt;32,10^(0.722762521*LOG10(32/193.609)^2)*S23,10^(0.722762521*LOG10(D23/193.609)^2)*S23)))))</f>
        <v>212.60895172466155</v>
      </c>
      <c r="U23" s="78" t="str">
        <f>IF(AF23=1,T23*AI23,"")</f>
        <v/>
      </c>
      <c r="V23" s="79">
        <v>6.58</v>
      </c>
      <c r="W23" s="79">
        <v>11.06</v>
      </c>
      <c r="X23" s="79">
        <v>7.38</v>
      </c>
      <c r="Y23" s="80"/>
      <c r="Z23" s="78"/>
      <c r="AA23" s="78">
        <v>5</v>
      </c>
      <c r="AB23" s="81"/>
      <c r="AC23" s="71">
        <f>U5</f>
        <v>46263</v>
      </c>
      <c r="AD23" s="60" t="str">
        <f>IF(ISNUMBER(FIND("M",E23)),"m",IF(ISNUMBER(FIND("K",E23)),"k"))</f>
        <v>k</v>
      </c>
      <c r="AE23" s="92">
        <f>IF(OR(G23="",AC23=""),0,(YEAR(AC23)-YEAR(G23)))</f>
        <v>26</v>
      </c>
      <c r="AF23" s="62">
        <f>IF(AE23&gt;34,1,0)</f>
        <v>0</v>
      </c>
      <c r="AG23" s="44" t="b">
        <f>IF(AF23=1,LOOKUP(AE23,'Meltzer-Faber'!A3:A63,'Meltzer-Faber'!B3:B63))</f>
        <v>0</v>
      </c>
      <c r="AH23" s="63" t="b">
        <f>IF(AF23=1,LOOKUP(AE23,'Meltzer-Faber'!A3:A63,'Meltzer-Faber'!C3:C63))</f>
        <v>0</v>
      </c>
      <c r="AI23" s="63" t="b">
        <f>IF(AD23="m",AG23,IF(AD23="k",AH23,""))</f>
        <v>0</v>
      </c>
      <c r="AJ23" s="64">
        <f>IF(D23="","",IF(D23&gt;193.609,1,IF(D23&lt;32,10^(0.722762521*LOG10(32/193.609)^2),10^(0.722762521*LOG10(D23/193.609)^2))))</f>
        <v>1.3561386198554106</v>
      </c>
      <c r="AK23" s="44"/>
    </row>
    <row r="24" spans="1:37" ht="19.5" customHeight="1">
      <c r="A24" s="44"/>
      <c r="B24" s="82"/>
      <c r="C24" s="3"/>
      <c r="D24" s="3"/>
      <c r="E24" s="3"/>
      <c r="F24" s="66"/>
      <c r="G24" s="67"/>
      <c r="H24" s="68"/>
      <c r="I24" s="69"/>
      <c r="J24" s="69"/>
      <c r="K24" s="173"/>
      <c r="L24" s="173"/>
      <c r="M24" s="173"/>
      <c r="N24" s="172"/>
      <c r="O24" s="172"/>
      <c r="P24" s="172"/>
      <c r="Q24" s="70"/>
      <c r="R24" s="3"/>
      <c r="S24" s="173">
        <f>IF(T23="","",T23*1.2)</f>
        <v>255.13074206959385</v>
      </c>
      <c r="T24" s="173"/>
      <c r="U24" s="3"/>
      <c r="V24" s="3">
        <f>IF(V23&gt;0,V23*20,"")</f>
        <v>131.6</v>
      </c>
      <c r="W24" s="3">
        <f>IF(W23="","",(W23*10)*AJ23)</f>
        <v>149.98893135600844</v>
      </c>
      <c r="X24" s="3">
        <f>IF(ROUNDUP(X23,1)&gt;0,IF((80+(8-ROUNDUP(X23,1))*40)&lt;0,0,80+(8-ROUNDUP(X23,1))*40),"")</f>
        <v>104.00000000000003</v>
      </c>
      <c r="Y24" s="4">
        <f>IF(SUM(V24,W24,X24)&gt;0,SUM(V24,W24,X24),"")</f>
        <v>385.5889313560084</v>
      </c>
      <c r="Z24" s="3">
        <f>IF(AE23&gt;34,(IF(OR(S24="",V24="",W24="",X24=""),"",SUM(S24,V24,W24,X24))*AI23),IF(OR(S24="",V24="",W24="",X24=""),"", SUM(S24,V24,W24,X24)))</f>
        <v>640.7196734256022</v>
      </c>
      <c r="AA24" s="3"/>
      <c r="AB24" s="66"/>
      <c r="AC24" s="71"/>
      <c r="AD24" s="6"/>
      <c r="AE24" s="61"/>
      <c r="AF24" s="62"/>
      <c r="AG24" s="44"/>
      <c r="AH24" s="63"/>
      <c r="AI24" s="63"/>
      <c r="AJ24" s="64"/>
      <c r="AK24" s="44"/>
    </row>
    <row r="25" spans="1:37" ht="19.5" customHeight="1">
      <c r="A25" s="44"/>
      <c r="B25" s="83" t="s">
        <v>236</v>
      </c>
      <c r="C25" s="84" t="s">
        <v>237</v>
      </c>
      <c r="D25" s="78">
        <v>77.849999999999994</v>
      </c>
      <c r="E25" s="84" t="s">
        <v>219</v>
      </c>
      <c r="F25" s="84" t="s">
        <v>224</v>
      </c>
      <c r="G25" s="85">
        <v>36829</v>
      </c>
      <c r="H25" s="84" t="s">
        <v>99</v>
      </c>
      <c r="I25" s="86" t="s">
        <v>238</v>
      </c>
      <c r="J25" s="87" t="s">
        <v>70</v>
      </c>
      <c r="K25" s="74">
        <v>69</v>
      </c>
      <c r="L25" s="74">
        <v>-73</v>
      </c>
      <c r="M25" s="74">
        <v>74</v>
      </c>
      <c r="N25" s="74">
        <v>85</v>
      </c>
      <c r="O25" s="74">
        <v>90</v>
      </c>
      <c r="P25" s="74">
        <v>-93</v>
      </c>
      <c r="Q25" s="75">
        <f>IF(MAX(K25:M25)&gt;0,IF(MAX(K25:M25)&lt;0,0,TRUNC(MAX(K25:M25)/1)*1),"")</f>
        <v>74</v>
      </c>
      <c r="R25" s="76">
        <f>IF(MAX(N25:P25)&gt;0,IF(MAX(N25:P25)&lt;0,0,TRUNC(MAX(N25:P25)/1)*1),"")</f>
        <v>90</v>
      </c>
      <c r="S25" s="74">
        <f>IF(Q25="","",IF(R25="","",IF(SUM(Q25:R25)=0,"",SUM(Q25:R25))))</f>
        <v>164</v>
      </c>
      <c r="T25" s="77">
        <f>IF(S25="","",IF(D25="","",IF((AD25="k"),IF(D25&gt;153.757,S25,IF(C25&lt;28,10^(0.0787004341*LOG10(28/153.757)^2)*S25,10^(0.787004341*LOG10(D25/153.757)^2)*S25)),IF(D25&gt;193.609,S25,IF(D25&lt;32,10^(0.722762521*LOG10(32/193.609)^2)*S25,10^(0.722762521*LOG10(D25/193.609)^2)*S25)))))</f>
        <v>192.13246191690209</v>
      </c>
      <c r="U25" s="78" t="str">
        <f>IF(AF25=1,T25*AI25,"")</f>
        <v/>
      </c>
      <c r="V25" s="79">
        <v>6.74</v>
      </c>
      <c r="W25" s="79">
        <v>11.62</v>
      </c>
      <c r="X25" s="79">
        <v>7.42</v>
      </c>
      <c r="Y25" s="80"/>
      <c r="Z25" s="78"/>
      <c r="AA25" s="78">
        <v>6</v>
      </c>
      <c r="AB25" s="81"/>
      <c r="AC25" s="71">
        <f>U5</f>
        <v>46263</v>
      </c>
      <c r="AD25" s="60" t="str">
        <f>IF(ISNUMBER(FIND("M",E25)),"m",IF(ISNUMBER(FIND("K",E25)),"k"))</f>
        <v>k</v>
      </c>
      <c r="AE25" s="92">
        <f>IF(OR(G25="",AC25=""),0,(YEAR(AC25)-YEAR(G25)))</f>
        <v>26</v>
      </c>
      <c r="AF25" s="62">
        <f>IF(AE25&gt;34,1,0)</f>
        <v>0</v>
      </c>
      <c r="AG25" s="44" t="b">
        <f>IF(AF25=1,LOOKUP(AE25,'Meltzer-Faber'!A3:A63,'Meltzer-Faber'!B3:B63))</f>
        <v>0</v>
      </c>
      <c r="AH25" s="63" t="b">
        <f>IF(AF25=1,LOOKUP(AE25,'Meltzer-Faber'!A3:A63,'Meltzer-Faber'!C3:C63))</f>
        <v>0</v>
      </c>
      <c r="AI25" s="63" t="b">
        <f>IF(AD25="m",AG25,IF(AD25="k",AH25,""))</f>
        <v>0</v>
      </c>
      <c r="AJ25" s="64">
        <f>IF(D25="","",IF(D25&gt;193.609,1,IF(D25&lt;32,10^(0.722762521*LOG10(32/193.609)^2),10^(0.722762521*LOG10(D25/193.609)^2))))</f>
        <v>1.2976278150285505</v>
      </c>
      <c r="AK25" s="44"/>
    </row>
    <row r="26" spans="1:37" ht="19.5" customHeight="1">
      <c r="A26" s="44"/>
      <c r="B26" s="82"/>
      <c r="C26" s="3"/>
      <c r="D26" s="3"/>
      <c r="E26" s="3"/>
      <c r="F26" s="66"/>
      <c r="G26" s="67"/>
      <c r="H26" s="68"/>
      <c r="I26" s="69"/>
      <c r="J26" s="69"/>
      <c r="K26" s="173"/>
      <c r="L26" s="173"/>
      <c r="M26" s="173"/>
      <c r="N26" s="172"/>
      <c r="O26" s="172"/>
      <c r="P26" s="172"/>
      <c r="Q26" s="70"/>
      <c r="R26" s="3"/>
      <c r="S26" s="173">
        <f>IF(T25="","",T25*1.2)</f>
        <v>230.55895430028249</v>
      </c>
      <c r="T26" s="173"/>
      <c r="U26" s="3"/>
      <c r="V26" s="3">
        <f>IF(V25&gt;0,V25*20,"")</f>
        <v>134.80000000000001</v>
      </c>
      <c r="W26" s="3">
        <f>IF(W25="","",(W25*10)*AJ25)</f>
        <v>150.78435210631756</v>
      </c>
      <c r="X26" s="3">
        <f>IF(ROUNDUP(X25,1)&gt;0,IF((80+(8-ROUNDUP(X25,1))*40)&lt;0,0,80+(8-ROUNDUP(X25,1))*40),"")</f>
        <v>100</v>
      </c>
      <c r="Y26" s="4">
        <f>IF(SUM(V26,W26,X26)&gt;0,SUM(V26,W26,X26),"")</f>
        <v>385.58435210631757</v>
      </c>
      <c r="Z26" s="3">
        <f>IF(AE25&gt;34,(IF(OR(S26="",V26="",W26="",X26=""),"",SUM(S26,V26,W26,X26))*AI25),IF(OR(S26="",V26="",W26="",X26=""),"", SUM(S26,V26,W26,X26)))</f>
        <v>616.1433064066</v>
      </c>
      <c r="AA26" s="3"/>
      <c r="AB26" s="66"/>
      <c r="AC26" s="71"/>
      <c r="AD26" s="6"/>
      <c r="AE26" s="61"/>
      <c r="AF26" s="62"/>
      <c r="AG26" s="44"/>
      <c r="AH26" s="63"/>
      <c r="AI26" s="63"/>
      <c r="AJ26" s="64"/>
      <c r="AK26" s="44"/>
    </row>
    <row r="27" spans="1:37" ht="19.5" customHeight="1">
      <c r="A27" s="44"/>
      <c r="B27" s="83" t="s">
        <v>239</v>
      </c>
      <c r="C27" s="93" t="s">
        <v>49</v>
      </c>
      <c r="D27" s="78">
        <v>52.57</v>
      </c>
      <c r="E27" s="94" t="s">
        <v>219</v>
      </c>
      <c r="F27" s="95" t="s">
        <v>224</v>
      </c>
      <c r="G27" s="85">
        <v>37301</v>
      </c>
      <c r="H27" s="84" t="s">
        <v>90</v>
      </c>
      <c r="I27" s="87" t="s">
        <v>240</v>
      </c>
      <c r="J27" s="87" t="s">
        <v>79</v>
      </c>
      <c r="K27" s="96">
        <v>44</v>
      </c>
      <c r="L27" s="97">
        <v>-46</v>
      </c>
      <c r="M27" s="97">
        <v>46</v>
      </c>
      <c r="N27" s="97">
        <v>57</v>
      </c>
      <c r="O27" s="98">
        <v>60</v>
      </c>
      <c r="P27" s="98">
        <v>62</v>
      </c>
      <c r="Q27" s="75">
        <f>IF(MAX(K27:M27)&gt;0,IF(MAX(K27:M27)&lt;0,0,TRUNC(MAX(K27:M27)/1)*1),"")</f>
        <v>46</v>
      </c>
      <c r="R27" s="76">
        <f>IF(MAX(N27:P27)&gt;0,IF(MAX(N27:P27)&lt;0,0,TRUNC(MAX(N27:P27)/1)*1),"")</f>
        <v>62</v>
      </c>
      <c r="S27" s="74">
        <f>IF(Q27="","",IF(R27="","",IF(SUM(Q27:R27)=0,"",SUM(Q27:R27))))</f>
        <v>108</v>
      </c>
      <c r="T27" s="77">
        <f>IF(S27="","",IF(D27="","",IF((AD27="k"),IF(D27&gt;153.757,S27,IF(C27&lt;28,10^(0.0787004341*LOG10(28/153.757)^2)*S27,10^(0.787004341*LOG10(D27/153.757)^2)*S27)),IF(D27&gt;193.609,S27,IF(D27&lt;32,10^(0.722762521*LOG10(32/193.609)^2)*S27,10^(0.722762521*LOG10(D27/193.609)^2)*S27)))))</f>
        <v>160.10229854870948</v>
      </c>
      <c r="U27" s="78" t="str">
        <f>IF(AF27=1,T27*AI27,"")</f>
        <v/>
      </c>
      <c r="V27" s="79">
        <v>5.73</v>
      </c>
      <c r="W27" s="79">
        <v>8.31</v>
      </c>
      <c r="X27" s="79">
        <v>7.41</v>
      </c>
      <c r="Y27" s="80"/>
      <c r="Z27" s="78"/>
      <c r="AA27" s="78">
        <v>7</v>
      </c>
      <c r="AB27" s="81"/>
      <c r="AC27" s="71">
        <f>U5</f>
        <v>46263</v>
      </c>
      <c r="AD27" s="60" t="str">
        <f>IF(ISNUMBER(FIND("M",E27)),"m",IF(ISNUMBER(FIND("K",E27)),"k"))</f>
        <v>k</v>
      </c>
      <c r="AE27" s="92">
        <f>IF(OR(G27="",AC27=""),0,(YEAR(AC27)-YEAR(G27)))</f>
        <v>24</v>
      </c>
      <c r="AF27" s="62">
        <f>IF(AE27&gt;34,1,0)</f>
        <v>0</v>
      </c>
      <c r="AG27" s="44" t="b">
        <f>IF(AF27=1,LOOKUP(AE27,'Meltzer-Faber'!A3:A63,'Meltzer-Faber'!B3:B63))</f>
        <v>0</v>
      </c>
      <c r="AH27" s="63" t="b">
        <f>IF(AF27=1,LOOKUP(AE27,'Meltzer-Faber'!A3:A63,'Meltzer-Faber'!C3:C63))</f>
        <v>0</v>
      </c>
      <c r="AI27" s="63" t="b">
        <f>IF(AD27="m",AG27,IF(AD27="k",AH27,""))</f>
        <v>0</v>
      </c>
      <c r="AJ27" s="64">
        <f>IF(D27="","",IF(D27&gt;193.609,1,IF(D27&lt;32,10^(0.722762521*LOG10(32/193.609)^2),10^(0.722762521*LOG10(D27/193.609)^2))))</f>
        <v>1.7048838427655961</v>
      </c>
      <c r="AK27" s="44"/>
    </row>
    <row r="28" spans="1:37" ht="19.5" customHeight="1">
      <c r="A28" s="44"/>
      <c r="B28" s="82"/>
      <c r="C28" s="99"/>
      <c r="D28" s="3"/>
      <c r="E28" s="66"/>
      <c r="F28" s="66"/>
      <c r="G28" s="67"/>
      <c r="H28" s="67"/>
      <c r="I28" s="69"/>
      <c r="J28" s="69"/>
      <c r="K28" s="172"/>
      <c r="L28" s="172"/>
      <c r="M28" s="172"/>
      <c r="N28" s="172"/>
      <c r="O28" s="172"/>
      <c r="P28" s="172"/>
      <c r="Q28" s="70"/>
      <c r="R28" s="3"/>
      <c r="S28" s="173">
        <f>IF(T27="","",T27*1.2)</f>
        <v>192.12275825845137</v>
      </c>
      <c r="T28" s="173"/>
      <c r="U28" s="3"/>
      <c r="V28" s="3">
        <f>IF(V27&gt;0,V27*20,"")</f>
        <v>114.60000000000001</v>
      </c>
      <c r="W28" s="3">
        <f>IF(W27="","",(W27*10)*AJ27)</f>
        <v>141.67584733382105</v>
      </c>
      <c r="X28" s="3">
        <f>IF(ROUNDUP(X27,1)&gt;0,IF((80+(8-ROUNDUP(X27,1))*40)&lt;0,0,80+(8-ROUNDUP(X27,1))*40),"")</f>
        <v>100</v>
      </c>
      <c r="Y28" s="4">
        <f>IF(SUM(V28,W28,X28)&gt;0,SUM(V28,W28,X28),"")</f>
        <v>356.27584733382105</v>
      </c>
      <c r="Z28" s="3">
        <f>IF(AE27&gt;34,(IF(OR(S28="",V28="",W28="",X28=""),"",SUM(S28,V28,W28,X28))*AI27),IF(OR(S28="",V28="",W28="",X28=""),"", SUM(S28,V28,W28,X28)))</f>
        <v>548.39860559227247</v>
      </c>
      <c r="AA28" s="3"/>
      <c r="AB28" s="66"/>
      <c r="AC28" s="71"/>
      <c r="AD28" s="6"/>
      <c r="AE28" s="61"/>
      <c r="AF28" s="62"/>
      <c r="AG28" s="44"/>
      <c r="AH28" s="63"/>
      <c r="AI28" s="63"/>
      <c r="AJ28" s="64"/>
      <c r="AK28" s="44"/>
    </row>
    <row r="29" spans="1:37" ht="19.5" customHeight="1">
      <c r="A29" s="44"/>
      <c r="B29" s="83" t="s">
        <v>241</v>
      </c>
      <c r="C29" s="93" t="s">
        <v>237</v>
      </c>
      <c r="D29" s="78">
        <v>77.47</v>
      </c>
      <c r="E29" s="94" t="s">
        <v>219</v>
      </c>
      <c r="F29" s="95" t="s">
        <v>224</v>
      </c>
      <c r="G29" s="85">
        <v>35145</v>
      </c>
      <c r="H29" s="84" t="s">
        <v>77</v>
      </c>
      <c r="I29" s="87" t="s">
        <v>242</v>
      </c>
      <c r="J29" s="87" t="s">
        <v>79</v>
      </c>
      <c r="K29" s="96">
        <v>60</v>
      </c>
      <c r="L29" s="97">
        <v>63</v>
      </c>
      <c r="M29" s="97">
        <v>65</v>
      </c>
      <c r="N29" s="97">
        <v>70</v>
      </c>
      <c r="O29" s="98">
        <v>73</v>
      </c>
      <c r="P29" s="98">
        <v>75</v>
      </c>
      <c r="Q29" s="75">
        <f>IF(MAX(K29:M29)&gt;0,IF(MAX(K29:M29)&lt;0,0,TRUNC(MAX(K29:M29)/1)*1),"")</f>
        <v>65</v>
      </c>
      <c r="R29" s="76">
        <f>IF(MAX(N29:P29)&gt;0,IF(MAX(N29:P29)&lt;0,0,TRUNC(MAX(N29:P29)/1)*1),"")</f>
        <v>75</v>
      </c>
      <c r="S29" s="74">
        <f>IF(Q29="","",IF(R29="","",IF(SUM(Q29:R29)=0,"",SUM(Q29:R29))))</f>
        <v>140</v>
      </c>
      <c r="T29" s="77">
        <f>IF(S29="","",IF(D29="","",IF((AD29="k"),IF(D29&gt;153.757,S29,IF(C29&lt;28,10^(0.0787004341*LOG10(28/153.757)^2)*S29,10^(0.787004341*LOG10(D29/153.757)^2)*S29)),IF(D29&gt;193.609,S29,IF(D29&lt;32,10^(0.722762521*LOG10(32/193.609)^2)*S29,10^(0.722762521*LOG10(D29/193.609)^2)*S29)))))</f>
        <v>164.39066485253014</v>
      </c>
      <c r="U29" s="78" t="str">
        <f>IF(AF29=1,T29*AI29,"")</f>
        <v/>
      </c>
      <c r="V29" s="79">
        <v>6.45</v>
      </c>
      <c r="W29" s="79">
        <v>11.8</v>
      </c>
      <c r="X29" s="79">
        <v>8.24</v>
      </c>
      <c r="Y29" s="80"/>
      <c r="Z29" s="78"/>
      <c r="AA29" s="78">
        <v>8</v>
      </c>
      <c r="AB29" s="81"/>
      <c r="AC29" s="71">
        <f>U5</f>
        <v>46263</v>
      </c>
      <c r="AD29" s="60" t="str">
        <f>IF(ISNUMBER(FIND("M",E29)),"m",IF(ISNUMBER(FIND("K",E29)),"k"))</f>
        <v>k</v>
      </c>
      <c r="AE29" s="92">
        <f>IF(OR(G29="",AC29=""),0,(YEAR(AC29)-YEAR(G29)))</f>
        <v>30</v>
      </c>
      <c r="AF29" s="62">
        <f>IF(AE29&gt;34,1,0)</f>
        <v>0</v>
      </c>
      <c r="AG29" s="44" t="b">
        <f>IF(AF29=1,LOOKUP(AE29,'Meltzer-Faber'!A3:A63,'Meltzer-Faber'!B3:B63))</f>
        <v>0</v>
      </c>
      <c r="AH29" s="63" t="b">
        <f>IF(AF29=1,LOOKUP(AE29,'Meltzer-Faber'!A3:A63,'Meltzer-Faber'!C3:C63))</f>
        <v>0</v>
      </c>
      <c r="AI29" s="63" t="b">
        <f>IF(AD29="m",AG29,IF(AD29="k",AH29,""))</f>
        <v>0</v>
      </c>
      <c r="AJ29" s="64">
        <f>IF(D29="","",IF(D29&gt;193.609,1,IF(D29&lt;32,10^(0.722762521*LOG10(32/193.609)^2),10^(0.722762521*LOG10(D29/193.609)^2))))</f>
        <v>1.3012742357338871</v>
      </c>
      <c r="AK29" s="44"/>
    </row>
    <row r="30" spans="1:37" ht="19.5" customHeight="1">
      <c r="A30" s="44"/>
      <c r="B30" s="82"/>
      <c r="C30" s="99"/>
      <c r="D30" s="3"/>
      <c r="E30" s="66"/>
      <c r="F30" s="66"/>
      <c r="G30" s="67"/>
      <c r="H30" s="67"/>
      <c r="I30" s="69"/>
      <c r="J30" s="69"/>
      <c r="K30" s="172"/>
      <c r="L30" s="172"/>
      <c r="M30" s="172"/>
      <c r="N30" s="172"/>
      <c r="O30" s="172"/>
      <c r="P30" s="172"/>
      <c r="Q30" s="70"/>
      <c r="R30" s="3"/>
      <c r="S30" s="173">
        <f>IF(T29="","",T29*1.2)</f>
        <v>197.26879782303615</v>
      </c>
      <c r="T30" s="173"/>
      <c r="U30" s="3"/>
      <c r="V30" s="3">
        <f>IF(V29&gt;0,V29*20,"")</f>
        <v>129</v>
      </c>
      <c r="W30" s="3">
        <f>IF(W29="","",(W29*10)*AJ29)</f>
        <v>153.55035981659867</v>
      </c>
      <c r="X30" s="3">
        <f>IF(ROUNDUP(X29,1)&gt;0,IF((80+(8-ROUNDUP(X29,1))*40)&lt;0,0,80+(8-ROUNDUP(X29,1))*40),"")</f>
        <v>68.000000000000043</v>
      </c>
      <c r="Y30" s="4">
        <f>IF(SUM(V30,W30,X30)&gt;0,SUM(V30,W30,X30),"")</f>
        <v>350.5503598165987</v>
      </c>
      <c r="Z30" s="3">
        <f>IF(AE29&gt;34,(IF(OR(S30="",V30="",W30="",X30=""),"",SUM(S30,V30,W30,X30))*AI29),IF(OR(S30="",V30="",W30="",X30=""),"", SUM(S30,V30,W30,X30)))</f>
        <v>547.8191576396348</v>
      </c>
      <c r="AA30" s="3"/>
      <c r="AB30" s="66"/>
      <c r="AC30" s="71"/>
      <c r="AD30" s="6"/>
      <c r="AE30" s="61"/>
      <c r="AF30" s="62"/>
      <c r="AG30" s="44"/>
      <c r="AH30" s="63"/>
      <c r="AI30" s="63"/>
      <c r="AJ30" s="64"/>
      <c r="AK30" s="44"/>
    </row>
    <row r="31" spans="1:37" ht="19.5" customHeight="1">
      <c r="A31" s="44"/>
      <c r="B31" s="83"/>
      <c r="C31" s="93"/>
      <c r="D31" s="78"/>
      <c r="E31" s="94"/>
      <c r="F31" s="95"/>
      <c r="G31" s="85"/>
      <c r="H31" s="84"/>
      <c r="I31" s="87"/>
      <c r="J31" s="87"/>
      <c r="K31" s="96"/>
      <c r="L31" s="97"/>
      <c r="M31" s="97"/>
      <c r="N31" s="97"/>
      <c r="O31" s="98"/>
      <c r="P31" s="98"/>
      <c r="Q31" s="75" t="str">
        <f>IF(MAX(K31:M31)&gt;0,IF(MAX(K31:M31)&lt;0,0,TRUNC(MAX(K31:M31)/1)*1),"")</f>
        <v/>
      </c>
      <c r="R31" s="76" t="str">
        <f>IF(MAX(N31:P31)&gt;0,IF(MAX(N31:P31)&lt;0,0,TRUNC(MAX(N31:P31)/1)*1),"")</f>
        <v/>
      </c>
      <c r="S31" s="74" t="str">
        <f>IF(Q31="","",IF(R31="","",IF(SUM(Q31:R31)=0,"",SUM(Q31:R31))))</f>
        <v/>
      </c>
      <c r="T31" s="77" t="str">
        <f>IF(S31="","",IF(D31="","",IF((AD31="k"),IF(D31&gt;153.757,S31,IF(C31&lt;28,10^(0.0787004341*LOG10(28/153.757)^2)*S31,10^(0.787004341*LOG10(D31/153.757)^2)*S31)),IF(D31&gt;193.609,S31,IF(D31&lt;32,10^(0.722762521*LOG10(32/193.609)^2)*S31,10^(0.722762521*LOG10(D31/193.609)^2)*S31)))))</f>
        <v/>
      </c>
      <c r="U31" s="78" t="str">
        <f>IF(AF31=1,T31*AI31,"")</f>
        <v/>
      </c>
      <c r="V31" s="79"/>
      <c r="W31" s="79"/>
      <c r="X31" s="79"/>
      <c r="Y31" s="80"/>
      <c r="Z31" s="78"/>
      <c r="AA31" s="78"/>
      <c r="AB31" s="81"/>
      <c r="AC31" s="71">
        <f>U5</f>
        <v>46263</v>
      </c>
      <c r="AD31" s="60" t="b">
        <f>IF(ISNUMBER(FIND("M",E31)),"m",IF(ISNUMBER(FIND("K",E31)),"k"))</f>
        <v>0</v>
      </c>
      <c r="AE31" s="92">
        <f>IF(OR(G31="",AC31=""),0,(YEAR(AC31)-YEAR(G31)))</f>
        <v>0</v>
      </c>
      <c r="AF31" s="62">
        <f>IF(AE31&gt;34,1,0)</f>
        <v>0</v>
      </c>
      <c r="AG31" s="44" t="b">
        <f>IF(AF31=1,LOOKUP(AE31,'Meltzer-Faber'!A3:A63,'Meltzer-Faber'!B3:B63))</f>
        <v>0</v>
      </c>
      <c r="AH31" s="63" t="b">
        <f>IF(AF31=1,LOOKUP(AE31,'Meltzer-Faber'!A3:A63,'Meltzer-Faber'!C3:C63))</f>
        <v>0</v>
      </c>
      <c r="AI31" s="63" t="str">
        <f>IF(AD31="m",AG31,IF(AD31="k",AH31,""))</f>
        <v/>
      </c>
      <c r="AJ31" s="64" t="str">
        <f>IF(D31="","",IF(D31&gt;193.609,1,IF(D31&lt;32,10^(0.722762521*LOG10(32/193.609)^2),10^(0.722762521*LOG10(D31/193.609)^2))))</f>
        <v/>
      </c>
      <c r="AK31" s="44"/>
    </row>
    <row r="32" spans="1:37" ht="19.5" customHeight="1">
      <c r="A32" s="44"/>
      <c r="B32" s="82"/>
      <c r="C32" s="99"/>
      <c r="D32" s="3"/>
      <c r="E32" s="66"/>
      <c r="F32" s="66"/>
      <c r="G32" s="67"/>
      <c r="H32" s="67"/>
      <c r="I32" s="69"/>
      <c r="J32" s="69"/>
      <c r="K32" s="172"/>
      <c r="L32" s="172"/>
      <c r="M32" s="172"/>
      <c r="N32" s="172"/>
      <c r="O32" s="172"/>
      <c r="P32" s="172"/>
      <c r="Q32" s="70"/>
      <c r="R32" s="3"/>
      <c r="S32" s="173" t="str">
        <f>IF(T31="","",T31*1.2)</f>
        <v/>
      </c>
      <c r="T32" s="173"/>
      <c r="U32" s="3"/>
      <c r="V32" s="3" t="str">
        <f>IF(V31&gt;0,V31*20,"")</f>
        <v/>
      </c>
      <c r="W32" s="3" t="str">
        <f>IF(W31="","",(W31*10)*AJ31)</f>
        <v/>
      </c>
      <c r="X32" s="3" t="str">
        <f>IF(ROUNDUP(X31,1)&gt;0,IF((80+(8-ROUNDUP(X31,1))*40)&lt;0,0,80+(8-ROUNDUP(X31,1))*40),"")</f>
        <v/>
      </c>
      <c r="Y32" s="4" t="str">
        <f>IF(SUM(V32,W32,X32)&gt;0,SUM(V32,W32,X32),"")</f>
        <v/>
      </c>
      <c r="Z32" s="3" t="str">
        <f>IF(AE31&gt;34,(IF(OR(S32="",V32="",W32="",X32=""),"",SUM(S32,V32,W32,X32))*AI31),IF(OR(S32="",V32="",W32="",X32=""),"", SUM(S32,V32,W32,X32)))</f>
        <v/>
      </c>
      <c r="AA32" s="3"/>
      <c r="AB32" s="66"/>
      <c r="AC32" s="71"/>
      <c r="AD32" s="6"/>
      <c r="AE32" s="61"/>
      <c r="AF32" s="62"/>
      <c r="AG32" s="44"/>
      <c r="AH32" s="63"/>
      <c r="AI32" s="63"/>
      <c r="AJ32" s="64"/>
      <c r="AK32" s="44"/>
    </row>
    <row r="33" spans="1:37" ht="18.75" customHeight="1">
      <c r="A33" s="114"/>
      <c r="B33" s="114"/>
      <c r="C33" s="114"/>
      <c r="D33" s="115"/>
      <c r="E33" s="116"/>
      <c r="F33" s="116"/>
      <c r="G33" s="116"/>
      <c r="H33" s="117"/>
      <c r="I33" s="114"/>
      <c r="J33" s="114"/>
      <c r="K33" s="118"/>
      <c r="L33" s="119"/>
      <c r="M33" s="118"/>
      <c r="N33" s="118" t="s">
        <v>101</v>
      </c>
      <c r="O33" s="118"/>
      <c r="P33" s="118"/>
      <c r="Q33" s="116"/>
      <c r="R33" s="116"/>
      <c r="S33" s="116"/>
      <c r="T33" s="120"/>
      <c r="U33" s="120"/>
      <c r="V33" s="120"/>
      <c r="W33" s="120"/>
      <c r="X33" s="120"/>
      <c r="Y33" s="120"/>
      <c r="Z33" s="120"/>
      <c r="AA33" s="120"/>
      <c r="AB33" s="120"/>
      <c r="AC33" s="6"/>
      <c r="AD33" s="121"/>
      <c r="AE33" s="122">
        <f>(YEAR(AC33)-YEAR(G33))</f>
        <v>0</v>
      </c>
      <c r="AF33" s="62">
        <f>IF(AE35&gt;34,1,0)</f>
        <v>0</v>
      </c>
      <c r="AG33" s="114"/>
      <c r="AH33" s="117"/>
      <c r="AI33" s="117"/>
      <c r="AJ33" s="114"/>
      <c r="AK33" s="114"/>
    </row>
    <row r="34" spans="1:37" ht="21" customHeight="1">
      <c r="A34" s="114"/>
      <c r="B34" s="114"/>
      <c r="C34" s="114"/>
      <c r="D34" s="115"/>
      <c r="E34" s="116"/>
      <c r="F34" s="116"/>
      <c r="G34" s="116"/>
      <c r="H34" s="117"/>
      <c r="I34" s="114"/>
      <c r="J34" s="114"/>
      <c r="K34" s="118"/>
      <c r="L34" s="119"/>
      <c r="M34" s="118"/>
      <c r="N34" s="118"/>
      <c r="O34" s="118"/>
      <c r="P34" s="118"/>
      <c r="Q34" s="116"/>
      <c r="R34" s="116"/>
      <c r="S34" s="116"/>
      <c r="T34" s="120"/>
      <c r="U34" s="120"/>
      <c r="V34" s="120"/>
      <c r="W34" s="120"/>
      <c r="X34" s="120"/>
      <c r="Y34" s="120"/>
      <c r="Z34" s="120"/>
      <c r="AA34" s="120"/>
      <c r="AB34" s="120"/>
      <c r="AC34" s="6"/>
      <c r="AD34" s="121"/>
      <c r="AE34" s="122"/>
      <c r="AF34" s="62"/>
      <c r="AG34" s="114"/>
      <c r="AH34" s="117"/>
      <c r="AI34" s="117"/>
      <c r="AJ34" s="114"/>
      <c r="AK34" s="114"/>
    </row>
    <row r="35" spans="1:37" ht="22.5" customHeight="1">
      <c r="B35" s="166" t="s">
        <v>102</v>
      </c>
      <c r="C35" s="166"/>
      <c r="D35" s="123" t="s">
        <v>14</v>
      </c>
      <c r="E35" s="166" t="s">
        <v>21</v>
      </c>
      <c r="F35" s="166"/>
      <c r="G35" s="166"/>
      <c r="H35" s="166"/>
      <c r="I35" s="2" t="s">
        <v>103</v>
      </c>
      <c r="J35" s="124"/>
      <c r="K35" s="166" t="s">
        <v>102</v>
      </c>
      <c r="L35" s="166"/>
      <c r="M35" s="166"/>
      <c r="N35" s="1" t="s">
        <v>14</v>
      </c>
      <c r="O35" s="167" t="s">
        <v>21</v>
      </c>
      <c r="P35" s="167"/>
      <c r="Q35" s="167"/>
      <c r="R35" s="167"/>
      <c r="S35" s="167" t="s">
        <v>103</v>
      </c>
      <c r="T35" s="167"/>
      <c r="U35" s="12"/>
      <c r="V35" s="12"/>
      <c r="W35" s="12"/>
      <c r="X35" s="12"/>
      <c r="Y35" s="12"/>
      <c r="Z35" s="12"/>
      <c r="AA35" s="12"/>
      <c r="AB35" s="12"/>
      <c r="AF35" s="6"/>
      <c r="AH35" s="125"/>
      <c r="AI35" s="125"/>
    </row>
    <row r="36" spans="1:37" ht="19.5" customHeight="1">
      <c r="A36" s="16"/>
      <c r="B36" s="168" t="s">
        <v>104</v>
      </c>
      <c r="C36" s="168"/>
      <c r="D36" s="126" t="s">
        <v>105</v>
      </c>
      <c r="E36" s="169" t="s">
        <v>106</v>
      </c>
      <c r="F36" s="169"/>
      <c r="G36" s="169"/>
      <c r="H36" s="169"/>
      <c r="I36" s="127" t="s">
        <v>107</v>
      </c>
      <c r="K36" s="168" t="s">
        <v>108</v>
      </c>
      <c r="L36" s="168"/>
      <c r="M36" s="168"/>
      <c r="N36" s="128" t="s">
        <v>109</v>
      </c>
      <c r="O36" s="170" t="s">
        <v>110</v>
      </c>
      <c r="P36" s="170"/>
      <c r="Q36" s="170"/>
      <c r="R36" s="170"/>
      <c r="S36" s="171" t="s">
        <v>96</v>
      </c>
      <c r="T36" s="171"/>
      <c r="U36" s="16"/>
      <c r="V36" s="16"/>
      <c r="W36" s="16"/>
      <c r="X36" s="16"/>
      <c r="Y36" s="16"/>
      <c r="Z36" s="16"/>
      <c r="AA36" s="16"/>
      <c r="AB36" s="16"/>
      <c r="AC36" s="16"/>
      <c r="AD36" s="16"/>
      <c r="AE36" s="16"/>
      <c r="AF36" s="6"/>
      <c r="AG36" s="16"/>
      <c r="AH36" s="21"/>
      <c r="AI36" s="21"/>
      <c r="AJ36" s="16"/>
      <c r="AK36" s="16"/>
    </row>
    <row r="37" spans="1:37" ht="21" customHeight="1">
      <c r="A37" s="16"/>
      <c r="B37" s="162" t="s">
        <v>111</v>
      </c>
      <c r="C37" s="162"/>
      <c r="D37" s="129" t="s">
        <v>118</v>
      </c>
      <c r="E37" s="163" t="s">
        <v>119</v>
      </c>
      <c r="F37" s="163"/>
      <c r="G37" s="163"/>
      <c r="H37" s="163"/>
      <c r="I37" s="130" t="s">
        <v>96</v>
      </c>
      <c r="K37" s="162" t="s">
        <v>115</v>
      </c>
      <c r="L37" s="162"/>
      <c r="M37" s="162"/>
      <c r="N37" s="131" t="s">
        <v>243</v>
      </c>
      <c r="O37" s="164" t="s">
        <v>244</v>
      </c>
      <c r="P37" s="164"/>
      <c r="Q37" s="164"/>
      <c r="R37" s="164"/>
      <c r="S37" s="165" t="s">
        <v>96</v>
      </c>
      <c r="T37" s="165"/>
      <c r="U37" s="16"/>
      <c r="V37" s="16"/>
      <c r="W37" s="16"/>
      <c r="X37" s="16"/>
      <c r="Y37" s="16"/>
      <c r="Z37" s="16"/>
      <c r="AA37" s="16"/>
      <c r="AB37" s="16"/>
      <c r="AC37" s="16"/>
      <c r="AD37" s="16"/>
      <c r="AE37" s="16"/>
      <c r="AF37" s="16"/>
      <c r="AG37" s="16"/>
      <c r="AH37" s="21"/>
      <c r="AI37" s="21"/>
      <c r="AJ37" s="16"/>
      <c r="AK37" s="16"/>
    </row>
    <row r="38" spans="1:37" ht="18.75" customHeight="1">
      <c r="A38" s="16"/>
      <c r="B38" s="162" t="s">
        <v>111</v>
      </c>
      <c r="C38" s="162"/>
      <c r="D38" s="129" t="s">
        <v>245</v>
      </c>
      <c r="E38" s="163" t="s">
        <v>246</v>
      </c>
      <c r="F38" s="163"/>
      <c r="G38" s="163"/>
      <c r="H38" s="163"/>
      <c r="I38" s="130" t="s">
        <v>58</v>
      </c>
      <c r="K38" s="162" t="s">
        <v>120</v>
      </c>
      <c r="L38" s="162"/>
      <c r="M38" s="162"/>
      <c r="N38" s="131"/>
      <c r="O38" s="164"/>
      <c r="P38" s="164"/>
      <c r="Q38" s="164"/>
      <c r="R38" s="164"/>
      <c r="S38" s="165"/>
      <c r="T38" s="165"/>
      <c r="U38" s="16"/>
      <c r="V38" s="16" t="s">
        <v>121</v>
      </c>
      <c r="W38" s="16"/>
      <c r="X38" s="16"/>
      <c r="Y38" s="16"/>
      <c r="Z38" s="16"/>
      <c r="AA38" s="16"/>
      <c r="AB38" s="16"/>
      <c r="AC38" s="16"/>
      <c r="AD38" s="16"/>
      <c r="AE38" s="16"/>
      <c r="AF38" s="16"/>
      <c r="AG38" s="16"/>
      <c r="AH38" s="21"/>
      <c r="AI38" s="21"/>
      <c r="AJ38" s="16"/>
      <c r="AK38" s="16"/>
    </row>
    <row r="39" spans="1:37" ht="21" customHeight="1">
      <c r="A39" s="16"/>
      <c r="B39" s="162" t="s">
        <v>111</v>
      </c>
      <c r="C39" s="162"/>
      <c r="D39" s="129" t="s">
        <v>247</v>
      </c>
      <c r="E39" s="163" t="s">
        <v>248</v>
      </c>
      <c r="F39" s="163"/>
      <c r="G39" s="163"/>
      <c r="H39" s="163"/>
      <c r="I39" s="130" t="s">
        <v>92</v>
      </c>
      <c r="K39" s="162" t="s">
        <v>125</v>
      </c>
      <c r="L39" s="162"/>
      <c r="M39" s="162"/>
      <c r="N39" s="131"/>
      <c r="O39" s="164"/>
      <c r="P39" s="164"/>
      <c r="Q39" s="164"/>
      <c r="R39" s="164"/>
      <c r="S39" s="165"/>
      <c r="T39" s="165"/>
      <c r="U39" s="16"/>
      <c r="V39" s="16"/>
      <c r="W39" s="16"/>
      <c r="X39" s="16"/>
      <c r="Y39" s="16"/>
      <c r="Z39" s="16"/>
      <c r="AA39" s="16"/>
      <c r="AB39" s="16"/>
      <c r="AC39" s="16"/>
      <c r="AD39" s="16" t="s">
        <v>101</v>
      </c>
      <c r="AE39" s="16"/>
      <c r="AF39" s="16"/>
      <c r="AG39" s="16"/>
      <c r="AH39" s="21"/>
      <c r="AI39" s="21"/>
      <c r="AJ39" s="16"/>
      <c r="AK39" s="16"/>
    </row>
    <row r="40" spans="1:37" ht="19.5" customHeight="1">
      <c r="A40" s="16"/>
      <c r="B40" s="162" t="s">
        <v>111</v>
      </c>
      <c r="C40" s="162"/>
      <c r="D40" s="129"/>
      <c r="E40" s="163"/>
      <c r="F40" s="163"/>
      <c r="G40" s="163"/>
      <c r="H40" s="163"/>
      <c r="I40" s="130"/>
      <c r="K40" s="162" t="s">
        <v>126</v>
      </c>
      <c r="L40" s="162"/>
      <c r="M40" s="162"/>
      <c r="N40" s="131"/>
      <c r="O40" s="164"/>
      <c r="P40" s="164"/>
      <c r="Q40" s="164"/>
      <c r="R40" s="164"/>
      <c r="S40" s="165"/>
      <c r="T40" s="165"/>
      <c r="U40" s="16"/>
      <c r="V40" s="16"/>
      <c r="W40" s="16"/>
      <c r="X40" s="16"/>
      <c r="Y40" s="16"/>
      <c r="Z40" s="16"/>
      <c r="AA40" s="16"/>
      <c r="AB40" s="16"/>
      <c r="AC40" s="16"/>
      <c r="AD40" s="16"/>
      <c r="AE40" s="16"/>
      <c r="AF40" s="16"/>
      <c r="AG40" s="16"/>
      <c r="AH40" s="21"/>
      <c r="AI40" s="21"/>
      <c r="AJ40" s="16"/>
      <c r="AK40" s="16"/>
    </row>
    <row r="41" spans="1:37" ht="18.75" customHeight="1">
      <c r="B41" s="162" t="s">
        <v>111</v>
      </c>
      <c r="C41" s="162"/>
      <c r="D41" s="129"/>
      <c r="E41" s="163"/>
      <c r="F41" s="163"/>
      <c r="G41" s="163"/>
      <c r="H41" s="163"/>
      <c r="I41" s="130"/>
      <c r="J41" s="5"/>
      <c r="K41" s="162" t="s">
        <v>126</v>
      </c>
      <c r="L41" s="162"/>
      <c r="M41" s="162"/>
      <c r="N41" s="131"/>
      <c r="O41" s="164"/>
      <c r="P41" s="164"/>
      <c r="Q41" s="164"/>
      <c r="R41" s="164"/>
      <c r="S41" s="165"/>
      <c r="T41" s="165"/>
      <c r="U41" s="5"/>
      <c r="V41" s="5"/>
      <c r="W41" s="5"/>
      <c r="X41" s="5"/>
      <c r="Y41" s="5"/>
      <c r="Z41" s="5"/>
      <c r="AA41" s="5"/>
      <c r="AB41" s="5"/>
    </row>
    <row r="42" spans="1:37" ht="19.5" customHeight="1">
      <c r="B42" s="162" t="s">
        <v>127</v>
      </c>
      <c r="C42" s="162"/>
      <c r="D42" s="129" t="s">
        <v>105</v>
      </c>
      <c r="E42" s="163" t="s">
        <v>106</v>
      </c>
      <c r="F42" s="163"/>
      <c r="G42" s="163"/>
      <c r="H42" s="163"/>
      <c r="I42" s="130" t="s">
        <v>107</v>
      </c>
      <c r="J42" s="5"/>
      <c r="K42" s="162" t="s">
        <v>126</v>
      </c>
      <c r="L42" s="162"/>
      <c r="M42" s="162"/>
      <c r="N42" s="131"/>
      <c r="O42" s="164"/>
      <c r="P42" s="164"/>
      <c r="Q42" s="164"/>
      <c r="R42" s="164"/>
      <c r="S42" s="165"/>
      <c r="T42" s="165"/>
      <c r="U42" s="5"/>
      <c r="V42" s="5"/>
      <c r="W42" s="5"/>
      <c r="X42" s="5"/>
      <c r="Y42" s="5"/>
      <c r="Z42" s="5"/>
      <c r="AA42" s="5"/>
      <c r="AB42" s="5"/>
    </row>
    <row r="43" spans="1:37" ht="19.5" customHeight="1">
      <c r="B43" s="156"/>
      <c r="C43" s="156"/>
      <c r="D43" s="132"/>
      <c r="E43" s="157"/>
      <c r="F43" s="157"/>
      <c r="G43" s="157"/>
      <c r="H43" s="157"/>
      <c r="I43" s="133"/>
      <c r="J43" s="5"/>
      <c r="K43" s="156" t="s">
        <v>126</v>
      </c>
      <c r="L43" s="156"/>
      <c r="M43" s="156"/>
      <c r="N43" s="134"/>
      <c r="O43" s="158"/>
      <c r="P43" s="158"/>
      <c r="Q43" s="158"/>
      <c r="R43" s="158"/>
      <c r="S43" s="159"/>
      <c r="T43" s="159"/>
      <c r="U43" s="5"/>
      <c r="V43" s="5"/>
      <c r="W43" s="5"/>
      <c r="X43" s="5"/>
      <c r="Y43" s="5"/>
      <c r="Z43" s="5"/>
      <c r="AA43" s="5"/>
      <c r="AB43" s="5"/>
    </row>
    <row r="44" spans="1:37" ht="18.75" customHeight="1">
      <c r="B44" s="160"/>
      <c r="C44" s="160"/>
      <c r="D44" s="161"/>
      <c r="E44" s="161"/>
      <c r="F44" s="135"/>
      <c r="G44" s="161"/>
      <c r="H44" s="161"/>
      <c r="I44" s="161"/>
      <c r="J44" s="5"/>
      <c r="K44" s="161"/>
      <c r="L44" s="161"/>
      <c r="M44" s="161"/>
      <c r="N44" s="161"/>
      <c r="O44" s="161"/>
      <c r="P44" s="161"/>
      <c r="Q44" s="161"/>
      <c r="R44" s="161"/>
      <c r="S44" s="161"/>
      <c r="T44" s="161"/>
      <c r="U44" s="5"/>
      <c r="V44" s="5"/>
      <c r="W44" s="5"/>
      <c r="X44" s="5"/>
      <c r="Y44" s="5"/>
      <c r="Z44" s="5"/>
      <c r="AA44" s="5"/>
      <c r="AB44" s="5"/>
    </row>
    <row r="45" spans="1:37" ht="18" customHeight="1">
      <c r="B45" s="153" t="s">
        <v>130</v>
      </c>
      <c r="C45" s="153"/>
      <c r="D45" s="153"/>
      <c r="E45" s="153"/>
      <c r="F45" s="153"/>
      <c r="G45" s="153"/>
      <c r="H45" s="153"/>
      <c r="I45" s="153"/>
      <c r="J45" s="153"/>
      <c r="K45" s="153"/>
      <c r="L45" s="153"/>
      <c r="M45" s="153"/>
      <c r="N45" s="153"/>
      <c r="O45" s="153"/>
      <c r="P45" s="153"/>
      <c r="Q45" s="153"/>
      <c r="R45" s="153"/>
      <c r="S45" s="153"/>
      <c r="T45" s="153"/>
      <c r="U45" s="5"/>
      <c r="V45" s="5"/>
      <c r="W45" s="5"/>
      <c r="X45" s="5"/>
      <c r="Y45" s="5"/>
      <c r="Z45" s="5"/>
      <c r="AA45" s="5"/>
      <c r="AB45" s="5"/>
    </row>
    <row r="46" spans="1:37" ht="18" customHeight="1">
      <c r="B46" s="154"/>
      <c r="C46" s="154"/>
      <c r="D46" s="154"/>
      <c r="E46" s="154"/>
      <c r="F46" s="154"/>
      <c r="G46" s="154"/>
      <c r="H46" s="154"/>
      <c r="I46" s="154"/>
      <c r="J46" s="154"/>
      <c r="K46" s="154"/>
      <c r="L46" s="154"/>
      <c r="M46" s="154"/>
      <c r="N46" s="154"/>
      <c r="O46" s="154"/>
      <c r="P46" s="154"/>
      <c r="Q46" s="154"/>
      <c r="R46" s="154"/>
      <c r="S46" s="154"/>
      <c r="T46" s="154"/>
      <c r="U46" s="5"/>
      <c r="V46" s="5"/>
      <c r="W46" s="5"/>
      <c r="X46" s="5"/>
      <c r="Y46" s="5"/>
      <c r="Z46" s="5"/>
      <c r="AA46" s="5"/>
      <c r="AB46" s="5"/>
    </row>
    <row r="47" spans="1:37" ht="13.5" customHeight="1">
      <c r="B47" s="6"/>
      <c r="D47" s="136"/>
      <c r="E47" s="16"/>
      <c r="F47" s="16"/>
      <c r="G47" s="136"/>
      <c r="H47" s="16"/>
      <c r="I47" s="124"/>
      <c r="J47" s="16"/>
      <c r="K47" s="16"/>
      <c r="L47" s="16"/>
      <c r="M47" s="16"/>
      <c r="N47" s="16"/>
      <c r="O47" s="16"/>
      <c r="P47" s="16"/>
      <c r="Q47" s="16"/>
      <c r="R47" s="16"/>
      <c r="S47" s="16"/>
      <c r="T47" s="16"/>
      <c r="U47" s="16"/>
      <c r="V47" s="16"/>
      <c r="W47" s="16"/>
      <c r="X47" s="16"/>
      <c r="Y47" s="16"/>
      <c r="Z47" s="16"/>
      <c r="AA47" s="16"/>
    </row>
    <row r="48" spans="1:37" ht="13.5" customHeight="1">
      <c r="B48" s="137"/>
      <c r="C48" s="137"/>
      <c r="D48" s="138"/>
      <c r="E48" s="139"/>
      <c r="F48" s="139"/>
      <c r="G48" s="140"/>
      <c r="H48" s="141"/>
      <c r="I48" s="5"/>
      <c r="J48" s="16"/>
      <c r="K48" s="16"/>
      <c r="L48" s="16"/>
      <c r="M48" s="16"/>
      <c r="N48" s="16"/>
      <c r="O48" s="16"/>
      <c r="P48" s="16"/>
      <c r="Q48" s="16"/>
      <c r="R48" s="16"/>
      <c r="S48" s="16"/>
      <c r="T48" s="16"/>
      <c r="U48" s="16"/>
      <c r="V48" s="16"/>
      <c r="W48" s="16"/>
      <c r="X48" s="16"/>
      <c r="Y48" s="16"/>
      <c r="Z48" s="16"/>
      <c r="AA48" s="16"/>
    </row>
    <row r="49" spans="5:7" ht="15"/>
    <row r="50" spans="5:7" ht="12.75" customHeight="1">
      <c r="E50" s="155"/>
      <c r="F50" s="155"/>
      <c r="G50" s="155"/>
    </row>
    <row r="51" spans="5:7" ht="15"/>
    <row r="52" spans="5:7" ht="15"/>
    <row r="53" spans="5:7" ht="15"/>
    <row r="54" spans="5:7" ht="15"/>
    <row r="55" spans="5:7" ht="15"/>
    <row r="56" spans="5:7" ht="15"/>
    <row r="57" spans="5:7" ht="15"/>
    <row r="58" spans="5:7" ht="15"/>
    <row r="59" spans="5:7" ht="15"/>
    <row r="60" spans="5:7" ht="15"/>
    <row r="61" spans="5:7" ht="15"/>
    <row r="62" spans="5:7" ht="15"/>
    <row r="63" spans="5:7" ht="15"/>
    <row r="64" spans="5:7" ht="15"/>
    <row r="65" ht="15"/>
    <row r="66" ht="15"/>
    <row r="67" ht="15"/>
    <row r="68" ht="15"/>
    <row r="69" ht="15"/>
    <row r="70" ht="15"/>
    <row r="71" ht="15"/>
    <row r="72" ht="15"/>
    <row r="73" ht="15"/>
    <row r="74" ht="15"/>
    <row r="75" ht="15"/>
    <row r="76" ht="15"/>
    <row r="77" ht="15"/>
    <row r="78" ht="15"/>
    <row r="79" ht="15"/>
    <row r="80" ht="15"/>
  </sheetData>
  <mergeCells count="102">
    <mergeCell ref="G2:R2"/>
    <mergeCell ref="G3:R3"/>
    <mergeCell ref="D5:I5"/>
    <mergeCell ref="K5:N5"/>
    <mergeCell ref="P5:S5"/>
    <mergeCell ref="U5:V5"/>
    <mergeCell ref="AJ6:AJ7"/>
    <mergeCell ref="B7:B8"/>
    <mergeCell ref="C7:C8"/>
    <mergeCell ref="D7:D8"/>
    <mergeCell ref="E7:E8"/>
    <mergeCell ref="F7:F8"/>
    <mergeCell ref="K10:M10"/>
    <mergeCell ref="N10:P10"/>
    <mergeCell ref="S10:T10"/>
    <mergeCell ref="K12:M12"/>
    <mergeCell ref="N12:P12"/>
    <mergeCell ref="S12:T12"/>
    <mergeCell ref="K14:M14"/>
    <mergeCell ref="N14:P14"/>
    <mergeCell ref="S14:T14"/>
    <mergeCell ref="K16:M16"/>
    <mergeCell ref="N16:P16"/>
    <mergeCell ref="S16:T16"/>
    <mergeCell ref="K18:M18"/>
    <mergeCell ref="N18:P18"/>
    <mergeCell ref="S18:T18"/>
    <mergeCell ref="K20:M20"/>
    <mergeCell ref="N20:P20"/>
    <mergeCell ref="S20:T20"/>
    <mergeCell ref="K22:M22"/>
    <mergeCell ref="N22:P22"/>
    <mergeCell ref="S22:T22"/>
    <mergeCell ref="K24:M24"/>
    <mergeCell ref="N24:P24"/>
    <mergeCell ref="S24:T24"/>
    <mergeCell ref="K26:M26"/>
    <mergeCell ref="N26:P26"/>
    <mergeCell ref="S26:T26"/>
    <mergeCell ref="K28:M28"/>
    <mergeCell ref="N28:P28"/>
    <mergeCell ref="S28:T28"/>
    <mergeCell ref="K30:M30"/>
    <mergeCell ref="N30:P30"/>
    <mergeCell ref="S30:T30"/>
    <mergeCell ref="K32:M32"/>
    <mergeCell ref="N32:P32"/>
    <mergeCell ref="S32:T32"/>
    <mergeCell ref="B35:C35"/>
    <mergeCell ref="E35:H35"/>
    <mergeCell ref="K35:M35"/>
    <mergeCell ref="O35:R35"/>
    <mergeCell ref="S35:T35"/>
    <mergeCell ref="B36:C36"/>
    <mergeCell ref="E36:H36"/>
    <mergeCell ref="K36:M36"/>
    <mergeCell ref="O36:R36"/>
    <mergeCell ref="S36:T36"/>
    <mergeCell ref="B37:C37"/>
    <mergeCell ref="E37:H37"/>
    <mergeCell ref="K37:M37"/>
    <mergeCell ref="O37:R37"/>
    <mergeCell ref="S37:T37"/>
    <mergeCell ref="B38:C38"/>
    <mergeCell ref="E38:H38"/>
    <mergeCell ref="K38:M38"/>
    <mergeCell ref="O38:R38"/>
    <mergeCell ref="S38:T38"/>
    <mergeCell ref="B39:C39"/>
    <mergeCell ref="E39:H39"/>
    <mergeCell ref="K39:M39"/>
    <mergeCell ref="O39:R39"/>
    <mergeCell ref="S39:T39"/>
    <mergeCell ref="B40:C40"/>
    <mergeCell ref="E40:H40"/>
    <mergeCell ref="K40:M40"/>
    <mergeCell ref="O40:R40"/>
    <mergeCell ref="S40:T40"/>
    <mergeCell ref="B41:C41"/>
    <mergeCell ref="E41:H41"/>
    <mergeCell ref="K41:M41"/>
    <mergeCell ref="O41:R41"/>
    <mergeCell ref="S41:T41"/>
    <mergeCell ref="B42:C42"/>
    <mergeCell ref="E42:H42"/>
    <mergeCell ref="K42:M42"/>
    <mergeCell ref="O42:R42"/>
    <mergeCell ref="S42:T42"/>
    <mergeCell ref="B45:T45"/>
    <mergeCell ref="B46:T46"/>
    <mergeCell ref="E50:G50"/>
    <mergeCell ref="B43:C43"/>
    <mergeCell ref="E43:H43"/>
    <mergeCell ref="K43:M43"/>
    <mergeCell ref="O43:R43"/>
    <mergeCell ref="S43:T43"/>
    <mergeCell ref="B44:C44"/>
    <mergeCell ref="D44:E44"/>
    <mergeCell ref="G44:I44"/>
    <mergeCell ref="K44:M44"/>
    <mergeCell ref="N44:O44"/>
    <mergeCell ref="P44:T44"/>
  </mergeCells>
  <conditionalFormatting sqref="K27">
    <cfRule type="cellIs" dxfId="119" priority="25" operator="lessThanOrEqual">
      <formula>0</formula>
    </cfRule>
    <cfRule type="cellIs" dxfId="118" priority="24" operator="between">
      <formula>1</formula>
      <formula>300</formula>
    </cfRule>
  </conditionalFormatting>
  <conditionalFormatting sqref="K29">
    <cfRule type="cellIs" dxfId="117" priority="23" operator="lessThanOrEqual">
      <formula>0</formula>
    </cfRule>
    <cfRule type="cellIs" dxfId="116" priority="22" operator="between">
      <formula>1</formula>
      <formula>300</formula>
    </cfRule>
  </conditionalFormatting>
  <conditionalFormatting sqref="K31">
    <cfRule type="cellIs" dxfId="115" priority="20" operator="between">
      <formula>1</formula>
      <formula>300</formula>
    </cfRule>
    <cfRule type="cellIs" dxfId="114" priority="21" operator="lessThanOrEqual">
      <formula>0</formula>
    </cfRule>
  </conditionalFormatting>
  <conditionalFormatting sqref="K9:P9">
    <cfRule type="cellIs" dxfId="113" priority="14" operator="between">
      <formula>1</formula>
      <formula>300</formula>
    </cfRule>
    <cfRule type="cellIs" dxfId="112" priority="15" operator="lessThanOrEqual">
      <formula>0</formula>
    </cfRule>
  </conditionalFormatting>
  <conditionalFormatting sqref="K11:P11">
    <cfRule type="cellIs" dxfId="111" priority="12" operator="between">
      <formula>1</formula>
      <formula>300</formula>
    </cfRule>
    <cfRule type="cellIs" dxfId="110" priority="13" operator="lessThanOrEqual">
      <formula>0</formula>
    </cfRule>
  </conditionalFormatting>
  <conditionalFormatting sqref="K13:P13">
    <cfRule type="cellIs" dxfId="109" priority="8" operator="between">
      <formula>1</formula>
      <formula>300</formula>
    </cfRule>
    <cfRule type="cellIs" dxfId="108" priority="9" operator="lessThanOrEqual">
      <formula>0</formula>
    </cfRule>
  </conditionalFormatting>
  <conditionalFormatting sqref="K15:P15">
    <cfRule type="cellIs" dxfId="107" priority="10" operator="between">
      <formula>1</formula>
      <formula>300</formula>
    </cfRule>
    <cfRule type="cellIs" dxfId="106" priority="11" operator="lessThanOrEqual">
      <formula>0</formula>
    </cfRule>
  </conditionalFormatting>
  <conditionalFormatting sqref="K17:P17">
    <cfRule type="cellIs" dxfId="105" priority="16" operator="between">
      <formula>1</formula>
      <formula>300</formula>
    </cfRule>
    <cfRule type="cellIs" dxfId="104" priority="17" operator="lessThanOrEqual">
      <formula>0</formula>
    </cfRule>
  </conditionalFormatting>
  <conditionalFormatting sqref="K19:P19">
    <cfRule type="cellIs" dxfId="103" priority="2" operator="between">
      <formula>1</formula>
      <formula>300</formula>
    </cfRule>
    <cfRule type="cellIs" dxfId="102" priority="3" operator="lessThanOrEqual">
      <formula>0</formula>
    </cfRule>
  </conditionalFormatting>
  <conditionalFormatting sqref="K21:P21">
    <cfRule type="cellIs" dxfId="101" priority="5" operator="lessThanOrEqual">
      <formula>0</formula>
    </cfRule>
    <cfRule type="cellIs" dxfId="100" priority="4" operator="between">
      <formula>1</formula>
      <formula>300</formula>
    </cfRule>
  </conditionalFormatting>
  <conditionalFormatting sqref="K23:P23">
    <cfRule type="cellIs" dxfId="99" priority="7" operator="lessThanOrEqual">
      <formula>0</formula>
    </cfRule>
    <cfRule type="cellIs" dxfId="98" priority="6" operator="between">
      <formula>1</formula>
      <formula>300</formula>
    </cfRule>
  </conditionalFormatting>
  <conditionalFormatting sqref="K25:P25">
    <cfRule type="cellIs" dxfId="97" priority="19" operator="lessThanOrEqual">
      <formula>0</formula>
    </cfRule>
    <cfRule type="cellIs" dxfId="96" priority="18" operator="between">
      <formula>1</formula>
      <formula>300</formula>
    </cfRule>
  </conditionalFormatting>
  <conditionalFormatting sqref="L27:N27">
    <cfRule type="cellIs" dxfId="95" priority="30" operator="between">
      <formula>1</formula>
      <formula>300</formula>
    </cfRule>
    <cfRule type="cellIs" dxfId="94" priority="31" operator="lessThanOrEqual">
      <formula>0</formula>
    </cfRule>
  </conditionalFormatting>
  <conditionalFormatting sqref="L29:N29">
    <cfRule type="cellIs" dxfId="93" priority="28" operator="between">
      <formula>1</formula>
      <formula>300</formula>
    </cfRule>
    <cfRule type="cellIs" dxfId="92" priority="29" operator="lessThanOrEqual">
      <formula>0</formula>
    </cfRule>
  </conditionalFormatting>
  <conditionalFormatting sqref="L31:N31">
    <cfRule type="cellIs" dxfId="91" priority="26" operator="between">
      <formula>1</formula>
      <formula>300</formula>
    </cfRule>
    <cfRule type="cellIs" dxfId="90" priority="27" operator="lessThanOrEqual">
      <formula>0</formula>
    </cfRule>
  </conditionalFormatting>
  <dataValidations count="6">
    <dataValidation type="list" allowBlank="1" showInputMessage="1" showErrorMessage="1" sqref="B36:C43 K36:M43" xr:uid="{00000000-0002-0000-0700-000000000000}">
      <formula1>"Dommer,Stevnets leder,Jury,Sekretær,Speaker,Teknisk kontrollør,Chief Marshall,Tidtaker"</formula1>
      <formula2>0</formula2>
    </dataValidation>
    <dataValidation type="list" allowBlank="1" showInputMessage="1" showErrorMessage="1" sqref="C11 C9 C31 C29 C27 C25 C23 C21 C19 C17 C15 C13" xr:uid="{00000000-0002-0000-0700-000001000000}">
      <formula1>"44,48,53,56,58,60,63,65,69,71,77,'+77,79,86,'+86,88,94,'+94,110,'+110"</formula1>
      <formula2>0</formula2>
    </dataValidation>
    <dataValidation type="list" allowBlank="1" showInputMessage="1" showErrorMessage="1" sqref="D5:I5" xr:uid="{00000000-0002-0000-0700-00000D000000}">
      <formula1>"Nasjonalt stevne,Seriestevne,Seriestevne 5-kamp,Klubbmesterskap,Regionsmesterskap,Landsdelsmesterskap,Norgesmesterskap Senior,Norgesmesterskap Ungdom,Norgesmesterskap Junior,Norgesmesterskap Veteran,Norgesmesterskap 5-kamp,Norgesmesterskap Lag"</formula1>
      <formula2>0</formula2>
    </dataValidation>
    <dataValidation type="list" allowBlank="1" showInputMessage="1" showErrorMessage="1" sqref="E11 F12 E9 E31 E29 E27 E25 E23 E21 E19 E17 E15 E13" xr:uid="{00000000-0002-0000-0700-00000E000000}">
      <formula1>"UM,JM,SM,UK,JK,SK,M35,M40,M45,M50,M55,M60,M65,M70,M75,M80,M85,M90,K35,K40,K45,K50,K55,K60,K65,K70,K75,K80,K85,K90"</formula1>
      <formula2>0</formula2>
    </dataValidation>
    <dataValidation type="list" allowBlank="1" showInputMessage="1" showErrorMessage="1" sqref="F11 F9 F31 F29 F27 F25 F23 F21 F19 F17 F15 F13" xr:uid="{00000000-0002-0000-0700-00001A000000}">
      <formula1>"11-12,13-14,15-16,17-18,19-23,24-34,+35"</formula1>
      <formula2>0</formula2>
    </dataValidation>
    <dataValidation type="list" allowBlank="1" showInputMessage="1" showErrorMessage="1" prompt="Feil_i_kat. 5-kamp - Feil verdi i kategori 5-kamp" sqref="G12" xr:uid="{00000000-0002-0000-0700-000027000000}">
      <formula1>"11-12,13-14,15-16,17-18,19-23,24-34,+35,35+"</formula1>
      <formula2>0</formula2>
    </dataValidation>
  </dataValidations>
  <pageMargins left="0.27569444444444402" right="0.35416666666666702" top="0.27569444444444402" bottom="0.27569444444444402" header="0.511811023622047" footer="0.511811023622047"/>
  <pageSetup paperSize="9" orientation="landscape" useFirstPageNumber="1" horizontalDpi="300" verticalDpi="300"/>
  <drawing r:id="rId1"/>
  <legacy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AK82"/>
  <sheetViews>
    <sheetView topLeftCell="A39" zoomScaleNormal="100" workbookViewId="0">
      <selection activeCell="G54" sqref="G1:G1048576"/>
    </sheetView>
  </sheetViews>
  <sheetFormatPr baseColWidth="10" defaultColWidth="9.1640625" defaultRowHeight="12.75" customHeight="1"/>
  <cols>
    <col min="1" max="1" width="4.33203125" style="5" customWidth="1"/>
    <col min="2" max="2" width="10.1640625" style="5" customWidth="1"/>
    <col min="3" max="3" width="6.33203125" style="6" customWidth="1"/>
    <col min="4" max="4" width="8.6640625" style="6" customWidth="1"/>
    <col min="5" max="6" width="6.33203125" style="7" customWidth="1"/>
    <col min="7" max="7" width="10.6640625" style="6" hidden="1" customWidth="1"/>
    <col min="8" max="8" width="3.83203125" style="6" customWidth="1"/>
    <col min="9" max="9" width="27.83203125" style="8" customWidth="1"/>
    <col min="10" max="10" width="21" style="8" customWidth="1"/>
    <col min="11" max="11" width="6.83203125" style="6" customWidth="1"/>
    <col min="12" max="12" width="6.83203125" style="9" customWidth="1"/>
    <col min="13" max="13" width="6.83203125" style="6" customWidth="1"/>
    <col min="14" max="14" width="8.83203125" style="6" customWidth="1"/>
    <col min="15" max="19" width="6.83203125" style="6" customWidth="1"/>
    <col min="20" max="23" width="8" style="10" customWidth="1"/>
    <col min="24" max="24" width="9" style="10" customWidth="1"/>
    <col min="25" max="26" width="8" style="10" customWidth="1"/>
    <col min="27" max="27" width="4.33203125" style="10" customWidth="1"/>
    <col min="28" max="28" width="5.6640625" style="10" customWidth="1"/>
    <col min="29" max="29" width="9.6640625" style="5" hidden="1" customWidth="1"/>
    <col min="30" max="31" width="9.1640625" style="5" hidden="1"/>
    <col min="32" max="32" width="7.83203125" style="5" hidden="1" customWidth="1"/>
    <col min="33" max="33" width="9.1640625" style="5" hidden="1"/>
    <col min="34" max="35" width="9.1640625" style="11" hidden="1"/>
    <col min="36" max="36" width="9.1640625" style="5" hidden="1"/>
    <col min="37" max="37" width="9.1640625" style="5"/>
  </cols>
  <sheetData>
    <row r="1" spans="1:37" ht="18.75" customHeight="1">
      <c r="A1" s="12"/>
      <c r="B1" s="12"/>
      <c r="C1" s="12"/>
      <c r="D1" s="12"/>
      <c r="E1" s="12"/>
      <c r="F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  <c r="T1" s="12"/>
      <c r="U1" s="12"/>
      <c r="V1" s="12"/>
      <c r="W1" s="12"/>
      <c r="X1" s="12"/>
      <c r="Y1" s="12"/>
    </row>
    <row r="2" spans="1:37" ht="75" customHeight="1">
      <c r="A2" s="12"/>
      <c r="B2" s="12"/>
      <c r="C2" s="12"/>
      <c r="D2" s="12"/>
      <c r="E2" s="12"/>
      <c r="F2" s="12"/>
      <c r="G2" s="174" t="s">
        <v>0</v>
      </c>
      <c r="H2" s="174"/>
      <c r="I2" s="174"/>
      <c r="J2" s="174"/>
      <c r="K2" s="174"/>
      <c r="L2" s="174"/>
      <c r="M2" s="174"/>
      <c r="N2" s="174"/>
      <c r="O2" s="174"/>
      <c r="P2" s="174"/>
      <c r="Q2" s="174"/>
      <c r="R2" s="174"/>
      <c r="S2" s="12"/>
      <c r="T2" s="12"/>
      <c r="U2" s="13" t="s">
        <v>1</v>
      </c>
      <c r="V2" s="12"/>
      <c r="W2" s="12"/>
      <c r="X2" s="12"/>
      <c r="Y2" s="12"/>
    </row>
    <row r="3" spans="1:37" ht="21.75" customHeight="1">
      <c r="A3" s="12"/>
      <c r="B3" s="12"/>
      <c r="C3" s="12"/>
      <c r="D3" s="12"/>
      <c r="E3" s="14"/>
      <c r="F3" s="12"/>
      <c r="G3" s="175" t="s">
        <v>2</v>
      </c>
      <c r="H3" s="175"/>
      <c r="I3" s="175"/>
      <c r="J3" s="175"/>
      <c r="K3" s="175"/>
      <c r="L3" s="175"/>
      <c r="M3" s="175"/>
      <c r="N3" s="175"/>
      <c r="O3" s="175"/>
      <c r="P3" s="175"/>
      <c r="Q3" s="175"/>
      <c r="R3" s="175"/>
      <c r="S3" s="15" t="s">
        <v>3</v>
      </c>
      <c r="T3" s="15"/>
      <c r="U3" s="15"/>
      <c r="V3" s="15"/>
      <c r="W3" s="15"/>
      <c r="X3" s="15"/>
      <c r="Y3" s="15"/>
      <c r="Z3" s="15"/>
    </row>
    <row r="4" spans="1:37" ht="12.75" customHeight="1">
      <c r="A4" s="12"/>
      <c r="B4" s="12"/>
      <c r="C4" s="12"/>
      <c r="D4" s="12"/>
      <c r="E4" s="12"/>
      <c r="F4" s="12"/>
      <c r="H4" s="12"/>
      <c r="I4" s="12"/>
      <c r="J4" s="12"/>
      <c r="K4" s="12"/>
      <c r="L4" s="12"/>
      <c r="M4" s="12"/>
      <c r="N4" s="12"/>
      <c r="O4" s="12"/>
      <c r="P4" s="12"/>
      <c r="Q4" s="12"/>
      <c r="R4" s="12"/>
      <c r="S4" s="12"/>
      <c r="T4" s="12"/>
      <c r="U4" s="12"/>
      <c r="V4" s="12"/>
      <c r="W4" s="12"/>
      <c r="X4" s="12"/>
      <c r="Y4" s="12"/>
    </row>
    <row r="5" spans="1:37" ht="15" customHeight="1">
      <c r="A5" s="16"/>
      <c r="B5" s="16"/>
      <c r="C5" s="17" t="s">
        <v>4</v>
      </c>
      <c r="D5" s="176" t="s">
        <v>5</v>
      </c>
      <c r="E5" s="176"/>
      <c r="F5" s="176"/>
      <c r="G5" s="176"/>
      <c r="H5" s="176"/>
      <c r="I5" s="176"/>
      <c r="J5" s="17" t="s">
        <v>6</v>
      </c>
      <c r="K5" s="176" t="s">
        <v>7</v>
      </c>
      <c r="L5" s="176"/>
      <c r="M5" s="176"/>
      <c r="N5" s="176"/>
      <c r="O5" s="17" t="s">
        <v>8</v>
      </c>
      <c r="P5" s="177" t="s">
        <v>9</v>
      </c>
      <c r="Q5" s="177"/>
      <c r="R5" s="177"/>
      <c r="S5" s="177"/>
      <c r="T5" s="17" t="s">
        <v>10</v>
      </c>
      <c r="U5" s="177">
        <v>46263</v>
      </c>
      <c r="V5" s="177"/>
      <c r="W5" s="18"/>
      <c r="X5" s="18"/>
      <c r="Y5" s="18"/>
      <c r="Z5" s="19" t="s">
        <v>11</v>
      </c>
      <c r="AA5" s="19"/>
      <c r="AB5" s="20">
        <v>7</v>
      </c>
      <c r="AC5" s="16"/>
      <c r="AD5" s="16"/>
      <c r="AE5" s="16"/>
      <c r="AF5" s="16"/>
      <c r="AG5" s="16"/>
      <c r="AH5" s="21"/>
      <c r="AI5" s="21"/>
      <c r="AJ5" s="16"/>
      <c r="AK5" s="16"/>
    </row>
    <row r="6" spans="1:37" ht="12.75" customHeight="1">
      <c r="AG6" s="22" t="s">
        <v>12</v>
      </c>
      <c r="AH6" s="22" t="s">
        <v>12</v>
      </c>
      <c r="AI6" s="22" t="s">
        <v>12</v>
      </c>
      <c r="AJ6" s="178" t="s">
        <v>13</v>
      </c>
    </row>
    <row r="7" spans="1:37" ht="12.75" customHeight="1">
      <c r="A7" s="6"/>
      <c r="B7" s="179" t="s">
        <v>14</v>
      </c>
      <c r="C7" s="180" t="s">
        <v>15</v>
      </c>
      <c r="D7" s="180" t="s">
        <v>16</v>
      </c>
      <c r="E7" s="181" t="s">
        <v>17</v>
      </c>
      <c r="F7" s="182" t="s">
        <v>131</v>
      </c>
      <c r="G7" s="24" t="s">
        <v>19</v>
      </c>
      <c r="H7" s="24" t="s">
        <v>20</v>
      </c>
      <c r="I7" s="24" t="s">
        <v>21</v>
      </c>
      <c r="J7" s="24" t="s">
        <v>22</v>
      </c>
      <c r="K7" s="25"/>
      <c r="L7" s="26" t="s">
        <v>23</v>
      </c>
      <c r="M7" s="24"/>
      <c r="N7" s="24"/>
      <c r="O7" s="27" t="s">
        <v>24</v>
      </c>
      <c r="P7" s="24"/>
      <c r="Q7" s="28" t="s">
        <v>25</v>
      </c>
      <c r="R7" s="24"/>
      <c r="S7" s="24" t="s">
        <v>26</v>
      </c>
      <c r="T7" s="29" t="s">
        <v>27</v>
      </c>
      <c r="U7" s="30" t="s">
        <v>27</v>
      </c>
      <c r="V7" s="31" t="s">
        <v>28</v>
      </c>
      <c r="W7" s="31" t="s">
        <v>29</v>
      </c>
      <c r="X7" s="31" t="s">
        <v>30</v>
      </c>
      <c r="Y7" s="32" t="s">
        <v>31</v>
      </c>
      <c r="Z7" s="33" t="s">
        <v>32</v>
      </c>
      <c r="AA7" s="34" t="s">
        <v>33</v>
      </c>
      <c r="AB7" s="29" t="s">
        <v>34</v>
      </c>
      <c r="AC7" s="11"/>
      <c r="AD7" s="6"/>
      <c r="AE7" s="6"/>
      <c r="AF7" s="6"/>
      <c r="AG7" s="35" t="s">
        <v>35</v>
      </c>
      <c r="AH7" s="35" t="s">
        <v>35</v>
      </c>
      <c r="AI7" s="35" t="s">
        <v>35</v>
      </c>
      <c r="AJ7" s="178"/>
      <c r="AK7" s="6"/>
    </row>
    <row r="8" spans="1:37" ht="12.75" customHeight="1">
      <c r="A8" s="6"/>
      <c r="B8" s="179"/>
      <c r="C8" s="180"/>
      <c r="D8" s="180"/>
      <c r="E8" s="181"/>
      <c r="F8" s="182"/>
      <c r="G8" s="36" t="s">
        <v>36</v>
      </c>
      <c r="H8" s="36" t="s">
        <v>37</v>
      </c>
      <c r="I8" s="36"/>
      <c r="J8" s="36"/>
      <c r="K8" s="37">
        <v>1</v>
      </c>
      <c r="L8" s="37">
        <v>2</v>
      </c>
      <c r="M8" s="38">
        <v>3</v>
      </c>
      <c r="N8" s="38">
        <v>1</v>
      </c>
      <c r="O8" s="37">
        <v>2</v>
      </c>
      <c r="P8" s="38">
        <v>3</v>
      </c>
      <c r="Q8" s="39" t="s">
        <v>38</v>
      </c>
      <c r="R8" s="36"/>
      <c r="S8" s="36" t="s">
        <v>39</v>
      </c>
      <c r="T8" s="40"/>
      <c r="U8" s="41" t="s">
        <v>40</v>
      </c>
      <c r="V8" s="31" t="s">
        <v>27</v>
      </c>
      <c r="W8" s="31" t="s">
        <v>27</v>
      </c>
      <c r="X8" s="31" t="s">
        <v>27</v>
      </c>
      <c r="Y8" s="42" t="s">
        <v>41</v>
      </c>
      <c r="Z8" s="43" t="s">
        <v>42</v>
      </c>
      <c r="AA8" s="43"/>
      <c r="AB8" s="40"/>
      <c r="AC8" s="6"/>
      <c r="AD8" s="6" t="s">
        <v>43</v>
      </c>
      <c r="AE8" s="6" t="s">
        <v>44</v>
      </c>
      <c r="AF8" s="11" t="s">
        <v>40</v>
      </c>
      <c r="AG8" s="35" t="s">
        <v>45</v>
      </c>
      <c r="AH8" s="35" t="s">
        <v>46</v>
      </c>
      <c r="AI8" s="35" t="s">
        <v>47</v>
      </c>
      <c r="AJ8" s="6"/>
      <c r="AK8" s="6"/>
    </row>
    <row r="9" spans="1:37" ht="19.5" customHeight="1">
      <c r="A9" s="44"/>
      <c r="B9" s="45" t="s">
        <v>249</v>
      </c>
      <c r="C9" s="142" t="s">
        <v>67</v>
      </c>
      <c r="D9" s="56">
        <v>76.03</v>
      </c>
      <c r="E9" s="142" t="s">
        <v>250</v>
      </c>
      <c r="F9" s="142" t="s">
        <v>251</v>
      </c>
      <c r="G9" s="143">
        <v>30670</v>
      </c>
      <c r="H9" s="142" t="s">
        <v>52</v>
      </c>
      <c r="I9" s="144" t="s">
        <v>252</v>
      </c>
      <c r="J9" s="145" t="s">
        <v>96</v>
      </c>
      <c r="K9" s="52">
        <v>65</v>
      </c>
      <c r="L9" s="52">
        <v>-70</v>
      </c>
      <c r="M9" s="52">
        <v>70</v>
      </c>
      <c r="N9" s="52">
        <v>85</v>
      </c>
      <c r="O9" s="52">
        <v>88</v>
      </c>
      <c r="P9" s="52">
        <v>92</v>
      </c>
      <c r="Q9" s="53">
        <f>IF(MAX(K9:M9)&gt;0,IF(MAX(K9:M9)&lt;0,0,TRUNC(MAX(K9:M9)/1)*1),"")</f>
        <v>70</v>
      </c>
      <c r="R9" s="54">
        <f>IF(MAX(N9:P9)&gt;0,IF(MAX(N9:P9)&lt;0,0,TRUNC(MAX(N9:P9)/1)*1),"")</f>
        <v>92</v>
      </c>
      <c r="S9" s="54">
        <f>IF(Q9="","",IF(R9="","",IF(SUM(Q9:R9)=0,"",SUM(Q9:R9))))</f>
        <v>162</v>
      </c>
      <c r="T9" s="55">
        <f>IF(S9="","",IF(D9="","",IF((AD9="k"),IF(D9&gt;153.757,S9,IF(D9&lt;28,10^(0.0787004341*LOG10(28/153.757)^2)*S9,10^(0.787004341*LOG10(D9/153.757)^2)*S9)),IF(D9&gt;193.609,S9,IF(D9&lt;32,10^(0.722762521*LOG10(32/193.609)^2)*S9,10^(0.722762521*LOG10(D9/193.609)^2)*S9)))))</f>
        <v>191.92638292676531</v>
      </c>
      <c r="U9" s="56">
        <f>IF(AF9=1,T9*AI9,"")</f>
        <v>227.81661653407045</v>
      </c>
      <c r="V9" s="57">
        <v>7.26</v>
      </c>
      <c r="W9" s="57">
        <v>13.44</v>
      </c>
      <c r="X9" s="57">
        <v>6.25</v>
      </c>
      <c r="Y9" s="55"/>
      <c r="Z9" s="56"/>
      <c r="AA9" s="56">
        <v>1</v>
      </c>
      <c r="AB9" s="58"/>
      <c r="AC9" s="59">
        <f>U5</f>
        <v>46263</v>
      </c>
      <c r="AD9" s="60" t="str">
        <f>IF(ISNUMBER(FIND("M",E9)),"m",IF(ISNUMBER(FIND("K",E9)),"k"))</f>
        <v>k</v>
      </c>
      <c r="AE9" s="61">
        <f>IF(OR(G9="",AC9=""),0,(YEAR(AC9)-YEAR(G9)))</f>
        <v>43</v>
      </c>
      <c r="AF9" s="62">
        <f>IF(AE9&gt;34,1,0)</f>
        <v>1</v>
      </c>
      <c r="AG9" s="44">
        <f>IF(AF9=1,LOOKUP(AE9,'Meltzer-Faber'!A3:A63,'Meltzer-Faber'!B3:B63))</f>
        <v>1.1759999999999999</v>
      </c>
      <c r="AH9" s="63">
        <f>IF(AF9=1,LOOKUP(AE9,'Meltzer-Faber'!A3:A63,'Meltzer-Faber'!C3:C63))</f>
        <v>1.1870000000000001</v>
      </c>
      <c r="AI9" s="63">
        <f>IF(AD9="m",AG9,IF(AD9="k",AH9,""))</f>
        <v>1.1870000000000001</v>
      </c>
      <c r="AJ9" s="64">
        <f>IF(D9="","",IF(D9&gt;193.609,1,IF(D9&lt;32,10^(0.722762521*LOG10(32/193.609)^2),10^(0.722762521*LOG10(D9/193.609)^2))))</f>
        <v>1.3155349666690148</v>
      </c>
      <c r="AK9" s="44"/>
    </row>
    <row r="10" spans="1:37" ht="19.5" customHeight="1">
      <c r="A10" s="44"/>
      <c r="B10" s="65"/>
      <c r="C10" s="3"/>
      <c r="D10" s="3"/>
      <c r="E10" s="3"/>
      <c r="F10" s="66"/>
      <c r="G10" s="67"/>
      <c r="H10" s="68"/>
      <c r="I10" s="69"/>
      <c r="J10" s="69"/>
      <c r="K10" s="173"/>
      <c r="L10" s="173"/>
      <c r="M10" s="173"/>
      <c r="N10" s="172"/>
      <c r="O10" s="172"/>
      <c r="P10" s="172"/>
      <c r="Q10" s="70"/>
      <c r="R10" s="3"/>
      <c r="S10" s="173">
        <f>IF(T9="","",T9*1.2)</f>
        <v>230.31165951211835</v>
      </c>
      <c r="T10" s="173"/>
      <c r="U10" s="3"/>
      <c r="V10" s="3">
        <f>IF(V9&gt;0,V9*20,"")</f>
        <v>145.19999999999999</v>
      </c>
      <c r="W10" s="3">
        <f>IF(W9="","",(W9*10)*AJ9)</f>
        <v>176.8078995203156</v>
      </c>
      <c r="X10" s="3">
        <f>IF(ROUNDUP(X9,1)&gt;0,IF((80+(8-ROUNDUP(X9,1))*40)&lt;0,0,80+(8-ROUNDUP(X9,1))*40),"")</f>
        <v>148</v>
      </c>
      <c r="Y10" s="4">
        <f>IF(SUM(V10,W10,X10)&gt;0,SUM(V10,W10,X10),"")</f>
        <v>470.00789952031562</v>
      </c>
      <c r="Z10" s="3">
        <f>IF(AE9&gt;34,(IF(OR(S10="",V10="",W10="",X10=""),"",SUM(S10,V10,W10,X10))*AI9),IF(OR(S10="",V10="",W10="",X10=""),"", SUM(S10,V10,W10,X10)))</f>
        <v>831.27931657149918</v>
      </c>
      <c r="AA10" s="3"/>
      <c r="AB10" s="66"/>
      <c r="AC10" s="71"/>
      <c r="AD10" s="6"/>
      <c r="AE10" s="61"/>
      <c r="AF10" s="72"/>
      <c r="AG10" s="44"/>
      <c r="AH10" s="63"/>
      <c r="AI10" s="63"/>
      <c r="AJ10" s="64"/>
      <c r="AK10" s="44"/>
    </row>
    <row r="11" spans="1:37" ht="19.5" customHeight="1">
      <c r="A11" s="44"/>
      <c r="B11" s="73" t="s">
        <v>253</v>
      </c>
      <c r="C11" s="84" t="s">
        <v>75</v>
      </c>
      <c r="D11" s="78">
        <v>63.31</v>
      </c>
      <c r="E11" s="84" t="s">
        <v>254</v>
      </c>
      <c r="F11" s="84" t="s">
        <v>251</v>
      </c>
      <c r="G11" s="85">
        <v>33206</v>
      </c>
      <c r="H11" s="84" t="s">
        <v>56</v>
      </c>
      <c r="I11" s="86" t="s">
        <v>255</v>
      </c>
      <c r="J11" s="87" t="s">
        <v>124</v>
      </c>
      <c r="K11" s="74">
        <v>68</v>
      </c>
      <c r="L11" s="74">
        <v>71</v>
      </c>
      <c r="M11" s="74">
        <v>74</v>
      </c>
      <c r="N11" s="74">
        <v>88</v>
      </c>
      <c r="O11" s="74">
        <v>91</v>
      </c>
      <c r="P11" s="74">
        <v>93</v>
      </c>
      <c r="Q11" s="75">
        <f>IF(MAX(K11:M11)&gt;0,IF(MAX(K11:M11)&lt;0,0,TRUNC(MAX(K11:M11)/1)*1),"")</f>
        <v>74</v>
      </c>
      <c r="R11" s="76">
        <f>IF(MAX(N11:P11)&gt;0,IF(MAX(N11:P11)&lt;0,0,TRUNC(MAX(N11:P11)/1)*1),"")</f>
        <v>93</v>
      </c>
      <c r="S11" s="76">
        <f>IF(Q11="","",IF(R11="","",IF(SUM(Q11:R11)=0,"",SUM(Q11:R11))))</f>
        <v>167</v>
      </c>
      <c r="T11" s="77">
        <f>IF(S11="","",IF(D11="","",IF((AD11="k"),IF(D11&gt;153.757,S11,IF(D11&lt;28,10^(0.0787004341*LOG10(28/153.757)^2)*S11,10^(0.787004341*LOG10(D11/153.757)^2)*S11)),IF(D11&gt;193.609,S11,IF(D11&lt;32,10^(0.722762521*LOG10(32/193.609)^2)*S11,10^(0.722762521*LOG10(D11/193.609)^2)*S11)))))</f>
        <v>218.5697301507337</v>
      </c>
      <c r="U11" s="78">
        <f>IF(AF11=1,T11*AI11,"")</f>
        <v>236.92958748339535</v>
      </c>
      <c r="V11" s="79">
        <v>7.48</v>
      </c>
      <c r="W11" s="79">
        <v>11.82</v>
      </c>
      <c r="X11" s="79">
        <v>6.53</v>
      </c>
      <c r="Y11" s="80"/>
      <c r="Z11" s="78"/>
      <c r="AA11" s="78">
        <v>2</v>
      </c>
      <c r="AB11" s="81"/>
      <c r="AC11" s="71">
        <f>U5</f>
        <v>46263</v>
      </c>
      <c r="AD11" s="60" t="str">
        <f>IF(ISNUMBER(FIND("M",E11)),"m",IF(ISNUMBER(FIND("K",E11)),"k"))</f>
        <v>k</v>
      </c>
      <c r="AE11" s="61">
        <f>IF(OR(G11="",AC11=""),0,(YEAR(AC11)-YEAR(G11)))</f>
        <v>36</v>
      </c>
      <c r="AF11" s="62">
        <f>IF(AE11&gt;34,1,0)</f>
        <v>1</v>
      </c>
      <c r="AG11" s="44">
        <f>IF(AF11=1,LOOKUP(AE11,'Meltzer-Faber'!A3:A63,'Meltzer-Faber'!B3:B63))</f>
        <v>1.083</v>
      </c>
      <c r="AH11" s="63">
        <f>IF(AF11=1,LOOKUP(AE11,'Meltzer-Faber'!A3:A63,'Meltzer-Faber'!C3:C63))</f>
        <v>1.0840000000000001</v>
      </c>
      <c r="AI11" s="63">
        <f>IF(AD11="m",AG11,IF(AD11="k",AH11,""))</f>
        <v>1.0840000000000001</v>
      </c>
      <c r="AJ11" s="64">
        <f>IF(D11="","",IF(D11&gt;193.609,1,IF(D11&lt;32,10^(0.722762521*LOG10(32/193.609)^2),10^(0.722762521*LOG10(D11/193.609)^2))))</f>
        <v>1.4802317373679192</v>
      </c>
      <c r="AK11" s="44"/>
    </row>
    <row r="12" spans="1:37" ht="19.5" customHeight="1">
      <c r="A12" s="44"/>
      <c r="B12" s="82"/>
      <c r="C12" s="3"/>
      <c r="D12" s="3"/>
      <c r="E12" s="3"/>
      <c r="F12" s="66"/>
      <c r="G12" s="67"/>
      <c r="H12" s="68"/>
      <c r="I12" s="69"/>
      <c r="J12" s="69"/>
      <c r="K12" s="173"/>
      <c r="L12" s="173"/>
      <c r="M12" s="173"/>
      <c r="N12" s="172"/>
      <c r="O12" s="172"/>
      <c r="P12" s="172"/>
      <c r="Q12" s="70"/>
      <c r="R12" s="3"/>
      <c r="S12" s="173">
        <f>IF(T11="","",T11*1.2)</f>
        <v>262.28367618088043</v>
      </c>
      <c r="T12" s="173"/>
      <c r="U12" s="3"/>
      <c r="V12" s="3">
        <f>IF(V11&gt;0,V11*20,"")</f>
        <v>149.60000000000002</v>
      </c>
      <c r="W12" s="3">
        <f>IF(W11="","",(W11*10)*AJ11)</f>
        <v>174.96339135688805</v>
      </c>
      <c r="X12" s="3">
        <f>IF(ROUNDUP(X11,1)&gt;0,IF((80+(8-ROUNDUP(X11,1))*40)&lt;0,0,80+(8-ROUNDUP(X11,1))*40),"")</f>
        <v>136</v>
      </c>
      <c r="Y12" s="4">
        <f>IF(SUM(V12,W12,X12)&gt;0,SUM(V12,W12,X12),"")</f>
        <v>460.56339135688808</v>
      </c>
      <c r="Z12" s="3">
        <f>IF(AE11&gt;34,(IF(OR(S12="",V12="",W12="",X12=""),"",SUM(S12,V12,W12,X12))*AI11),IF(OR(S12="",V12="",W12="",X12=""),"", SUM(S12,V12,W12,X12)))</f>
        <v>783.56622121094108</v>
      </c>
      <c r="AA12" s="3"/>
      <c r="AB12" s="66"/>
      <c r="AC12" s="71"/>
      <c r="AD12" s="6"/>
      <c r="AE12" s="61"/>
      <c r="AF12" s="62"/>
      <c r="AG12" s="44"/>
      <c r="AH12" s="63"/>
      <c r="AI12" s="63"/>
      <c r="AJ12" s="64"/>
      <c r="AK12" s="44"/>
    </row>
    <row r="13" spans="1:37" ht="19.5" customHeight="1">
      <c r="A13" s="44"/>
      <c r="B13" s="83" t="s">
        <v>256</v>
      </c>
      <c r="C13" s="84" t="s">
        <v>67</v>
      </c>
      <c r="D13" s="78">
        <v>72.89</v>
      </c>
      <c r="E13" s="84" t="s">
        <v>250</v>
      </c>
      <c r="F13" s="84" t="s">
        <v>251</v>
      </c>
      <c r="G13" s="85">
        <v>31313</v>
      </c>
      <c r="H13" s="84" t="s">
        <v>72</v>
      </c>
      <c r="I13" s="86" t="s">
        <v>257</v>
      </c>
      <c r="J13" s="87" t="s">
        <v>124</v>
      </c>
      <c r="K13" s="74">
        <v>58</v>
      </c>
      <c r="L13" s="74">
        <v>61</v>
      </c>
      <c r="M13" s="74">
        <v>-64</v>
      </c>
      <c r="N13" s="74">
        <v>85</v>
      </c>
      <c r="O13" s="74">
        <v>88</v>
      </c>
      <c r="P13" s="74">
        <v>91</v>
      </c>
      <c r="Q13" s="75">
        <f>IF(MAX(K13:M13)&gt;0,IF(MAX(K13:M13)&lt;0,0,TRUNC(MAX(K13:M13)/1)*1),"")</f>
        <v>61</v>
      </c>
      <c r="R13" s="76">
        <f>IF(MAX(N13:P13)&gt;0,IF(MAX(N13:P13)&lt;0,0,TRUNC(MAX(N13:P13)/1)*1),"")</f>
        <v>91</v>
      </c>
      <c r="S13" s="76">
        <f>IF(Q13="","",IF(R13="","",IF(SUM(Q13:R13)=0,"",SUM(Q13:R13))))</f>
        <v>152</v>
      </c>
      <c r="T13" s="77">
        <f>IF(S13="","",IF(D13="","",IF((AD13="k"),IF(D13&gt;153.757,S13,IF(D13&lt;28,10^(0.0787004341*LOG10(28/153.757)^2)*S13,10^(0.787004341*LOG10(D13/153.757)^2)*S13)),IF(D13&gt;193.609,S13,IF(D13&lt;32,10^(0.722762521*LOG10(32/193.609)^2)*S13,10^(0.722762521*LOG10(D13/193.609)^2)*S13)))))</f>
        <v>183.88458195484139</v>
      </c>
      <c r="U13" s="78">
        <f>IF(AF13=1,T13*AI13,"")</f>
        <v>212.01892299393214</v>
      </c>
      <c r="V13" s="79">
        <v>6.93</v>
      </c>
      <c r="W13" s="79">
        <v>11.41</v>
      </c>
      <c r="X13" s="79">
        <v>6.97</v>
      </c>
      <c r="Y13" s="88"/>
      <c r="Z13" s="78"/>
      <c r="AA13" s="78">
        <v>3</v>
      </c>
      <c r="AB13" s="81"/>
      <c r="AC13" s="71">
        <f>U5</f>
        <v>46263</v>
      </c>
      <c r="AD13" s="60" t="str">
        <f>IF(ISNUMBER(FIND("M",E13)),"m",IF(ISNUMBER(FIND("K",E13)),"k"))</f>
        <v>k</v>
      </c>
      <c r="AE13" s="61">
        <f>IF(OR(G13="",AC13=""),0,(YEAR(AC13)-YEAR(G13)))</f>
        <v>41</v>
      </c>
      <c r="AF13" s="62">
        <f>IF(AE13&gt;34,1,0)</f>
        <v>1</v>
      </c>
      <c r="AG13" s="44">
        <f>IF(AF13=1,LOOKUP(AE13,'Meltzer-Faber'!A3:A63,'Meltzer-Faber'!B3:B63))</f>
        <v>1.149</v>
      </c>
      <c r="AH13" s="63">
        <f>IF(AF13=1,LOOKUP(AE13,'Meltzer-Faber'!A3:A63,'Meltzer-Faber'!C3:C63))</f>
        <v>1.153</v>
      </c>
      <c r="AI13" s="63">
        <f>IF(AD13="m",AG13,IF(AD13="k",AH13,""))</f>
        <v>1.153</v>
      </c>
      <c r="AJ13" s="64">
        <f>IF(D13="","",IF(D13&gt;193.609,1,IF(D13&lt;32,10^(0.722762521*LOG10(32/193.609)^2),10^(0.722762521*LOG10(D13/193.609)^2))))</f>
        <v>1.3492526555145832</v>
      </c>
      <c r="AK13" s="44"/>
    </row>
    <row r="14" spans="1:37" ht="19.5" customHeight="1">
      <c r="A14" s="44"/>
      <c r="B14" s="82"/>
      <c r="C14" s="3"/>
      <c r="D14" s="3"/>
      <c r="E14" s="3"/>
      <c r="F14" s="66"/>
      <c r="G14" s="67"/>
      <c r="H14" s="68"/>
      <c r="I14" s="69"/>
      <c r="J14" s="69"/>
      <c r="K14" s="173"/>
      <c r="L14" s="173"/>
      <c r="M14" s="173"/>
      <c r="N14" s="172"/>
      <c r="O14" s="172"/>
      <c r="P14" s="172"/>
      <c r="Q14" s="70"/>
      <c r="R14" s="3"/>
      <c r="S14" s="173">
        <f>IF(T13="","",T13*1.2)</f>
        <v>220.66149834580966</v>
      </c>
      <c r="T14" s="173"/>
      <c r="U14" s="3"/>
      <c r="V14" s="3">
        <f>IF(V13&gt;0,V13*20,"")</f>
        <v>138.6</v>
      </c>
      <c r="W14" s="3">
        <f>IF(W13="","",(W13*10)*AJ13)</f>
        <v>153.94972799421393</v>
      </c>
      <c r="X14" s="3">
        <f>IF(ROUNDUP(X13,1)&gt;0,IF((80+(8-ROUNDUP(X13,1))*40)&lt;0,0,80+(8-ROUNDUP(X13,1))*40),"")</f>
        <v>120</v>
      </c>
      <c r="Y14" s="4">
        <f>IF(SUM(V14,W14,X14)&gt;0,SUM(V14,W14,X14),"")</f>
        <v>412.54972799421392</v>
      </c>
      <c r="Z14" s="3">
        <f>IF(AE13&gt;34,(IF(OR(S14="",V14="",W14="",X14=""),"",SUM(S14,V14,W14,X14))*AI13),IF(OR(S14="",V14="",W14="",X14=""),"", SUM(S14,V14,W14,X14)))</f>
        <v>730.09254397004725</v>
      </c>
      <c r="AA14" s="3"/>
      <c r="AB14" s="66"/>
      <c r="AC14" s="71"/>
      <c r="AD14" s="6"/>
      <c r="AE14" s="61"/>
      <c r="AF14" s="62"/>
      <c r="AG14" s="44"/>
      <c r="AH14" s="63"/>
      <c r="AI14" s="63"/>
      <c r="AJ14" s="64"/>
      <c r="AK14" s="44"/>
    </row>
    <row r="15" spans="1:37" ht="19.5" customHeight="1">
      <c r="A15" s="44"/>
      <c r="B15" s="83" t="s">
        <v>258</v>
      </c>
      <c r="C15" s="84" t="s">
        <v>75</v>
      </c>
      <c r="D15" s="78">
        <v>66.19</v>
      </c>
      <c r="E15" s="84" t="s">
        <v>254</v>
      </c>
      <c r="F15" s="84" t="s">
        <v>251</v>
      </c>
      <c r="G15" s="85">
        <v>33166</v>
      </c>
      <c r="H15" s="84" t="s">
        <v>86</v>
      </c>
      <c r="I15" s="86" t="s">
        <v>259</v>
      </c>
      <c r="J15" s="87" t="s">
        <v>79</v>
      </c>
      <c r="K15" s="74">
        <v>64</v>
      </c>
      <c r="L15" s="74">
        <v>-66</v>
      </c>
      <c r="M15" s="74" t="s">
        <v>97</v>
      </c>
      <c r="N15" s="74">
        <v>78</v>
      </c>
      <c r="O15" s="74">
        <v>80</v>
      </c>
      <c r="P15" s="74">
        <v>-82</v>
      </c>
      <c r="Q15" s="75">
        <f>IF(MAX(K15:M15)&gt;0,IF(MAX(K15:M15)&lt;0,0,TRUNC(MAX(K15:M15)/1)*1),"")</f>
        <v>64</v>
      </c>
      <c r="R15" s="76">
        <f>IF(MAX(N15:P15)&gt;0,IF(MAX(N15:P15)&lt;0,0,TRUNC(MAX(N15:P15)/1)*1),"")</f>
        <v>80</v>
      </c>
      <c r="S15" s="76">
        <f>IF(Q15="","",IF(R15="","",IF(SUM(Q15:R15)=0,"",SUM(Q15:R15))))</f>
        <v>144</v>
      </c>
      <c r="T15" s="77">
        <f>IF(S15="","",IF(D15="","",IF((AD15="k"),IF(D15&gt;153.757,S15,IF(D15&lt;28,10^(0.0787004341*LOG10(28/153.757)^2)*S15,10^(0.787004341*LOG10(D15/153.757)^2)*S15)),IF(D15&gt;193.609,S15,IF(D15&lt;32,10^(0.722762521*LOG10(32/193.609)^2)*S15,10^(0.722762521*LOG10(D15/193.609)^2)*S15)))))</f>
        <v>183.57390220450583</v>
      </c>
      <c r="U15" s="78">
        <f>IF(AF15=1,T15*AI15,"")</f>
        <v>198.99410998968432</v>
      </c>
      <c r="V15" s="79">
        <v>6.59</v>
      </c>
      <c r="W15" s="79">
        <v>12.15</v>
      </c>
      <c r="X15" s="79">
        <v>7.2</v>
      </c>
      <c r="Y15" s="80"/>
      <c r="Z15" s="78"/>
      <c r="AA15" s="78">
        <v>4</v>
      </c>
      <c r="AB15" s="81"/>
      <c r="AC15" s="71">
        <f>U5</f>
        <v>46263</v>
      </c>
      <c r="AD15" s="60" t="str">
        <f>IF(ISNUMBER(FIND("M",E15)),"m",IF(ISNUMBER(FIND("K",E15)),"k"))</f>
        <v>k</v>
      </c>
      <c r="AE15" s="61">
        <f>IF(OR(G15="",AC15=""),0,(YEAR(AC15)-YEAR(G15)))</f>
        <v>36</v>
      </c>
      <c r="AF15" s="62">
        <f>IF(AE15&gt;34,1,0)</f>
        <v>1</v>
      </c>
      <c r="AG15" s="44">
        <f>IF(AF15=1,LOOKUP(AE15,'Meltzer-Faber'!A3:A63,'Meltzer-Faber'!B3:B63))</f>
        <v>1.083</v>
      </c>
      <c r="AH15" s="63">
        <f>IF(AF15=1,LOOKUP(AE15,'Meltzer-Faber'!A3:A63,'Meltzer-Faber'!C3:C63))</f>
        <v>1.0840000000000001</v>
      </c>
      <c r="AI15" s="63">
        <f>IF(AD15="m",AG15,IF(AD15="k",AH15,""))</f>
        <v>1.0840000000000001</v>
      </c>
      <c r="AJ15" s="64">
        <f>IF(D15="","",IF(D15&gt;193.609,1,IF(D15&lt;32,10^(0.722762521*LOG10(32/193.609)^2),10^(0.722762521*LOG10(D15/193.609)^2))))</f>
        <v>1.43562803228957</v>
      </c>
      <c r="AK15" s="44"/>
    </row>
    <row r="16" spans="1:37" ht="19.5" customHeight="1">
      <c r="A16" s="44"/>
      <c r="B16" s="82"/>
      <c r="C16" s="3"/>
      <c r="D16" s="3"/>
      <c r="E16" s="3"/>
      <c r="F16" s="66"/>
      <c r="G16" s="67"/>
      <c r="H16" s="68"/>
      <c r="I16" s="69"/>
      <c r="J16" s="69"/>
      <c r="K16" s="173"/>
      <c r="L16" s="173"/>
      <c r="M16" s="173"/>
      <c r="N16" s="172"/>
      <c r="O16" s="172"/>
      <c r="P16" s="172"/>
      <c r="Q16" s="89"/>
      <c r="R16" s="90"/>
      <c r="S16" s="173">
        <f>IF(T15="","",T15*1.2)</f>
        <v>220.28868264540699</v>
      </c>
      <c r="T16" s="173"/>
      <c r="U16" s="3"/>
      <c r="V16" s="3">
        <f>IF(V15&gt;0,V15*20,"")</f>
        <v>131.80000000000001</v>
      </c>
      <c r="W16" s="3">
        <f>IF(W15="","",(W15*10)*AJ15)</f>
        <v>174.42880592318275</v>
      </c>
      <c r="X16" s="3">
        <f>IF(ROUNDUP(X15,1)&gt;0,IF((80+(8-ROUNDUP(X15,1))*40)&lt;0,0,80+(8-ROUNDUP(X15,1))*40),"")</f>
        <v>112</v>
      </c>
      <c r="Y16" s="4">
        <f>IF(SUM(V16,W16,X16)&gt;0,SUM(V16,W16,X16),"")</f>
        <v>418.22880592318279</v>
      </c>
      <c r="Z16" s="3">
        <f>IF(AE15&gt;34,(IF(OR(S16="",V16="",W16="",X16=""),"",SUM(S16,V16,W16,X16))*AI15),IF(OR(S16="",V16="",W16="",X16=""),"", SUM(S16,V16,W16,X16)))</f>
        <v>692.15295760835136</v>
      </c>
      <c r="AA16" s="3"/>
      <c r="AB16" s="66"/>
      <c r="AC16" s="71"/>
      <c r="AD16" s="6"/>
      <c r="AE16" s="61"/>
      <c r="AF16" s="62"/>
      <c r="AG16" s="44"/>
      <c r="AH16" s="63"/>
      <c r="AI16" s="63"/>
      <c r="AJ16" s="64"/>
      <c r="AK16" s="44"/>
    </row>
    <row r="17" spans="1:37" ht="19.5" customHeight="1">
      <c r="A17" s="44"/>
      <c r="B17" s="83" t="s">
        <v>260</v>
      </c>
      <c r="C17" s="84" t="s">
        <v>75</v>
      </c>
      <c r="D17" s="78">
        <v>68.73</v>
      </c>
      <c r="E17" s="84" t="s">
        <v>250</v>
      </c>
      <c r="F17" s="84" t="s">
        <v>251</v>
      </c>
      <c r="G17" s="85">
        <v>30869</v>
      </c>
      <c r="H17" s="84" t="s">
        <v>82</v>
      </c>
      <c r="I17" s="91" t="s">
        <v>261</v>
      </c>
      <c r="J17" s="87" t="s">
        <v>124</v>
      </c>
      <c r="K17" s="74">
        <v>58</v>
      </c>
      <c r="L17" s="74">
        <v>60</v>
      </c>
      <c r="M17" s="74">
        <v>62</v>
      </c>
      <c r="N17" s="74">
        <v>65</v>
      </c>
      <c r="O17" s="74">
        <v>68</v>
      </c>
      <c r="P17" s="74">
        <v>72</v>
      </c>
      <c r="Q17" s="75">
        <f>IF(MAX(K17:M17)&gt;0,IF(MAX(K17:M17)&lt;0,0,TRUNC(MAX(K17:M17)/1)*1),"")</f>
        <v>62</v>
      </c>
      <c r="R17" s="76">
        <f>IF(MAX(N17:P17)&gt;0,IF(MAX(N17:P17)&lt;0,0,TRUNC(MAX(N17:P17)/1)*1),"")</f>
        <v>72</v>
      </c>
      <c r="S17" s="74">
        <f>IF(Q17="","",IF(R17="","",IF(SUM(Q17:R17)=0,"",SUM(Q17:R17))))</f>
        <v>134</v>
      </c>
      <c r="T17" s="77">
        <f>IF(S17="","",IF(D17="","",IF((AD17="k"),IF(D17&gt;153.757,S17,IF(D17&lt;28,10^(0.0787004341*LOG10(28/153.757)^2)*S17,10^(0.787004341*LOG10(D17/153.757)^2)*S17)),IF(D17&gt;193.609,S17,IF(D17&lt;32,10^(0.722762521*LOG10(32/193.609)^2)*S17,10^(0.722762521*LOG10(D17/193.609)^2)*S17)))))</f>
        <v>167.24045070864116</v>
      </c>
      <c r="U17" s="78">
        <f>IF(AF17=1,T17*AI17,"")</f>
        <v>195.67132732911014</v>
      </c>
      <c r="V17" s="79">
        <v>6.06</v>
      </c>
      <c r="W17" s="79">
        <v>11.15</v>
      </c>
      <c r="X17" s="79">
        <v>7.4</v>
      </c>
      <c r="Y17" s="80"/>
      <c r="Z17" s="78"/>
      <c r="AA17" s="78">
        <v>5</v>
      </c>
      <c r="AB17" s="81"/>
      <c r="AC17" s="71">
        <f>U5</f>
        <v>46263</v>
      </c>
      <c r="AD17" s="60" t="str">
        <f>IF(ISNUMBER(FIND("M",E17)),"m",IF(ISNUMBER(FIND("K",E17)),"k"))</f>
        <v>k</v>
      </c>
      <c r="AE17" s="61">
        <f>IF(OR(G17="",AC17=""),0,(YEAR(AC17)-YEAR(G17)))</f>
        <v>42</v>
      </c>
      <c r="AF17" s="62">
        <f>IF(AE17&gt;34,1,0)</f>
        <v>1</v>
      </c>
      <c r="AG17" s="44">
        <f>IF(AF17=1,LOOKUP(AE17,'Meltzer-Faber'!A3:A63,'Meltzer-Faber'!B3:B63))</f>
        <v>1.1619999999999999</v>
      </c>
      <c r="AH17" s="63">
        <f>IF(AF17=1,LOOKUP(AE17,'Meltzer-Faber'!A3:A63,'Meltzer-Faber'!C3:C63))</f>
        <v>1.17</v>
      </c>
      <c r="AI17" s="63">
        <f>IF(AD17="m",AG17,IF(AD17="k",AH17,""))</f>
        <v>1.17</v>
      </c>
      <c r="AJ17" s="64">
        <f>IF(D17="","",IF(D17&gt;193.609,1,IF(D17&lt;32,10^(0.722762521*LOG10(32/193.609)^2),10^(0.722762521*LOG10(D17/193.609)^2))))</f>
        <v>1.4002830021734596</v>
      </c>
      <c r="AK17" s="44"/>
    </row>
    <row r="18" spans="1:37" ht="19.5" customHeight="1">
      <c r="A18" s="44"/>
      <c r="B18" s="82"/>
      <c r="C18" s="3"/>
      <c r="D18" s="3"/>
      <c r="E18" s="3"/>
      <c r="F18" s="66"/>
      <c r="G18" s="67"/>
      <c r="H18" s="68"/>
      <c r="I18" s="69"/>
      <c r="J18" s="69"/>
      <c r="K18" s="173"/>
      <c r="L18" s="173"/>
      <c r="M18" s="173"/>
      <c r="N18" s="172"/>
      <c r="O18" s="172"/>
      <c r="P18" s="172"/>
      <c r="Q18" s="70"/>
      <c r="R18" s="3"/>
      <c r="S18" s="173">
        <f>IF(T17="","",T17*1.2)</f>
        <v>200.68854085036938</v>
      </c>
      <c r="T18" s="173"/>
      <c r="U18" s="3"/>
      <c r="V18" s="3">
        <f>IF(V17&gt;0,V17*20,"")</f>
        <v>121.19999999999999</v>
      </c>
      <c r="W18" s="3">
        <f>IF(W17="","",(W17*10)*AJ17)</f>
        <v>156.13155474234074</v>
      </c>
      <c r="X18" s="3">
        <f>IF(ROUNDUP(X17,1)&gt;0,IF((80+(8-ROUNDUP(X17,1))*40)&lt;0,0,80+(8-ROUNDUP(X17,1))*40),"")</f>
        <v>103.99999999999999</v>
      </c>
      <c r="Y18" s="4">
        <f>IF(SUM(V18,W18,X18)&gt;0,SUM(V18,W18,X18),"")</f>
        <v>381.3315547423407</v>
      </c>
      <c r="Z18" s="3">
        <f>IF(AE17&gt;34,(IF(OR(S18="",V18="",W18="",X18=""),"",SUM(S18,V18,W18,X18))*AI17),IF(OR(S18="",V18="",W18="",X18=""),"", SUM(S18,V18,W18,X18)))</f>
        <v>680.96351184347088</v>
      </c>
      <c r="AA18" s="3"/>
      <c r="AB18" s="66"/>
      <c r="AC18" s="71"/>
      <c r="AD18" s="6"/>
      <c r="AE18" s="61"/>
      <c r="AF18" s="62"/>
      <c r="AG18" s="44"/>
      <c r="AH18" s="63"/>
      <c r="AI18" s="63"/>
      <c r="AJ18" s="64"/>
      <c r="AK18" s="44"/>
    </row>
    <row r="19" spans="1:37" ht="19.5" customHeight="1">
      <c r="A19" s="44"/>
      <c r="B19" s="83" t="s">
        <v>262</v>
      </c>
      <c r="C19" s="84" t="s">
        <v>75</v>
      </c>
      <c r="D19" s="78">
        <v>62.45</v>
      </c>
      <c r="E19" s="84" t="s">
        <v>263</v>
      </c>
      <c r="F19" s="84" t="s">
        <v>251</v>
      </c>
      <c r="G19" s="85">
        <v>28716</v>
      </c>
      <c r="H19" s="84" t="s">
        <v>60</v>
      </c>
      <c r="I19" s="91" t="s">
        <v>264</v>
      </c>
      <c r="J19" s="87" t="s">
        <v>159</v>
      </c>
      <c r="K19" s="74">
        <v>30</v>
      </c>
      <c r="L19" s="74">
        <v>32</v>
      </c>
      <c r="M19" s="74">
        <v>-35</v>
      </c>
      <c r="N19" s="74">
        <v>40</v>
      </c>
      <c r="O19" s="74">
        <v>44</v>
      </c>
      <c r="P19" s="74">
        <v>48</v>
      </c>
      <c r="Q19" s="75">
        <f>IF(MAX(K19:M19)&gt;0,IF(MAX(K19:M19)&lt;0,0,TRUNC(MAX(K19:M19)/1)*1),"")</f>
        <v>32</v>
      </c>
      <c r="R19" s="76">
        <f>IF(MAX(N19:P19)&gt;0,IF(MAX(N19:P19)&lt;0,0,TRUNC(MAX(N19:P19)/1)*1),"")</f>
        <v>48</v>
      </c>
      <c r="S19" s="74">
        <f>IF(Q19="","",IF(R19="","",IF(SUM(Q19:R19)=0,"",SUM(Q19:R19))))</f>
        <v>80</v>
      </c>
      <c r="T19" s="77">
        <f>IF(S19="","",IF(D19="","",IF((AD19="k"),IF(D19&gt;153.757,S19,IF(D19&lt;28,10^(0.0787004341*LOG10(28/153.757)^2)*S19,10^(0.787004341*LOG10(D19/153.757)^2)*S19)),IF(D19&gt;193.609,S19,IF(D19&lt;32,10^(0.722762521*LOG10(32/193.609)^2)*S19,10^(0.722762521*LOG10(D19/193.609)^2)*S19)))))</f>
        <v>105.5830518885293</v>
      </c>
      <c r="U19" s="78">
        <f>IF(AF19=1,T19*AI19,"")</f>
        <v>135.99097083242575</v>
      </c>
      <c r="V19" s="79">
        <v>5.72</v>
      </c>
      <c r="W19" s="79">
        <v>7.85</v>
      </c>
      <c r="X19" s="79">
        <v>8.0500000000000007</v>
      </c>
      <c r="Y19" s="80"/>
      <c r="Z19" s="78"/>
      <c r="AA19" s="78">
        <v>6</v>
      </c>
      <c r="AB19" s="81"/>
      <c r="AC19" s="71">
        <f>U5</f>
        <v>46263</v>
      </c>
      <c r="AD19" s="60" t="str">
        <f>IF(ISNUMBER(FIND("M",E19)),"m",IF(ISNUMBER(FIND("K",E19)),"k"))</f>
        <v>k</v>
      </c>
      <c r="AE19" s="61">
        <f>IF(OR(G19="",AC19=""),0,(YEAR(AC19)-YEAR(G19)))</f>
        <v>48</v>
      </c>
      <c r="AF19" s="62">
        <f>IF(AE19&gt;34,1,0)</f>
        <v>1</v>
      </c>
      <c r="AG19" s="44">
        <f>IF(AF19=1,LOOKUP(AE19,'Meltzer-Faber'!A3:A63,'Meltzer-Faber'!B3:B63))</f>
        <v>1.248</v>
      </c>
      <c r="AH19" s="63">
        <f>IF(AF19=1,LOOKUP(AE19,'Meltzer-Faber'!A3:A63,'Meltzer-Faber'!C3:C63))</f>
        <v>1.288</v>
      </c>
      <c r="AI19" s="63">
        <f>IF(AD19="m",AG19,IF(AD19="k",AH19,""))</f>
        <v>1.288</v>
      </c>
      <c r="AJ19" s="64">
        <f>IF(D19="","",IF(D19&gt;193.609,1,IF(D19&lt;32,10^(0.722762521*LOG10(32/193.609)^2),10^(0.722762521*LOG10(D19/193.609)^2))))</f>
        <v>1.4945946598466966</v>
      </c>
      <c r="AK19" s="44"/>
    </row>
    <row r="20" spans="1:37" ht="19.5" customHeight="1">
      <c r="A20" s="44"/>
      <c r="B20" s="82"/>
      <c r="C20" s="3"/>
      <c r="D20" s="3"/>
      <c r="E20" s="3"/>
      <c r="F20" s="66"/>
      <c r="G20" s="67"/>
      <c r="H20" s="68"/>
      <c r="I20" s="69"/>
      <c r="J20" s="69"/>
      <c r="K20" s="173"/>
      <c r="L20" s="173"/>
      <c r="M20" s="173"/>
      <c r="N20" s="172"/>
      <c r="O20" s="172"/>
      <c r="P20" s="172"/>
      <c r="Q20" s="70"/>
      <c r="R20" s="3"/>
      <c r="S20" s="173">
        <f>IF(T19="","",T19*1.2)</f>
        <v>126.69966226623515</v>
      </c>
      <c r="T20" s="173"/>
      <c r="U20" s="3"/>
      <c r="V20" s="3">
        <f>IF(V19&gt;0,V19*20,"")</f>
        <v>114.39999999999999</v>
      </c>
      <c r="W20" s="3">
        <f>IF(W19="","",(W19*10)*AJ19)</f>
        <v>117.32568079796569</v>
      </c>
      <c r="X20" s="3">
        <f>IF(ROUNDUP(X19,1)&gt;0,IF((80+(8-ROUNDUP(X19,1))*40)&lt;0,0,80+(8-ROUNDUP(X19,1))*40),"")</f>
        <v>76.000000000000014</v>
      </c>
      <c r="Y20" s="4">
        <f>IF(SUM(V20,W20,X20)&gt;0,SUM(V20,W20,X20),"")</f>
        <v>307.72568079796571</v>
      </c>
      <c r="Z20" s="3">
        <f>IF(AE19&gt;34,(IF(OR(S20="",V20="",W20="",X20=""),"",SUM(S20,V20,W20,X20))*AI19),IF(OR(S20="",V20="",W20="",X20=""),"", SUM(S20,V20,W20,X20)))</f>
        <v>559.53984186669072</v>
      </c>
      <c r="AA20" s="3"/>
      <c r="AB20" s="66"/>
      <c r="AC20" s="71"/>
      <c r="AD20" s="6"/>
      <c r="AE20" s="61"/>
      <c r="AF20" s="62"/>
      <c r="AG20" s="44"/>
      <c r="AH20" s="63"/>
      <c r="AI20" s="63"/>
      <c r="AJ20" s="64"/>
      <c r="AK20" s="44"/>
    </row>
    <row r="21" spans="1:37" ht="19.5" customHeight="1">
      <c r="A21" s="44"/>
      <c r="B21" s="83" t="s">
        <v>265</v>
      </c>
      <c r="C21" s="84" t="s">
        <v>237</v>
      </c>
      <c r="D21" s="78">
        <v>84.23</v>
      </c>
      <c r="E21" s="84" t="s">
        <v>254</v>
      </c>
      <c r="F21" s="84" t="s">
        <v>251</v>
      </c>
      <c r="G21" s="85">
        <v>33456</v>
      </c>
      <c r="H21" s="84" t="s">
        <v>64</v>
      </c>
      <c r="I21" s="86" t="s">
        <v>266</v>
      </c>
      <c r="J21" s="87" t="s">
        <v>206</v>
      </c>
      <c r="K21" s="74">
        <v>60</v>
      </c>
      <c r="L21" s="74">
        <v>64</v>
      </c>
      <c r="M21" s="74">
        <v>66</v>
      </c>
      <c r="N21" s="74">
        <v>81</v>
      </c>
      <c r="O21" s="74">
        <v>-86</v>
      </c>
      <c r="P21" s="74">
        <v>-86</v>
      </c>
      <c r="Q21" s="75">
        <f>IF(MAX(K21:M21)&gt;0,IF(MAX(K21:M21)&lt;0,0,TRUNC(MAX(K21:M21)/1)*1),"")</f>
        <v>66</v>
      </c>
      <c r="R21" s="76">
        <f>IF(MAX(N21:P21)&gt;0,IF(MAX(N21:P21)&lt;0,0,TRUNC(MAX(N21:P21)/1)*1),"")</f>
        <v>81</v>
      </c>
      <c r="S21" s="74">
        <f>IF(Q21="","",IF(R21="","",IF(SUM(Q21:R21)=0,"",SUM(Q21:R21))))</f>
        <v>147</v>
      </c>
      <c r="T21" s="77">
        <f>IF(S21="","",IF(D21="","",IF((AD21="k"),IF(D21&gt;153.757,S21,IF(D21&lt;28,10^(0.0787004341*LOG10(28/153.757)^2)*S21,10^(0.787004341*LOG10(D21/153.757)^2)*S21)),IF(D21&gt;193.609,S21,IF(D21&lt;32,10^(0.722762521*LOG10(32/193.609)^2)*S21,10^(0.722762521*LOG10(D21/193.609)^2)*S21)))))</f>
        <v>166.37197951992778</v>
      </c>
      <c r="U21" s="78">
        <f>IF(AF21=1,T21*AI21,"")</f>
        <v>178.35076204536259</v>
      </c>
      <c r="V21" s="79">
        <v>5.82</v>
      </c>
      <c r="W21" s="79">
        <v>10.32</v>
      </c>
      <c r="X21" s="79">
        <v>8.02</v>
      </c>
      <c r="Y21" s="80"/>
      <c r="Z21" s="78"/>
      <c r="AA21" s="78">
        <v>7</v>
      </c>
      <c r="AB21" s="81"/>
      <c r="AC21" s="71">
        <f>U5</f>
        <v>46263</v>
      </c>
      <c r="AD21" s="60" t="str">
        <f>IF(ISNUMBER(FIND("M",E21)),"m",IF(ISNUMBER(FIND("K",E21)),"k"))</f>
        <v>k</v>
      </c>
      <c r="AE21" s="61">
        <f>IF(OR(G21="",AC21=""),0,(YEAR(AC21)-YEAR(G21)))</f>
        <v>35</v>
      </c>
      <c r="AF21" s="62">
        <f>IF(AE21&gt;34,1,0)</f>
        <v>1</v>
      </c>
      <c r="AG21" s="44">
        <f>IF(AF21=1,LOOKUP(AE21,'Meltzer-Faber'!A3:A63,'Meltzer-Faber'!B3:B63))</f>
        <v>1.0720000000000001</v>
      </c>
      <c r="AH21" s="63">
        <f>IF(AF21=1,LOOKUP(AE21,'Meltzer-Faber'!A3:A63,'Meltzer-Faber'!C3:C63))</f>
        <v>1.0720000000000001</v>
      </c>
      <c r="AI21" s="63">
        <f>IF(AD21="m",AG21,IF(AD21="k",AH21,""))</f>
        <v>1.0720000000000001</v>
      </c>
      <c r="AJ21" s="64">
        <f>IF(D21="","",IF(D21&gt;193.609,1,IF(D21&lt;32,10^(0.722762521*LOG10(32/193.609)^2),10^(0.722762521*LOG10(D21/193.609)^2))))</f>
        <v>1.2428842183720088</v>
      </c>
      <c r="AK21" s="44"/>
    </row>
    <row r="22" spans="1:37" ht="19.5" customHeight="1">
      <c r="A22" s="44"/>
      <c r="B22" s="82"/>
      <c r="C22" s="3"/>
      <c r="D22" s="3"/>
      <c r="E22" s="3"/>
      <c r="F22" s="66"/>
      <c r="G22" s="67"/>
      <c r="H22" s="68"/>
      <c r="I22" s="69"/>
      <c r="J22" s="69"/>
      <c r="K22" s="173"/>
      <c r="L22" s="173"/>
      <c r="M22" s="173"/>
      <c r="N22" s="172"/>
      <c r="O22" s="172"/>
      <c r="P22" s="172"/>
      <c r="Q22" s="70"/>
      <c r="R22" s="3"/>
      <c r="S22" s="173">
        <f>IF(T21="","",T21*1.2)</f>
        <v>199.64637542391333</v>
      </c>
      <c r="T22" s="173"/>
      <c r="U22" s="3"/>
      <c r="V22" s="3">
        <f>IF(V21&gt;0,V21*20,"")</f>
        <v>116.4</v>
      </c>
      <c r="W22" s="3">
        <f>IF(W21="","",(W21*10)*AJ21)</f>
        <v>128.26565133599132</v>
      </c>
      <c r="X22" s="3">
        <f>IF(ROUNDUP(X21,1)&gt;0,IF((80+(8-ROUNDUP(X21,1))*40)&lt;0,0,80+(8-ROUNDUP(X21,1))*40),"")</f>
        <v>76.000000000000014</v>
      </c>
      <c r="Y22" s="4">
        <f>IF(SUM(V22,W22,X22)&gt;0,SUM(V22,W22,X22),"")</f>
        <v>320.66565133599136</v>
      </c>
      <c r="Z22" s="3">
        <f>IF(AE21&gt;34,(IF(OR(S22="",V22="",W22="",X22=""),"",SUM(S22,V22,W22,X22))*AI21),IF(OR(S22="",V22="",W22="",X22=""),"", SUM(S22,V22,W22,X22)))</f>
        <v>557.77449268661792</v>
      </c>
      <c r="AA22" s="3"/>
      <c r="AB22" s="66"/>
      <c r="AC22" s="71"/>
      <c r="AD22" s="6"/>
      <c r="AE22" s="61"/>
      <c r="AF22" s="62"/>
      <c r="AG22" s="44"/>
      <c r="AH22" s="63"/>
      <c r="AI22" s="63"/>
      <c r="AJ22" s="64"/>
      <c r="AK22" s="44"/>
    </row>
    <row r="23" spans="1:37" ht="19.5" customHeight="1">
      <c r="A23" s="44"/>
      <c r="B23" s="83" t="s">
        <v>267</v>
      </c>
      <c r="C23" s="84" t="s">
        <v>227</v>
      </c>
      <c r="D23" s="78">
        <v>53.99</v>
      </c>
      <c r="E23" s="84" t="s">
        <v>250</v>
      </c>
      <c r="F23" s="84" t="s">
        <v>251</v>
      </c>
      <c r="G23" s="85">
        <v>31750</v>
      </c>
      <c r="H23" s="84" t="s">
        <v>90</v>
      </c>
      <c r="I23" s="86" t="s">
        <v>268</v>
      </c>
      <c r="J23" s="87" t="s">
        <v>206</v>
      </c>
      <c r="K23" s="74">
        <v>54</v>
      </c>
      <c r="L23" s="74">
        <v>-57</v>
      </c>
      <c r="M23" s="74">
        <v>57</v>
      </c>
      <c r="N23" s="74">
        <v>69</v>
      </c>
      <c r="O23" s="74">
        <v>72</v>
      </c>
      <c r="P23" s="74">
        <v>-74</v>
      </c>
      <c r="Q23" s="75">
        <f>IF(MAX(K23:M23)&gt;0,IF(MAX(K23:M23)&lt;0,0,TRUNC(MAX(K23:M23)/1)*1),"")</f>
        <v>57</v>
      </c>
      <c r="R23" s="76">
        <f>IF(MAX(N23:P23)&gt;0,IF(MAX(N23:P23)&lt;0,0,TRUNC(MAX(N23:P23)/1)*1),"")</f>
        <v>72</v>
      </c>
      <c r="S23" s="74">
        <f>IF(Q23="","",IF(R23="","",IF(SUM(Q23:R23)=0,"",SUM(Q23:R23))))</f>
        <v>129</v>
      </c>
      <c r="T23" s="77">
        <f>IF(S23="","",IF(D23="","",IF((AD23="k"),IF(D23&gt;153.757,S23,IF(C23&lt;28,10^(0.0787004341*LOG10(28/153.757)^2)*S23,10^(0.787004341*LOG10(D23/153.757)^2)*S23)),IF(D23&gt;193.609,S23,IF(D23&lt;32,10^(0.722762521*LOG10(32/193.609)^2)*S23,10^(0.722762521*LOG10(D23/193.609)^2)*S23)))))</f>
        <v>187.57580740862775</v>
      </c>
      <c r="U23" s="78">
        <f>IF(AF23=1,T23*AI23,"")</f>
        <v>213.46126883101837</v>
      </c>
      <c r="V23" s="79"/>
      <c r="W23" s="79">
        <v>11.05</v>
      </c>
      <c r="X23" s="79"/>
      <c r="Y23" s="80"/>
      <c r="Z23" s="78"/>
      <c r="AA23" s="78">
        <v>8</v>
      </c>
      <c r="AB23" s="81"/>
      <c r="AC23" s="71">
        <f>U5</f>
        <v>46263</v>
      </c>
      <c r="AD23" s="60" t="str">
        <f>IF(ISNUMBER(FIND("M",E23)),"m",IF(ISNUMBER(FIND("K",E23)),"k"))</f>
        <v>k</v>
      </c>
      <c r="AE23" s="92">
        <f>IF(OR(G23="",AC23=""),0,(YEAR(AC23)-YEAR(G23)))</f>
        <v>40</v>
      </c>
      <c r="AF23" s="62">
        <f>IF(AE23&gt;34,1,0)</f>
        <v>1</v>
      </c>
      <c r="AG23" s="44">
        <f>IF(AF23=1,LOOKUP(AE23,'Meltzer-Faber'!A3:A63,'Meltzer-Faber'!B3:B63))</f>
        <v>1.135</v>
      </c>
      <c r="AH23" s="63">
        <f>IF(AF23=1,LOOKUP(AE23,'Meltzer-Faber'!A3:A63,'Meltzer-Faber'!C3:C63))</f>
        <v>1.1379999999999999</v>
      </c>
      <c r="AI23" s="63">
        <f>IF(AD23="m",AG23,IF(AD23="k",AH23,""))</f>
        <v>1.1379999999999999</v>
      </c>
      <c r="AJ23" s="64">
        <f>IF(D23="","",IF(D23&gt;193.609,1,IF(D23&lt;32,10^(0.722762521*LOG10(32/193.609)^2),10^(0.722762521*LOG10(D23/193.609)^2))))</f>
        <v>1.6684681736324023</v>
      </c>
      <c r="AK23" s="44"/>
    </row>
    <row r="24" spans="1:37" ht="19.5" customHeight="1">
      <c r="A24" s="44"/>
      <c r="B24" s="82"/>
      <c r="C24" s="3"/>
      <c r="D24" s="3"/>
      <c r="E24" s="3"/>
      <c r="F24" s="66"/>
      <c r="G24" s="67"/>
      <c r="H24" s="68"/>
      <c r="I24" s="69"/>
      <c r="J24" s="69"/>
      <c r="K24" s="173"/>
      <c r="L24" s="173"/>
      <c r="M24" s="173"/>
      <c r="N24" s="172"/>
      <c r="O24" s="172"/>
      <c r="P24" s="172"/>
      <c r="Q24" s="70"/>
      <c r="R24" s="3"/>
      <c r="S24" s="173">
        <f>IF(T23="","",T23*1.2)</f>
        <v>225.09096889035331</v>
      </c>
      <c r="T24" s="173"/>
      <c r="U24" s="3"/>
      <c r="V24" s="3" t="str">
        <f>IF(V23&gt;0,V23*20,"")</f>
        <v/>
      </c>
      <c r="W24" s="3">
        <f>IF(W23="","",(W23*10)*AJ23)</f>
        <v>184.36573318638045</v>
      </c>
      <c r="X24" s="3" t="str">
        <f>IF(ROUNDUP(X23,1)&gt;0,IF((80+(8-ROUNDUP(X23,1))*40)&lt;0,0,80+(8-ROUNDUP(X23,1))*40),"")</f>
        <v/>
      </c>
      <c r="Y24" s="4">
        <f>IF(SUM(V24,W24,X24)&gt;0,SUM(V24,W24,X24),"")</f>
        <v>184.36573318638045</v>
      </c>
      <c r="Z24" s="3" t="e">
        <f>IF(AE23&gt;34,(IF(OR(S24="",V24="",W24="",X24=""),"",SUM(S24,V24,W24,X24))*AI23),IF(OR(S24="",V24="",W24="",X24=""),"", SUM(S24,V24,W24,X24)))</f>
        <v>#VALUE!</v>
      </c>
      <c r="AA24" s="3"/>
      <c r="AB24" s="66"/>
      <c r="AC24" s="71"/>
      <c r="AD24" s="6"/>
      <c r="AE24" s="61"/>
      <c r="AF24" s="62"/>
      <c r="AG24" s="44"/>
      <c r="AH24" s="63"/>
      <c r="AI24" s="63"/>
      <c r="AJ24" s="64"/>
      <c r="AK24" s="44"/>
    </row>
    <row r="25" spans="1:37" ht="19.5" customHeight="1">
      <c r="A25" s="44"/>
      <c r="B25" s="83" t="s">
        <v>269</v>
      </c>
      <c r="C25" s="84" t="s">
        <v>270</v>
      </c>
      <c r="D25" s="78">
        <v>90.71</v>
      </c>
      <c r="E25" s="84" t="s">
        <v>263</v>
      </c>
      <c r="F25" s="84" t="s">
        <v>251</v>
      </c>
      <c r="G25" s="85">
        <v>29367</v>
      </c>
      <c r="H25" s="84" t="s">
        <v>94</v>
      </c>
      <c r="I25" s="86" t="s">
        <v>271</v>
      </c>
      <c r="J25" s="87" t="s">
        <v>79</v>
      </c>
      <c r="K25" s="74">
        <v>58</v>
      </c>
      <c r="L25" s="74">
        <v>61</v>
      </c>
      <c r="M25" s="74">
        <v>63</v>
      </c>
      <c r="N25" s="74">
        <v>71</v>
      </c>
      <c r="O25" s="74">
        <v>74</v>
      </c>
      <c r="P25" s="74">
        <v>77</v>
      </c>
      <c r="Q25" s="75">
        <f>IF(MAX(K25:M25)&gt;0,IF(MAX(K25:M25)&lt;0,0,TRUNC(MAX(K25:M25)/1)*1),"")</f>
        <v>63</v>
      </c>
      <c r="R25" s="76">
        <f>IF(MAX(N25:P25)&gt;0,IF(MAX(N25:P25)&lt;0,0,TRUNC(MAX(N25:P25)/1)*1),"")</f>
        <v>77</v>
      </c>
      <c r="S25" s="74">
        <f>IF(Q25="","",IF(R25="","",IF(SUM(Q25:R25)=0,"",SUM(Q25:R25))))</f>
        <v>140</v>
      </c>
      <c r="T25" s="77">
        <f>IF(S25="","",IF(D25="","",IF((AD25="k"),IF(D25&gt;153.757,S25,IF(C25&lt;28,10^(0.0787004341*LOG10(28/153.757)^2)*S25,10^(0.787004341*LOG10(D25/153.757)^2)*S25)),IF(D25&gt;193.609,S25,IF(D25&lt;32,10^(0.722762521*LOG10(32/193.609)^2)*S25,10^(0.722762521*LOG10(D25/193.609)^2)*S25)))))</f>
        <v>153.97993749349735</v>
      </c>
      <c r="U25" s="78">
        <f>IF(AF25=1,T25*AI25,"")</f>
        <v>191.55104224191069</v>
      </c>
      <c r="V25" s="79">
        <v>4.42</v>
      </c>
      <c r="W25" s="79">
        <v>7.82</v>
      </c>
      <c r="X25" s="79">
        <v>16.64</v>
      </c>
      <c r="Y25" s="80"/>
      <c r="Z25" s="78"/>
      <c r="AA25" s="78">
        <v>9</v>
      </c>
      <c r="AB25" s="81"/>
      <c r="AC25" s="71">
        <f>U5</f>
        <v>46263</v>
      </c>
      <c r="AD25" s="60" t="str">
        <f>IF(ISNUMBER(FIND("M",E25)),"m",IF(ISNUMBER(FIND("K",E25)),"k"))</f>
        <v>k</v>
      </c>
      <c r="AE25" s="92">
        <f>IF(OR(G25="",AC25=""),0,(YEAR(AC25)-YEAR(G25)))</f>
        <v>46</v>
      </c>
      <c r="AF25" s="62">
        <f>IF(AE25&gt;34,1,0)</f>
        <v>1</v>
      </c>
      <c r="AG25" s="44">
        <f>IF(AF25=1,LOOKUP(AE25,'Meltzer-Faber'!A3:A63,'Meltzer-Faber'!B3:B63))</f>
        <v>1.218</v>
      </c>
      <c r="AH25" s="63">
        <f>IF(AF25=1,LOOKUP(AE25,'Meltzer-Faber'!A3:A63,'Meltzer-Faber'!C3:C63))</f>
        <v>1.244</v>
      </c>
      <c r="AI25" s="63">
        <f>IF(AD25="m",AG25,IF(AD25="k",AH25,""))</f>
        <v>1.244</v>
      </c>
      <c r="AJ25" s="64">
        <f>IF(D25="","",IF(D25&gt;193.609,1,IF(D25&lt;32,10^(0.722762521*LOG10(32/193.609)^2),10^(0.722762521*LOG10(D25/193.609)^2))))</f>
        <v>1.1977361983660717</v>
      </c>
      <c r="AK25" s="44"/>
    </row>
    <row r="26" spans="1:37" ht="19.5" customHeight="1">
      <c r="A26" s="44"/>
      <c r="B26" s="82"/>
      <c r="C26" s="3"/>
      <c r="D26" s="3"/>
      <c r="E26" s="3"/>
      <c r="F26" s="66"/>
      <c r="G26" s="67"/>
      <c r="H26" s="68"/>
      <c r="I26" s="69"/>
      <c r="J26" s="69"/>
      <c r="K26" s="173"/>
      <c r="L26" s="173"/>
      <c r="M26" s="173"/>
      <c r="N26" s="172"/>
      <c r="O26" s="172"/>
      <c r="P26" s="172"/>
      <c r="Q26" s="70"/>
      <c r="R26" s="3"/>
      <c r="S26" s="173">
        <f>IF(T25="","",T25*1.2)</f>
        <v>184.77592499219682</v>
      </c>
      <c r="T26" s="173"/>
      <c r="U26" s="3"/>
      <c r="V26" s="3">
        <f>IF(V25&gt;0,V25*20,"")</f>
        <v>88.4</v>
      </c>
      <c r="W26" s="3">
        <f>IF(W25="","",(W25*10)*AJ25)</f>
        <v>93.662970712226809</v>
      </c>
      <c r="X26" s="3">
        <f>IF(ROUNDUP(X25,1)&gt;0,IF((80+(8-ROUNDUP(X25,1))*40)&lt;0,0,80+(8-ROUNDUP(X25,1))*40),"")</f>
        <v>0</v>
      </c>
      <c r="Y26" s="4">
        <f>IF(SUM(V26,W26,X26)&gt;0,SUM(V26,W26,X26),"")</f>
        <v>182.06297071222681</v>
      </c>
      <c r="Z26" s="3">
        <f>IF(AE25&gt;34,(IF(OR(S26="",V26="",W26="",X26=""),"",SUM(S26,V26,W26,X26))*AI25),IF(OR(S26="",V26="",W26="",X26=""),"", SUM(S26,V26,W26,X26)))</f>
        <v>456.34758625630298</v>
      </c>
      <c r="AA26" s="3"/>
      <c r="AB26" s="66"/>
      <c r="AC26" s="71"/>
      <c r="AD26" s="6"/>
      <c r="AE26" s="61"/>
      <c r="AF26" s="62"/>
      <c r="AG26" s="44"/>
      <c r="AH26" s="63"/>
      <c r="AI26" s="63"/>
      <c r="AJ26" s="64"/>
      <c r="AK26" s="44"/>
    </row>
    <row r="27" spans="1:37" ht="19.5" customHeight="1">
      <c r="A27" s="44"/>
      <c r="B27" s="83"/>
      <c r="C27" s="93"/>
      <c r="D27" s="78"/>
      <c r="E27" s="94"/>
      <c r="F27" s="95"/>
      <c r="G27" s="85"/>
      <c r="H27" s="84"/>
      <c r="I27" s="87"/>
      <c r="J27" s="87"/>
      <c r="K27" s="96"/>
      <c r="L27" s="97"/>
      <c r="M27" s="97"/>
      <c r="N27" s="97"/>
      <c r="O27" s="98"/>
      <c r="P27" s="98"/>
      <c r="Q27" s="75" t="str">
        <f>IF(MAX(K27:M27)&gt;0,IF(MAX(K27:M27)&lt;0,0,TRUNC(MAX(K27:M27)/1)*1),"")</f>
        <v/>
      </c>
      <c r="R27" s="76" t="str">
        <f>IF(MAX(N27:P27)&gt;0,IF(MAX(N27:P27)&lt;0,0,TRUNC(MAX(N27:P27)/1)*1),"")</f>
        <v/>
      </c>
      <c r="S27" s="74" t="str">
        <f>IF(Q27="","",IF(R27="","",IF(SUM(Q27:R27)=0,"",SUM(Q27:R27))))</f>
        <v/>
      </c>
      <c r="T27" s="77" t="str">
        <f>IF(S27="","",IF(D27="","",IF((AD27="k"),IF(D27&gt;153.757,S27,IF(C27&lt;28,10^(0.0787004341*LOG10(28/153.757)^2)*S27,10^(0.787004341*LOG10(D27/153.757)^2)*S27)),IF(D27&gt;193.609,S27,IF(D27&lt;32,10^(0.722762521*LOG10(32/193.609)^2)*S27,10^(0.722762521*LOG10(D27/193.609)^2)*S27)))))</f>
        <v/>
      </c>
      <c r="U27" s="78" t="str">
        <f>IF(AF27=1,T27*AI27,"")</f>
        <v/>
      </c>
      <c r="V27" s="79"/>
      <c r="W27" s="79"/>
      <c r="X27" s="79"/>
      <c r="Y27" s="80"/>
      <c r="Z27" s="78"/>
      <c r="AA27" s="78"/>
      <c r="AB27" s="81"/>
      <c r="AC27" s="71">
        <f>U5</f>
        <v>46263</v>
      </c>
      <c r="AD27" s="60" t="b">
        <f>IF(ISNUMBER(FIND("M",E27)),"m",IF(ISNUMBER(FIND("K",E27)),"k"))</f>
        <v>0</v>
      </c>
      <c r="AE27" s="92">
        <f>IF(OR(G27="",AC27=""),0,(YEAR(AC27)-YEAR(G27)))</f>
        <v>0</v>
      </c>
      <c r="AF27" s="62">
        <f>IF(AE27&gt;34,1,0)</f>
        <v>0</v>
      </c>
      <c r="AG27" s="44" t="b">
        <f>IF(AF27=1,LOOKUP(AE27,'Meltzer-Faber'!A3:A63,'Meltzer-Faber'!B3:B63))</f>
        <v>0</v>
      </c>
      <c r="AH27" s="63" t="b">
        <f>IF(AF27=1,LOOKUP(AE27,'Meltzer-Faber'!A3:A63,'Meltzer-Faber'!C3:C63))</f>
        <v>0</v>
      </c>
      <c r="AI27" s="63" t="str">
        <f>IF(AD27="m",AG27,IF(AD27="k",AH27,""))</f>
        <v/>
      </c>
      <c r="AJ27" s="64" t="str">
        <f>IF(D27="","",IF(D27&gt;193.609,1,IF(D27&lt;32,10^(0.722762521*LOG10(32/193.609)^2),10^(0.722762521*LOG10(D27/193.609)^2))))</f>
        <v/>
      </c>
      <c r="AK27" s="44"/>
    </row>
    <row r="28" spans="1:37" ht="19.5" customHeight="1">
      <c r="A28" s="44"/>
      <c r="B28" s="82"/>
      <c r="C28" s="99"/>
      <c r="D28" s="3"/>
      <c r="E28" s="66"/>
      <c r="F28" s="66"/>
      <c r="G28" s="67"/>
      <c r="H28" s="67"/>
      <c r="I28" s="69"/>
      <c r="J28" s="69"/>
      <c r="K28" s="172"/>
      <c r="L28" s="172"/>
      <c r="M28" s="172"/>
      <c r="N28" s="172"/>
      <c r="O28" s="172"/>
      <c r="P28" s="172"/>
      <c r="Q28" s="70"/>
      <c r="R28" s="3"/>
      <c r="S28" s="173" t="str">
        <f>IF(T27="","",T27*1.2)</f>
        <v/>
      </c>
      <c r="T28" s="173"/>
      <c r="U28" s="3"/>
      <c r="V28" s="3"/>
      <c r="W28" s="3"/>
      <c r="X28" s="3"/>
      <c r="Y28" s="4" t="str">
        <f>IF(SUM(V28,W28,X28)&gt;0,SUM(V28,W28,X28),"")</f>
        <v/>
      </c>
      <c r="Z28" s="3" t="str">
        <f>IF(AE27&gt;34,(IF(OR(S28="",V28="",W28="",X28=""),"",SUM(S28,V28,W28,X28))*AI27),IF(OR(S28="",V28="",W28="",X28=""),"", SUM(S28,V28,W28,X28)))</f>
        <v/>
      </c>
      <c r="AA28" s="3"/>
      <c r="AB28" s="66"/>
      <c r="AC28" s="71"/>
      <c r="AD28" s="6"/>
      <c r="AE28" s="61"/>
      <c r="AF28" s="62"/>
      <c r="AG28" s="44"/>
      <c r="AH28" s="63"/>
      <c r="AI28" s="63"/>
      <c r="AJ28" s="64"/>
      <c r="AK28" s="44"/>
    </row>
    <row r="29" spans="1:37" ht="19.5" customHeight="1">
      <c r="A29" s="44"/>
      <c r="B29" s="83"/>
      <c r="C29" s="93"/>
      <c r="D29" s="78"/>
      <c r="E29" s="94"/>
      <c r="F29" s="95"/>
      <c r="G29" s="85"/>
      <c r="H29" s="84"/>
      <c r="I29" s="87"/>
      <c r="J29" s="87"/>
      <c r="K29" s="96"/>
      <c r="L29" s="97"/>
      <c r="M29" s="97"/>
      <c r="N29" s="97"/>
      <c r="O29" s="98"/>
      <c r="P29" s="98"/>
      <c r="Q29" s="75" t="str">
        <f>IF(MAX(K29:M29)&gt;0,IF(MAX(K29:M29)&lt;0,0,TRUNC(MAX(K29:M29)/1)*1),"")</f>
        <v/>
      </c>
      <c r="R29" s="76" t="str">
        <f>IF(MAX(N29:P29)&gt;0,IF(MAX(N29:P29)&lt;0,0,TRUNC(MAX(N29:P29)/1)*1),"")</f>
        <v/>
      </c>
      <c r="S29" s="74" t="str">
        <f>IF(Q29="","",IF(R29="","",IF(SUM(Q29:R29)=0,"",SUM(Q29:R29))))</f>
        <v/>
      </c>
      <c r="T29" s="77" t="str">
        <f>IF(S29="","",IF(D29="","",IF((AD29="k"),IF(D29&gt;153.757,S29,IF(C29&lt;28,10^(0.0787004341*LOG10(28/153.757)^2)*S29,10^(0.787004341*LOG10(D29/153.757)^2)*S29)),IF(D29&gt;193.609,S29,IF(D29&lt;32,10^(0.722762521*LOG10(32/193.609)^2)*S29,10^(0.722762521*LOG10(D29/193.609)^2)*S29)))))</f>
        <v/>
      </c>
      <c r="U29" s="78" t="str">
        <f>IF(AF29=1,T29*AI29,"")</f>
        <v/>
      </c>
      <c r="V29" s="79"/>
      <c r="W29" s="79"/>
      <c r="X29" s="79"/>
      <c r="Y29" s="80"/>
      <c r="Z29" s="78"/>
      <c r="AA29" s="78"/>
      <c r="AB29" s="81"/>
      <c r="AC29" s="71">
        <f>U5</f>
        <v>46263</v>
      </c>
      <c r="AD29" s="60" t="b">
        <f>IF(ISNUMBER(FIND("M",E29)),"m",IF(ISNUMBER(FIND("K",E29)),"k"))</f>
        <v>0</v>
      </c>
      <c r="AE29" s="92">
        <f>IF(OR(G29="",AC29=""),0,(YEAR(AC29)-YEAR(G29)))</f>
        <v>0</v>
      </c>
      <c r="AF29" s="62">
        <f>IF(AE29&gt;34,1,0)</f>
        <v>0</v>
      </c>
      <c r="AG29" s="44" t="b">
        <f>IF(AF29=1,LOOKUP(AE29,'Meltzer-Faber'!A3:A63,'Meltzer-Faber'!B3:B63))</f>
        <v>0</v>
      </c>
      <c r="AH29" s="63" t="b">
        <f>IF(AF29=1,LOOKUP(AE29,'Meltzer-Faber'!A3:A63,'Meltzer-Faber'!C3:C63))</f>
        <v>0</v>
      </c>
      <c r="AI29" s="63" t="str">
        <f>IF(AD29="m",AG29,IF(AD29="k",AH29,""))</f>
        <v/>
      </c>
      <c r="AJ29" s="64" t="str">
        <f>IF(D29="","",IF(D29&gt;193.609,1,IF(D29&lt;32,10^(0.722762521*LOG10(32/193.609)^2),10^(0.722762521*LOG10(D29/193.609)^2))))</f>
        <v/>
      </c>
      <c r="AK29" s="44"/>
    </row>
    <row r="30" spans="1:37" ht="19.5" customHeight="1">
      <c r="A30" s="44"/>
      <c r="B30" s="82"/>
      <c r="C30" s="99"/>
      <c r="D30" s="3"/>
      <c r="E30" s="66"/>
      <c r="F30" s="66"/>
      <c r="G30" s="67"/>
      <c r="H30" s="67"/>
      <c r="I30" s="69"/>
      <c r="J30" s="69"/>
      <c r="K30" s="172"/>
      <c r="L30" s="172"/>
      <c r="M30" s="172"/>
      <c r="N30" s="172"/>
      <c r="O30" s="172"/>
      <c r="P30" s="172"/>
      <c r="Q30" s="70"/>
      <c r="R30" s="3"/>
      <c r="S30" s="173" t="str">
        <f>IF(T29="","",T29*1.2)</f>
        <v/>
      </c>
      <c r="T30" s="173"/>
      <c r="U30" s="3"/>
      <c r="V30" s="3"/>
      <c r="W30" s="3"/>
      <c r="X30" s="3"/>
      <c r="Y30" s="4" t="str">
        <f>IF(SUM(V30,W30,X30)&gt;0,SUM(V30,W30,X30),"")</f>
        <v/>
      </c>
      <c r="Z30" s="3" t="str">
        <f>IF(AE29&gt;34,(IF(OR(S30="",V30="",W30="",X30=""),"",SUM(S30,V30,W30,X30))*AI29),IF(OR(S30="",V30="",W30="",X30=""),"", SUM(S30,V30,W30,X30)))</f>
        <v/>
      </c>
      <c r="AA30" s="3"/>
      <c r="AB30" s="66"/>
      <c r="AC30" s="71"/>
      <c r="AD30" s="6"/>
      <c r="AE30" s="61"/>
      <c r="AF30" s="62"/>
      <c r="AG30" s="44"/>
      <c r="AH30" s="63"/>
      <c r="AI30" s="63"/>
      <c r="AJ30" s="64"/>
      <c r="AK30" s="44"/>
    </row>
    <row r="31" spans="1:37" ht="19.5" customHeight="1">
      <c r="A31" s="44"/>
      <c r="B31" s="83"/>
      <c r="C31" s="93"/>
      <c r="D31" s="78"/>
      <c r="E31" s="94"/>
      <c r="F31" s="95"/>
      <c r="G31" s="85"/>
      <c r="H31" s="84"/>
      <c r="I31" s="87"/>
      <c r="J31" s="87"/>
      <c r="K31" s="96"/>
      <c r="L31" s="97"/>
      <c r="M31" s="97"/>
      <c r="N31" s="97"/>
      <c r="O31" s="98"/>
      <c r="P31" s="98"/>
      <c r="Q31" s="75" t="str">
        <f>IF(MAX(K31:M31)&gt;0,IF(MAX(K31:M31)&lt;0,0,TRUNC(MAX(K31:M31)/1)*1),"")</f>
        <v/>
      </c>
      <c r="R31" s="76" t="str">
        <f>IF(MAX(N31:P31)&gt;0,IF(MAX(N31:P31)&lt;0,0,TRUNC(MAX(N31:P31)/1)*1),"")</f>
        <v/>
      </c>
      <c r="S31" s="74" t="str">
        <f>IF(Q31="","",IF(R31="","",IF(SUM(Q31:R31)=0,"",SUM(Q31:R31))))</f>
        <v/>
      </c>
      <c r="T31" s="77" t="str">
        <f>IF(S31="","",IF(D31="","",IF((AD31="k"),IF(D31&gt;153.757,S31,IF(C31&lt;28,10^(0.0787004341*LOG10(28/153.757)^2)*S31,10^(0.787004341*LOG10(D31/153.757)^2)*S31)),IF(D31&gt;193.609,S31,IF(D31&lt;32,10^(0.722762521*LOG10(32/193.609)^2)*S31,10^(0.722762521*LOG10(D31/193.609)^2)*S31)))))</f>
        <v/>
      </c>
      <c r="U31" s="78" t="str">
        <f>IF(AF31=1,T31*AI31,"")</f>
        <v/>
      </c>
      <c r="V31" s="79"/>
      <c r="W31" s="79"/>
      <c r="X31" s="79"/>
      <c r="Y31" s="80"/>
      <c r="Z31" s="78"/>
      <c r="AA31" s="78"/>
      <c r="AB31" s="81"/>
      <c r="AC31" s="71">
        <f>U5</f>
        <v>46263</v>
      </c>
      <c r="AD31" s="60" t="b">
        <f>IF(ISNUMBER(FIND("M",E31)),"m",IF(ISNUMBER(FIND("K",E31)),"k"))</f>
        <v>0</v>
      </c>
      <c r="AE31" s="92">
        <f>IF(OR(G31="",AC31=""),0,(YEAR(AC31)-YEAR(G31)))</f>
        <v>0</v>
      </c>
      <c r="AF31" s="62">
        <f>IF(AE31&gt;34,1,0)</f>
        <v>0</v>
      </c>
      <c r="AG31" s="44" t="b">
        <f>IF(AF31=1,LOOKUP(AE31,'Meltzer-Faber'!A3:A63,'Meltzer-Faber'!B3:B63))</f>
        <v>0</v>
      </c>
      <c r="AH31" s="63" t="b">
        <f>IF(AF31=1,LOOKUP(AE31,'Meltzer-Faber'!A3:A63,'Meltzer-Faber'!C3:C63))</f>
        <v>0</v>
      </c>
      <c r="AI31" s="63" t="str">
        <f>IF(AD31="m",AG31,IF(AD31="k",AH31,""))</f>
        <v/>
      </c>
      <c r="AJ31" s="64" t="str">
        <f>IF(D31="","",IF(D31&gt;193.609,1,IF(D31&lt;32,10^(0.722762521*LOG10(32/193.609)^2),10^(0.722762521*LOG10(D31/193.609)^2))))</f>
        <v/>
      </c>
      <c r="AK31" s="44"/>
    </row>
    <row r="32" spans="1:37" ht="19.5" customHeight="1">
      <c r="A32" s="44"/>
      <c r="B32" s="82"/>
      <c r="C32" s="99"/>
      <c r="D32" s="3"/>
      <c r="E32" s="66"/>
      <c r="F32" s="66"/>
      <c r="G32" s="67"/>
      <c r="H32" s="67"/>
      <c r="I32" s="69"/>
      <c r="J32" s="69"/>
      <c r="K32" s="172"/>
      <c r="L32" s="172"/>
      <c r="M32" s="172"/>
      <c r="N32" s="172"/>
      <c r="O32" s="172"/>
      <c r="P32" s="172"/>
      <c r="Q32" s="70"/>
      <c r="R32" s="3"/>
      <c r="S32" s="173" t="str">
        <f>IF(T31="","",T31*1.2)</f>
        <v/>
      </c>
      <c r="T32" s="173"/>
      <c r="U32" s="3"/>
      <c r="V32" s="3" t="str">
        <f>IF(V31&gt;0,V31*20,"")</f>
        <v/>
      </c>
      <c r="W32" s="3" t="str">
        <f>IF(W31="","",(W31*10)*AJ31)</f>
        <v/>
      </c>
      <c r="X32" s="3" t="str">
        <f>IF(ROUNDUP(X31,1)&gt;0,IF((80+(8-ROUNDUP(X31,1))*40)&lt;0,0,80+(8-ROUNDUP(X31,1))*40),"")</f>
        <v/>
      </c>
      <c r="Y32" s="4" t="str">
        <f>IF(SUM(V32,W32,X32)&gt;0,SUM(V32,W32,X32),"")</f>
        <v/>
      </c>
      <c r="Z32" s="3" t="str">
        <f>IF(AE31&gt;34,(IF(OR(S32="",V32="",W32="",X32=""),"",SUM(S32,V32,W32,X32))*AI31),IF(OR(S32="",V32="",W32="",X32=""),"", SUM(S32,V32,W32,X32)))</f>
        <v/>
      </c>
      <c r="AA32" s="3"/>
      <c r="AB32" s="66"/>
      <c r="AC32" s="71"/>
      <c r="AD32" s="6"/>
      <c r="AE32" s="61"/>
      <c r="AF32" s="62"/>
      <c r="AG32" s="44"/>
      <c r="AH32" s="63"/>
      <c r="AI32" s="63"/>
      <c r="AJ32" s="64"/>
      <c r="AK32" s="44"/>
    </row>
    <row r="33" spans="1:37" ht="18.75" customHeight="1">
      <c r="A33" s="114"/>
      <c r="B33" s="114"/>
      <c r="C33" s="114"/>
      <c r="D33" s="115"/>
      <c r="E33" s="116"/>
      <c r="F33" s="116"/>
      <c r="G33" s="116"/>
      <c r="H33" s="117"/>
      <c r="I33" s="114"/>
      <c r="J33" s="114"/>
      <c r="K33" s="118"/>
      <c r="L33" s="119"/>
      <c r="M33" s="118"/>
      <c r="N33" s="118" t="s">
        <v>101</v>
      </c>
      <c r="O33" s="118"/>
      <c r="P33" s="118"/>
      <c r="Q33" s="116"/>
      <c r="R33" s="116"/>
      <c r="S33" s="116"/>
      <c r="T33" s="120"/>
      <c r="U33" s="120"/>
      <c r="V33" s="120"/>
      <c r="W33" s="120"/>
      <c r="X33" s="120"/>
      <c r="Y33" s="120"/>
      <c r="Z33" s="120"/>
      <c r="AA33" s="120"/>
      <c r="AB33" s="120"/>
      <c r="AC33" s="6"/>
      <c r="AD33" s="121"/>
      <c r="AE33" s="122">
        <f>(YEAR(AC33)-YEAR(G33))</f>
        <v>0</v>
      </c>
      <c r="AF33" s="62">
        <f>IF(AE35&gt;34,1,0)</f>
        <v>0</v>
      </c>
      <c r="AG33" s="114"/>
      <c r="AH33" s="117"/>
      <c r="AI33" s="117"/>
      <c r="AJ33" s="114"/>
      <c r="AK33" s="114"/>
    </row>
    <row r="34" spans="1:37" ht="21" customHeight="1">
      <c r="A34" s="114"/>
      <c r="B34" s="114"/>
      <c r="C34" s="114"/>
      <c r="D34" s="115"/>
      <c r="E34" s="116"/>
      <c r="F34" s="116"/>
      <c r="G34" s="116"/>
      <c r="H34" s="117"/>
      <c r="I34" s="114"/>
      <c r="J34" s="114"/>
      <c r="K34" s="118"/>
      <c r="L34" s="119"/>
      <c r="M34" s="118"/>
      <c r="N34" s="118"/>
      <c r="O34" s="118"/>
      <c r="P34" s="118"/>
      <c r="Q34" s="116"/>
      <c r="R34" s="116"/>
      <c r="S34" s="116"/>
      <c r="T34" s="120"/>
      <c r="U34" s="120"/>
      <c r="V34" s="120"/>
      <c r="W34" s="120"/>
      <c r="X34" s="120"/>
      <c r="Y34" s="120"/>
      <c r="Z34" s="120"/>
      <c r="AA34" s="120"/>
      <c r="AB34" s="120"/>
      <c r="AC34" s="6"/>
      <c r="AD34" s="121"/>
      <c r="AE34" s="122"/>
      <c r="AF34" s="62"/>
      <c r="AG34" s="114"/>
      <c r="AH34" s="117"/>
      <c r="AI34" s="117"/>
      <c r="AJ34" s="114"/>
      <c r="AK34" s="114"/>
    </row>
    <row r="35" spans="1:37" ht="22.5" customHeight="1">
      <c r="B35" s="166" t="s">
        <v>102</v>
      </c>
      <c r="C35" s="166"/>
      <c r="D35" s="123" t="s">
        <v>14</v>
      </c>
      <c r="E35" s="166" t="s">
        <v>21</v>
      </c>
      <c r="F35" s="166"/>
      <c r="G35" s="166"/>
      <c r="H35" s="166"/>
      <c r="I35" s="2" t="s">
        <v>103</v>
      </c>
      <c r="J35" s="124"/>
      <c r="K35" s="166" t="s">
        <v>102</v>
      </c>
      <c r="L35" s="166"/>
      <c r="M35" s="166"/>
      <c r="N35" s="1" t="s">
        <v>14</v>
      </c>
      <c r="O35" s="167" t="s">
        <v>21</v>
      </c>
      <c r="P35" s="167"/>
      <c r="Q35" s="167"/>
      <c r="R35" s="167"/>
      <c r="S35" s="167" t="s">
        <v>103</v>
      </c>
      <c r="T35" s="167"/>
      <c r="U35" s="12"/>
      <c r="V35" s="12"/>
      <c r="W35" s="12"/>
      <c r="X35" s="12"/>
      <c r="Y35" s="12"/>
      <c r="Z35" s="12"/>
      <c r="AA35" s="12"/>
      <c r="AB35" s="12"/>
      <c r="AF35" s="6"/>
      <c r="AH35" s="125"/>
      <c r="AI35" s="125"/>
    </row>
    <row r="36" spans="1:37" ht="19.5" customHeight="1">
      <c r="A36" s="16"/>
      <c r="B36" s="168" t="s">
        <v>104</v>
      </c>
      <c r="C36" s="168"/>
      <c r="D36" s="126" t="s">
        <v>105</v>
      </c>
      <c r="E36" s="169" t="s">
        <v>106</v>
      </c>
      <c r="F36" s="169"/>
      <c r="G36" s="169"/>
      <c r="H36" s="169"/>
      <c r="I36" s="127" t="s">
        <v>107</v>
      </c>
      <c r="K36" s="168" t="s">
        <v>108</v>
      </c>
      <c r="L36" s="168"/>
      <c r="M36" s="168"/>
      <c r="N36" s="128" t="s">
        <v>109</v>
      </c>
      <c r="O36" s="170" t="s">
        <v>110</v>
      </c>
      <c r="P36" s="170"/>
      <c r="Q36" s="170"/>
      <c r="R36" s="170"/>
      <c r="S36" s="171" t="s">
        <v>96</v>
      </c>
      <c r="T36" s="171"/>
      <c r="U36" s="16"/>
      <c r="V36" s="16"/>
      <c r="W36" s="16"/>
      <c r="X36" s="16"/>
      <c r="Y36" s="16"/>
      <c r="Z36" s="16"/>
      <c r="AA36" s="16"/>
      <c r="AB36" s="16"/>
      <c r="AC36" s="16"/>
      <c r="AD36" s="16"/>
      <c r="AE36" s="16"/>
      <c r="AF36" s="6"/>
      <c r="AG36" s="16"/>
      <c r="AH36" s="21"/>
      <c r="AI36" s="21"/>
      <c r="AJ36" s="16"/>
      <c r="AK36" s="16"/>
    </row>
    <row r="37" spans="1:37" ht="21" customHeight="1">
      <c r="A37" s="16"/>
      <c r="B37" s="162" t="s">
        <v>111</v>
      </c>
      <c r="C37" s="162"/>
      <c r="D37" s="129" t="s">
        <v>236</v>
      </c>
      <c r="E37" s="163" t="s">
        <v>238</v>
      </c>
      <c r="F37" s="163"/>
      <c r="G37" s="163"/>
      <c r="H37" s="163"/>
      <c r="I37" s="130" t="s">
        <v>70</v>
      </c>
      <c r="K37" s="162" t="s">
        <v>115</v>
      </c>
      <c r="L37" s="162"/>
      <c r="M37" s="162"/>
      <c r="N37" s="131" t="s">
        <v>243</v>
      </c>
      <c r="O37" s="164" t="s">
        <v>244</v>
      </c>
      <c r="P37" s="164"/>
      <c r="Q37" s="164"/>
      <c r="R37" s="164"/>
      <c r="S37" s="165" t="s">
        <v>96</v>
      </c>
      <c r="T37" s="165"/>
      <c r="U37" s="16"/>
      <c r="V37" s="16"/>
      <c r="W37" s="16"/>
      <c r="X37" s="16"/>
      <c r="Y37" s="16"/>
      <c r="Z37" s="16"/>
      <c r="AA37" s="16"/>
      <c r="AB37" s="16"/>
      <c r="AC37" s="16"/>
      <c r="AD37" s="16"/>
      <c r="AE37" s="16"/>
      <c r="AF37" s="16"/>
      <c r="AG37" s="16"/>
      <c r="AH37" s="21"/>
      <c r="AI37" s="21"/>
      <c r="AJ37" s="16"/>
      <c r="AK37" s="16"/>
    </row>
    <row r="38" spans="1:37" ht="18.75" customHeight="1">
      <c r="A38" s="16"/>
      <c r="B38" s="162" t="s">
        <v>111</v>
      </c>
      <c r="C38" s="162"/>
      <c r="D38" s="129" t="s">
        <v>226</v>
      </c>
      <c r="E38" s="163" t="s">
        <v>228</v>
      </c>
      <c r="F38" s="163"/>
      <c r="G38" s="163"/>
      <c r="H38" s="163"/>
      <c r="I38" s="130" t="s">
        <v>152</v>
      </c>
      <c r="K38" s="162" t="s">
        <v>120</v>
      </c>
      <c r="L38" s="162"/>
      <c r="M38" s="162"/>
      <c r="N38" s="131"/>
      <c r="O38" s="164"/>
      <c r="P38" s="164"/>
      <c r="Q38" s="164"/>
      <c r="R38" s="164"/>
      <c r="S38" s="165"/>
      <c r="T38" s="165"/>
      <c r="U38" s="16"/>
      <c r="V38" s="16" t="s">
        <v>121</v>
      </c>
      <c r="W38" s="16"/>
      <c r="X38" s="16"/>
      <c r="Y38" s="16"/>
      <c r="Z38" s="16"/>
      <c r="AA38" s="16"/>
      <c r="AB38" s="16"/>
      <c r="AC38" s="16"/>
      <c r="AD38" s="16"/>
      <c r="AE38" s="16"/>
      <c r="AF38" s="16"/>
      <c r="AG38" s="16"/>
      <c r="AH38" s="21"/>
      <c r="AI38" s="21"/>
      <c r="AJ38" s="16"/>
      <c r="AK38" s="16"/>
    </row>
    <row r="39" spans="1:37" ht="21" customHeight="1">
      <c r="A39" s="16"/>
      <c r="B39" s="162" t="s">
        <v>111</v>
      </c>
      <c r="C39" s="162"/>
      <c r="D39" s="129" t="s">
        <v>190</v>
      </c>
      <c r="E39" s="163" t="s">
        <v>193</v>
      </c>
      <c r="F39" s="163"/>
      <c r="G39" s="163"/>
      <c r="H39" s="163"/>
      <c r="I39" s="130" t="s">
        <v>70</v>
      </c>
      <c r="K39" s="162" t="s">
        <v>125</v>
      </c>
      <c r="L39" s="162"/>
      <c r="M39" s="162"/>
      <c r="N39" s="131"/>
      <c r="O39" s="164"/>
      <c r="P39" s="164"/>
      <c r="Q39" s="164"/>
      <c r="R39" s="164"/>
      <c r="S39" s="165"/>
      <c r="T39" s="165"/>
      <c r="U39" s="16"/>
      <c r="V39" s="16"/>
      <c r="W39" s="16"/>
      <c r="X39" s="16"/>
      <c r="Y39" s="16"/>
      <c r="Z39" s="16"/>
      <c r="AA39" s="16"/>
      <c r="AB39" s="16"/>
      <c r="AC39" s="16"/>
      <c r="AD39" s="16" t="s">
        <v>101</v>
      </c>
      <c r="AE39" s="16"/>
      <c r="AF39" s="16"/>
      <c r="AG39" s="16"/>
      <c r="AH39" s="21"/>
      <c r="AI39" s="21"/>
      <c r="AJ39" s="16"/>
      <c r="AK39" s="16"/>
    </row>
    <row r="40" spans="1:37" ht="19.5" customHeight="1">
      <c r="A40" s="16"/>
      <c r="B40" s="162" t="s">
        <v>111</v>
      </c>
      <c r="C40" s="162"/>
      <c r="D40" s="129"/>
      <c r="E40" s="163"/>
      <c r="F40" s="163"/>
      <c r="G40" s="163"/>
      <c r="H40" s="163"/>
      <c r="I40" s="130"/>
      <c r="K40" s="162" t="s">
        <v>126</v>
      </c>
      <c r="L40" s="162"/>
      <c r="M40" s="162"/>
      <c r="N40" s="131"/>
      <c r="O40" s="164"/>
      <c r="P40" s="164"/>
      <c r="Q40" s="164"/>
      <c r="R40" s="164"/>
      <c r="S40" s="165"/>
      <c r="T40" s="165"/>
      <c r="U40" s="16"/>
      <c r="V40" s="16"/>
      <c r="W40" s="16"/>
      <c r="X40" s="16"/>
      <c r="Y40" s="16"/>
      <c r="Z40" s="16"/>
      <c r="AA40" s="16"/>
      <c r="AB40" s="16"/>
      <c r="AC40" s="16"/>
      <c r="AD40" s="16"/>
      <c r="AE40" s="16"/>
      <c r="AF40" s="16"/>
      <c r="AG40" s="16"/>
      <c r="AH40" s="21"/>
      <c r="AI40" s="21"/>
      <c r="AJ40" s="16"/>
      <c r="AK40" s="16"/>
    </row>
    <row r="41" spans="1:37" ht="18.75" customHeight="1">
      <c r="B41" s="162" t="s">
        <v>111</v>
      </c>
      <c r="C41" s="162"/>
      <c r="D41" s="129"/>
      <c r="E41" s="163"/>
      <c r="F41" s="163"/>
      <c r="G41" s="163"/>
      <c r="H41" s="163"/>
      <c r="I41" s="130"/>
      <c r="J41" s="5"/>
      <c r="K41" s="162" t="s">
        <v>126</v>
      </c>
      <c r="L41" s="162"/>
      <c r="M41" s="162"/>
      <c r="N41" s="131"/>
      <c r="O41" s="164"/>
      <c r="P41" s="164"/>
      <c r="Q41" s="164"/>
      <c r="R41" s="164"/>
      <c r="S41" s="165"/>
      <c r="T41" s="165"/>
      <c r="U41" s="5"/>
      <c r="V41" s="5"/>
      <c r="W41" s="5"/>
      <c r="X41" s="5"/>
      <c r="Y41" s="5"/>
      <c r="Z41" s="5"/>
      <c r="AA41" s="5"/>
      <c r="AB41" s="5"/>
    </row>
    <row r="42" spans="1:37" ht="19.5" customHeight="1">
      <c r="B42" s="162" t="s">
        <v>127</v>
      </c>
      <c r="C42" s="162"/>
      <c r="D42" s="129"/>
      <c r="E42" s="163" t="s">
        <v>272</v>
      </c>
      <c r="F42" s="163"/>
      <c r="G42" s="163"/>
      <c r="H42" s="163"/>
      <c r="I42" s="130"/>
      <c r="J42" s="5"/>
      <c r="K42" s="162" t="s">
        <v>126</v>
      </c>
      <c r="L42" s="162"/>
      <c r="M42" s="162"/>
      <c r="N42" s="131"/>
      <c r="O42" s="164"/>
      <c r="P42" s="164"/>
      <c r="Q42" s="164"/>
      <c r="R42" s="164"/>
      <c r="S42" s="165"/>
      <c r="T42" s="165"/>
      <c r="U42" s="5"/>
      <c r="V42" s="5"/>
      <c r="W42" s="5"/>
      <c r="X42" s="5"/>
      <c r="Y42" s="5"/>
      <c r="Z42" s="5"/>
      <c r="AA42" s="5"/>
      <c r="AB42" s="5"/>
    </row>
    <row r="43" spans="1:37" ht="19.5" customHeight="1">
      <c r="B43" s="156"/>
      <c r="C43" s="156"/>
      <c r="D43" s="132"/>
      <c r="E43" s="157"/>
      <c r="F43" s="157"/>
      <c r="G43" s="157"/>
      <c r="H43" s="157"/>
      <c r="I43" s="133"/>
      <c r="J43" s="5"/>
      <c r="K43" s="156" t="s">
        <v>126</v>
      </c>
      <c r="L43" s="156"/>
      <c r="M43" s="156"/>
      <c r="N43" s="134"/>
      <c r="O43" s="158"/>
      <c r="P43" s="158"/>
      <c r="Q43" s="158"/>
      <c r="R43" s="158"/>
      <c r="S43" s="159"/>
      <c r="T43" s="159"/>
      <c r="U43" s="5"/>
      <c r="V43" s="5"/>
      <c r="W43" s="5"/>
      <c r="X43" s="5"/>
      <c r="Y43" s="5"/>
      <c r="Z43" s="5"/>
      <c r="AA43" s="5"/>
      <c r="AB43" s="5"/>
    </row>
    <row r="44" spans="1:37" ht="18.75" customHeight="1">
      <c r="B44" s="160"/>
      <c r="C44" s="160"/>
      <c r="D44" s="161"/>
      <c r="E44" s="161"/>
      <c r="F44" s="135"/>
      <c r="G44" s="161"/>
      <c r="H44" s="161"/>
      <c r="I44" s="161"/>
      <c r="J44" s="5"/>
      <c r="K44" s="161"/>
      <c r="L44" s="161"/>
      <c r="M44" s="161"/>
      <c r="N44" s="161"/>
      <c r="O44" s="161"/>
      <c r="P44" s="161"/>
      <c r="Q44" s="161"/>
      <c r="R44" s="161"/>
      <c r="S44" s="161"/>
      <c r="T44" s="161"/>
      <c r="U44" s="5"/>
      <c r="V44" s="5"/>
      <c r="W44" s="5"/>
      <c r="X44" s="5"/>
      <c r="Y44" s="5"/>
      <c r="Z44" s="5"/>
      <c r="AA44" s="5"/>
      <c r="AB44" s="5"/>
    </row>
    <row r="45" spans="1:37" ht="18" customHeight="1">
      <c r="B45" s="153" t="s">
        <v>130</v>
      </c>
      <c r="C45" s="153"/>
      <c r="D45" s="153"/>
      <c r="E45" s="153"/>
      <c r="F45" s="153"/>
      <c r="G45" s="153"/>
      <c r="H45" s="153"/>
      <c r="I45" s="153"/>
      <c r="J45" s="153"/>
      <c r="K45" s="153"/>
      <c r="L45" s="153"/>
      <c r="M45" s="153"/>
      <c r="N45" s="153"/>
      <c r="O45" s="153"/>
      <c r="P45" s="153"/>
      <c r="Q45" s="153"/>
      <c r="R45" s="153"/>
      <c r="S45" s="153"/>
      <c r="T45" s="153"/>
      <c r="U45" s="5"/>
      <c r="V45" s="5"/>
      <c r="W45" s="5"/>
      <c r="X45" s="5"/>
      <c r="Y45" s="5"/>
      <c r="Z45" s="5"/>
      <c r="AA45" s="5"/>
      <c r="AB45" s="5"/>
    </row>
    <row r="46" spans="1:37" ht="18" customHeight="1">
      <c r="B46" s="154"/>
      <c r="C46" s="154"/>
      <c r="D46" s="154"/>
      <c r="E46" s="154"/>
      <c r="F46" s="154"/>
      <c r="G46" s="154"/>
      <c r="H46" s="154"/>
      <c r="I46" s="154"/>
      <c r="J46" s="154"/>
      <c r="K46" s="154"/>
      <c r="L46" s="154"/>
      <c r="M46" s="154"/>
      <c r="N46" s="154"/>
      <c r="O46" s="154"/>
      <c r="P46" s="154"/>
      <c r="Q46" s="154"/>
      <c r="R46" s="154"/>
      <c r="S46" s="154"/>
      <c r="T46" s="154"/>
      <c r="U46" s="5"/>
      <c r="V46" s="5"/>
      <c r="W46" s="5"/>
      <c r="X46" s="5"/>
      <c r="Y46" s="5"/>
      <c r="Z46" s="5"/>
      <c r="AA46" s="5"/>
      <c r="AB46" s="5"/>
    </row>
    <row r="47" spans="1:37" ht="13.5" customHeight="1">
      <c r="B47" s="6"/>
      <c r="D47" s="136"/>
      <c r="E47" s="16"/>
      <c r="F47" s="16"/>
      <c r="G47" s="136"/>
      <c r="H47" s="16"/>
      <c r="I47" s="124"/>
      <c r="J47" s="16"/>
      <c r="K47" s="16"/>
      <c r="L47" s="16"/>
      <c r="M47" s="16"/>
      <c r="N47" s="16"/>
      <c r="O47" s="16"/>
      <c r="P47" s="16"/>
      <c r="Q47" s="16"/>
      <c r="R47" s="16"/>
      <c r="S47" s="16"/>
      <c r="T47" s="16"/>
      <c r="U47" s="16"/>
      <c r="V47" s="16"/>
      <c r="W47" s="16"/>
      <c r="X47" s="16"/>
      <c r="Y47" s="16"/>
      <c r="Z47" s="16"/>
      <c r="AA47" s="16"/>
    </row>
    <row r="48" spans="1:37" ht="13.5" customHeight="1">
      <c r="B48" s="137"/>
      <c r="C48" s="137"/>
      <c r="D48" s="138"/>
      <c r="E48" s="139"/>
      <c r="F48" s="139"/>
      <c r="G48" s="140"/>
      <c r="H48" s="141"/>
      <c r="I48" s="5"/>
      <c r="J48" s="16"/>
      <c r="K48" s="16"/>
      <c r="L48" s="16"/>
      <c r="M48" s="16"/>
      <c r="N48" s="16"/>
      <c r="O48" s="16"/>
      <c r="P48" s="16"/>
      <c r="Q48" s="16"/>
      <c r="R48" s="16"/>
      <c r="S48" s="16"/>
      <c r="T48" s="16"/>
      <c r="U48" s="16"/>
      <c r="V48" s="16"/>
      <c r="W48" s="16"/>
      <c r="X48" s="16"/>
      <c r="Y48" s="16"/>
      <c r="Z48" s="16"/>
      <c r="AA48" s="16"/>
    </row>
    <row r="49" spans="5:7" ht="15"/>
    <row r="50" spans="5:7" ht="12.75" customHeight="1">
      <c r="E50" s="155"/>
      <c r="F50" s="155"/>
      <c r="G50" s="155"/>
    </row>
    <row r="51" spans="5:7" ht="15"/>
    <row r="52" spans="5:7" ht="15"/>
    <row r="53" spans="5:7" ht="15"/>
    <row r="54" spans="5:7" ht="15"/>
    <row r="55" spans="5:7" ht="15"/>
    <row r="56" spans="5:7" ht="15"/>
    <row r="57" spans="5:7" ht="15"/>
    <row r="58" spans="5:7" ht="15"/>
    <row r="59" spans="5:7" ht="15"/>
    <row r="60" spans="5:7" ht="15"/>
    <row r="61" spans="5:7" ht="15"/>
    <row r="62" spans="5:7" ht="15"/>
    <row r="63" spans="5:7" ht="15"/>
    <row r="64" spans="5:7" ht="15"/>
    <row r="65" ht="15"/>
    <row r="66" ht="15"/>
    <row r="67" ht="15"/>
    <row r="68" ht="15"/>
    <row r="69" ht="15"/>
    <row r="70" ht="15"/>
    <row r="71" ht="15"/>
    <row r="72" ht="15"/>
    <row r="73" ht="15"/>
    <row r="74" ht="15"/>
    <row r="75" ht="15"/>
    <row r="76" ht="15"/>
    <row r="77" ht="15"/>
    <row r="78" ht="15"/>
    <row r="79" ht="15"/>
    <row r="80" ht="15"/>
    <row r="81" ht="15"/>
    <row r="82" ht="15"/>
  </sheetData>
  <mergeCells count="102">
    <mergeCell ref="G2:R2"/>
    <mergeCell ref="G3:R3"/>
    <mergeCell ref="D5:I5"/>
    <mergeCell ref="K5:N5"/>
    <mergeCell ref="P5:S5"/>
    <mergeCell ref="U5:V5"/>
    <mergeCell ref="AJ6:AJ7"/>
    <mergeCell ref="B7:B8"/>
    <mergeCell ref="C7:C8"/>
    <mergeCell ref="D7:D8"/>
    <mergeCell ref="E7:E8"/>
    <mergeCell ref="F7:F8"/>
    <mergeCell ref="K10:M10"/>
    <mergeCell ref="N10:P10"/>
    <mergeCell ref="S10:T10"/>
    <mergeCell ref="K12:M12"/>
    <mergeCell ref="N12:P12"/>
    <mergeCell ref="S12:T12"/>
    <mergeCell ref="K14:M14"/>
    <mergeCell ref="N14:P14"/>
    <mergeCell ref="S14:T14"/>
    <mergeCell ref="K16:M16"/>
    <mergeCell ref="N16:P16"/>
    <mergeCell ref="S16:T16"/>
    <mergeCell ref="K18:M18"/>
    <mergeCell ref="N18:P18"/>
    <mergeCell ref="S18:T18"/>
    <mergeCell ref="K20:M20"/>
    <mergeCell ref="N20:P20"/>
    <mergeCell ref="S20:T20"/>
    <mergeCell ref="K22:M22"/>
    <mergeCell ref="N22:P22"/>
    <mergeCell ref="S22:T22"/>
    <mergeCell ref="K24:M24"/>
    <mergeCell ref="N24:P24"/>
    <mergeCell ref="S24:T24"/>
    <mergeCell ref="K26:M26"/>
    <mergeCell ref="N26:P26"/>
    <mergeCell ref="S26:T26"/>
    <mergeCell ref="K28:M28"/>
    <mergeCell ref="N28:P28"/>
    <mergeCell ref="S28:T28"/>
    <mergeCell ref="K30:M30"/>
    <mergeCell ref="N30:P30"/>
    <mergeCell ref="S30:T30"/>
    <mergeCell ref="K32:M32"/>
    <mergeCell ref="N32:P32"/>
    <mergeCell ref="S32:T32"/>
    <mergeCell ref="B35:C35"/>
    <mergeCell ref="E35:H35"/>
    <mergeCell ref="K35:M35"/>
    <mergeCell ref="O35:R35"/>
    <mergeCell ref="S35:T35"/>
    <mergeCell ref="B36:C36"/>
    <mergeCell ref="E36:H36"/>
    <mergeCell ref="K36:M36"/>
    <mergeCell ref="O36:R36"/>
    <mergeCell ref="S36:T36"/>
    <mergeCell ref="B37:C37"/>
    <mergeCell ref="E37:H37"/>
    <mergeCell ref="K37:M37"/>
    <mergeCell ref="O37:R37"/>
    <mergeCell ref="S37:T37"/>
    <mergeCell ref="B38:C38"/>
    <mergeCell ref="E38:H38"/>
    <mergeCell ref="K38:M38"/>
    <mergeCell ref="O38:R38"/>
    <mergeCell ref="S38:T38"/>
    <mergeCell ref="B39:C39"/>
    <mergeCell ref="E39:H39"/>
    <mergeCell ref="K39:M39"/>
    <mergeCell ref="O39:R39"/>
    <mergeCell ref="S39:T39"/>
    <mergeCell ref="B40:C40"/>
    <mergeCell ref="E40:H40"/>
    <mergeCell ref="K40:M40"/>
    <mergeCell ref="O40:R40"/>
    <mergeCell ref="S40:T40"/>
    <mergeCell ref="B41:C41"/>
    <mergeCell ref="E41:H41"/>
    <mergeCell ref="K41:M41"/>
    <mergeCell ref="O41:R41"/>
    <mergeCell ref="S41:T41"/>
    <mergeCell ref="B42:C42"/>
    <mergeCell ref="E42:H42"/>
    <mergeCell ref="K42:M42"/>
    <mergeCell ref="O42:R42"/>
    <mergeCell ref="S42:T42"/>
    <mergeCell ref="B45:T45"/>
    <mergeCell ref="B46:T46"/>
    <mergeCell ref="E50:G50"/>
    <mergeCell ref="B43:C43"/>
    <mergeCell ref="E43:H43"/>
    <mergeCell ref="K43:M43"/>
    <mergeCell ref="O43:R43"/>
    <mergeCell ref="S43:T43"/>
    <mergeCell ref="B44:C44"/>
    <mergeCell ref="D44:E44"/>
    <mergeCell ref="G44:I44"/>
    <mergeCell ref="K44:M44"/>
    <mergeCell ref="N44:O44"/>
    <mergeCell ref="P44:T44"/>
  </mergeCells>
  <conditionalFormatting sqref="K27">
    <cfRule type="cellIs" dxfId="89" priority="25" operator="lessThanOrEqual">
      <formula>0</formula>
    </cfRule>
    <cfRule type="cellIs" dxfId="88" priority="24" operator="between">
      <formula>1</formula>
      <formula>300</formula>
    </cfRule>
  </conditionalFormatting>
  <conditionalFormatting sqref="K29">
    <cfRule type="cellIs" dxfId="87" priority="23" operator="lessThanOrEqual">
      <formula>0</formula>
    </cfRule>
    <cfRule type="cellIs" dxfId="86" priority="22" operator="between">
      <formula>1</formula>
      <formula>300</formula>
    </cfRule>
  </conditionalFormatting>
  <conditionalFormatting sqref="K31">
    <cfRule type="cellIs" dxfId="85" priority="20" operator="between">
      <formula>1</formula>
      <formula>300</formula>
    </cfRule>
    <cfRule type="cellIs" dxfId="84" priority="21" operator="lessThanOrEqual">
      <formula>0</formula>
    </cfRule>
  </conditionalFormatting>
  <conditionalFormatting sqref="K9:P9">
    <cfRule type="cellIs" dxfId="83" priority="14" operator="between">
      <formula>1</formula>
      <formula>300</formula>
    </cfRule>
    <cfRule type="cellIs" dxfId="82" priority="15" operator="lessThanOrEqual">
      <formula>0</formula>
    </cfRule>
  </conditionalFormatting>
  <conditionalFormatting sqref="K11:P11">
    <cfRule type="cellIs" dxfId="81" priority="12" operator="between">
      <formula>1</formula>
      <formula>300</formula>
    </cfRule>
    <cfRule type="cellIs" dxfId="80" priority="13" operator="lessThanOrEqual">
      <formula>0</formula>
    </cfRule>
  </conditionalFormatting>
  <conditionalFormatting sqref="K13:P13">
    <cfRule type="cellIs" dxfId="79" priority="8" operator="between">
      <formula>1</formula>
      <formula>300</formula>
    </cfRule>
    <cfRule type="cellIs" dxfId="78" priority="9" operator="lessThanOrEqual">
      <formula>0</formula>
    </cfRule>
  </conditionalFormatting>
  <conditionalFormatting sqref="K15:P15">
    <cfRule type="cellIs" dxfId="77" priority="10" operator="between">
      <formula>1</formula>
      <formula>300</formula>
    </cfRule>
    <cfRule type="cellIs" dxfId="76" priority="11" operator="lessThanOrEqual">
      <formula>0</formula>
    </cfRule>
  </conditionalFormatting>
  <conditionalFormatting sqref="K17:P17">
    <cfRule type="cellIs" dxfId="75" priority="16" operator="between">
      <formula>1</formula>
      <formula>300</formula>
    </cfRule>
    <cfRule type="cellIs" dxfId="74" priority="17" operator="lessThanOrEqual">
      <formula>0</formula>
    </cfRule>
  </conditionalFormatting>
  <conditionalFormatting sqref="K19:P19">
    <cfRule type="cellIs" dxfId="73" priority="2" operator="between">
      <formula>1</formula>
      <formula>300</formula>
    </cfRule>
    <cfRule type="cellIs" dxfId="72" priority="3" operator="lessThanOrEqual">
      <formula>0</formula>
    </cfRule>
  </conditionalFormatting>
  <conditionalFormatting sqref="K21:P21">
    <cfRule type="cellIs" dxfId="71" priority="5" operator="lessThanOrEqual">
      <formula>0</formula>
    </cfRule>
    <cfRule type="cellIs" dxfId="70" priority="4" operator="between">
      <formula>1</formula>
      <formula>300</formula>
    </cfRule>
  </conditionalFormatting>
  <conditionalFormatting sqref="K23:P23">
    <cfRule type="cellIs" dxfId="69" priority="7" operator="lessThanOrEqual">
      <formula>0</formula>
    </cfRule>
    <cfRule type="cellIs" dxfId="68" priority="6" operator="between">
      <formula>1</formula>
      <formula>300</formula>
    </cfRule>
  </conditionalFormatting>
  <conditionalFormatting sqref="K25:P25">
    <cfRule type="cellIs" dxfId="67" priority="19" operator="lessThanOrEqual">
      <formula>0</formula>
    </cfRule>
    <cfRule type="cellIs" dxfId="66" priority="18" operator="between">
      <formula>1</formula>
      <formula>300</formula>
    </cfRule>
  </conditionalFormatting>
  <conditionalFormatting sqref="L27:N27">
    <cfRule type="cellIs" dxfId="65" priority="30" operator="between">
      <formula>1</formula>
      <formula>300</formula>
    </cfRule>
    <cfRule type="cellIs" dxfId="64" priority="31" operator="lessThanOrEqual">
      <formula>0</formula>
    </cfRule>
  </conditionalFormatting>
  <conditionalFormatting sqref="L29:N29">
    <cfRule type="cellIs" dxfId="63" priority="28" operator="between">
      <formula>1</formula>
      <formula>300</formula>
    </cfRule>
    <cfRule type="cellIs" dxfId="62" priority="29" operator="lessThanOrEqual">
      <formula>0</formula>
    </cfRule>
  </conditionalFormatting>
  <conditionalFormatting sqref="L31:N31">
    <cfRule type="cellIs" dxfId="61" priority="26" operator="between">
      <formula>1</formula>
      <formula>300</formula>
    </cfRule>
    <cfRule type="cellIs" dxfId="60" priority="27" operator="lessThanOrEqual">
      <formula>0</formula>
    </cfRule>
  </conditionalFormatting>
  <dataValidations count="6">
    <dataValidation type="list" allowBlank="1" showInputMessage="1" showErrorMessage="1" sqref="B36:C43 K36:M43" xr:uid="{00000000-0002-0000-0800-000000000000}">
      <formula1>"Dommer,Stevnets leder,Jury,Sekretær,Speaker,Teknisk kontrollør,Chief Marshall,Tidtaker"</formula1>
      <formula2>0</formula2>
    </dataValidation>
    <dataValidation type="list" allowBlank="1" showInputMessage="1" showErrorMessage="1" sqref="C11 C9 C31 C29 C27 C25 C23 C21 C19 C17 C15 C13" xr:uid="{00000000-0002-0000-0800-000001000000}">
      <formula1>"44,48,53,56,58,60,63,65,69,71,77,'+77,79,86,'+86,88,94,'+94,110,'+110"</formula1>
      <formula2>0</formula2>
    </dataValidation>
    <dataValidation type="list" allowBlank="1" showInputMessage="1" showErrorMessage="1" sqref="D5:I5" xr:uid="{00000000-0002-0000-0800-00000D000000}">
      <formula1>"Nasjonalt stevne,Seriestevne,Seriestevne 5-kamp,Klubbmesterskap,Regionsmesterskap,Landsdelsmesterskap,Norgesmesterskap Senior,Norgesmesterskap Ungdom,Norgesmesterskap Junior,Norgesmesterskap Veteran,Norgesmesterskap 5-kamp,Norgesmesterskap Lag"</formula1>
      <formula2>0</formula2>
    </dataValidation>
    <dataValidation type="list" allowBlank="1" showInputMessage="1" showErrorMessage="1" sqref="E11 F12 E9 E31 E29 E27 E25 E23 E21 E19 E17 E15 E13" xr:uid="{00000000-0002-0000-0800-00000E000000}">
      <formula1>"UM,JM,SM,UK,JK,SK,M35,M40,M45,M50,M55,M60,M65,M70,M75,M80,M85,M90,K35,K40,K45,K50,K55,K60,K65,K70,K75,K80,K85,K90"</formula1>
      <formula2>0</formula2>
    </dataValidation>
    <dataValidation type="list" allowBlank="1" showInputMessage="1" showErrorMessage="1" sqref="F11 F9 F31 F29 F27 F25 F23 F21 F19 F17 F15 F13" xr:uid="{00000000-0002-0000-0800-00001A000000}">
      <formula1>"11-12,13-14,15-16,17-18,19-23,24-34,+35"</formula1>
      <formula2>0</formula2>
    </dataValidation>
    <dataValidation type="list" allowBlank="1" showInputMessage="1" showErrorMessage="1" prompt="Feil_i_kat. 5-kamp - Feil verdi i kategori 5-kamp" sqref="G12" xr:uid="{00000000-0002-0000-0800-000027000000}">
      <formula1>"11-12,13-14,15-16,17-18,19-23,24-34,+35,35+"</formula1>
      <formula2>0</formula2>
    </dataValidation>
  </dataValidations>
  <pageMargins left="0.27569444444444402" right="0.35416666666666702" top="0.27569444444444402" bottom="0.27569444444444402" header="0.511811023622047" footer="0.511811023622047"/>
  <pageSetup paperSize="9" orientation="landscape" useFirstPageNumber="1" horizontalDpi="300" verticalDpi="300"/>
  <drawing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</TotalTime>
  <Application>Microsoft Macintosh Excel</Application>
  <DocSecurity>0</DocSecurity>
  <ScaleCrop>false</ScaleCrop>
  <HeadingPairs>
    <vt:vector size="4" baseType="variant">
      <vt:variant>
        <vt:lpstr>Regneark</vt:lpstr>
      </vt:variant>
      <vt:variant>
        <vt:i4>11</vt:i4>
      </vt:variant>
      <vt:variant>
        <vt:lpstr>Navngitte områder</vt:lpstr>
      </vt:variant>
      <vt:variant>
        <vt:i4>10</vt:i4>
      </vt:variant>
    </vt:vector>
  </HeadingPairs>
  <TitlesOfParts>
    <vt:vector size="21" baseType="lpstr">
      <vt:lpstr>Pulje 1 (1)</vt:lpstr>
      <vt:lpstr>Pulje 1 (2)</vt:lpstr>
      <vt:lpstr>Meltzer-Faber</vt:lpstr>
      <vt:lpstr>Module1</vt:lpstr>
      <vt:lpstr>Pulje 2</vt:lpstr>
      <vt:lpstr>Pulje 3 (1)</vt:lpstr>
      <vt:lpstr>Pulje 3 (2)</vt:lpstr>
      <vt:lpstr>Pulje 4</vt:lpstr>
      <vt:lpstr>Pulje 5</vt:lpstr>
      <vt:lpstr>Pulje 6</vt:lpstr>
      <vt:lpstr>Pulje 7</vt:lpstr>
      <vt:lpstr>'Meltzer-Faber'!Utskriftsområde</vt:lpstr>
      <vt:lpstr>'Pulje 1 (1)'!Utskriftsområde</vt:lpstr>
      <vt:lpstr>'Pulje 1 (2)'!Utskriftsområde</vt:lpstr>
      <vt:lpstr>'Pulje 2'!Utskriftsområde</vt:lpstr>
      <vt:lpstr>'Pulje 3 (1)'!Utskriftsområde</vt:lpstr>
      <vt:lpstr>'Pulje 3 (2)'!Utskriftsområde</vt:lpstr>
      <vt:lpstr>'Pulje 4'!Utskriftsområde</vt:lpstr>
      <vt:lpstr>'Pulje 5'!Utskriftsområde</vt:lpstr>
      <vt:lpstr>'Pulje 6'!Utskriftsområde</vt:lpstr>
      <vt:lpstr>'Pulje 7'!Utskriftsområde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OWLCMS Tracker</dc:creator>
  <dc:description/>
  <cp:lastModifiedBy>Nilsen, Emelie</cp:lastModifiedBy>
  <cp:revision>2</cp:revision>
  <cp:lastPrinted>2023-05-26T11:37:03Z</cp:lastPrinted>
  <dcterms:created xsi:type="dcterms:W3CDTF">2001-08-31T20:44:44Z</dcterms:created>
  <dcterms:modified xsi:type="dcterms:W3CDTF">2026-09-09T16:12:44Z</dcterms:modified>
  <dc:language>nb-NO</dc:language>
</cp:coreProperties>
</file>