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srbank-my.sharepoint.com/personal/rune_rasmussen_sr-bank_no/Documents/00 - PRIVAT/"/>
    </mc:Choice>
  </mc:AlternateContent>
  <xr:revisionPtr revIDLastSave="183" documentId="8_{D6FD8BEA-ACE8-4A09-B669-BB777ACAE276}" xr6:coauthVersionLast="47" xr6:coauthVersionMax="47" xr10:uidLastSave="{183ED181-1357-42E2-9DE0-65B4066789F4}"/>
  <bookViews>
    <workbookView xWindow="-28920" yWindow="-120" windowWidth="29040" windowHeight="15840" tabRatio="291" activeTab="2" xr2:uid="{00000000-000D-0000-FFFF-FFFF00000000}"/>
  </bookViews>
  <sheets>
    <sheet name="Pulje 1" sheetId="34" r:id="rId1"/>
    <sheet name="Pulje 2" sheetId="51" r:id="rId2"/>
    <sheet name="Pulje 3" sheetId="54" r:id="rId3"/>
    <sheet name="Tabell" sheetId="52" state="hidden" r:id="rId4"/>
    <sheet name="Ranking K" sheetId="53" r:id="rId5"/>
    <sheet name="Ranking M" sheetId="55" r:id="rId6"/>
    <sheet name="Meltzer-Faber" sheetId="23" state="hidden" r:id="rId7"/>
    <sheet name="Module1" sheetId="2" state="veryHidden" r:id="rId8"/>
  </sheets>
  <definedNames>
    <definedName name="Arrangør">'Pulje 1'!$K$5</definedName>
    <definedName name="_xlnm.Print_Area" localSheetId="0">'Pulje 1'!$B$1:$AB$46</definedName>
    <definedName name="_xlnm.Print_Area" localSheetId="1">'Pulje 2'!$B$1:$AB$46</definedName>
    <definedName name="_xlnm.Print_Area" localSheetId="2">'Pulje 3'!$B$1:$AB$46</definedName>
    <definedName name="Sted">'Pulje 1'!$P$5</definedName>
    <definedName name="StevneDato">'Pulje 1'!$U$5</definedName>
  </definedNames>
  <calcPr calcId="191029"/>
  <pivotCaches>
    <pivotCache cacheId="0" r:id="rId9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51" l="1"/>
  <c r="T15" i="34"/>
  <c r="T11" i="34"/>
  <c r="X28" i="54"/>
  <c r="X22" i="54"/>
  <c r="AH3" i="52"/>
  <c r="AH5" i="52"/>
  <c r="AH7" i="52"/>
  <c r="AH9" i="52"/>
  <c r="AH11" i="52"/>
  <c r="AH13" i="52"/>
  <c r="AH15" i="52"/>
  <c r="AH17" i="52"/>
  <c r="AH19" i="52"/>
  <c r="AH21" i="52"/>
  <c r="AH22" i="52"/>
  <c r="AH23" i="52"/>
  <c r="AH24" i="52"/>
  <c r="AH25" i="52"/>
  <c r="AH27" i="52"/>
  <c r="AH29" i="52"/>
  <c r="AH31" i="52"/>
  <c r="AH33" i="52"/>
  <c r="AH35" i="52"/>
  <c r="AH37" i="52"/>
  <c r="AH39" i="52"/>
  <c r="AH41" i="52"/>
  <c r="AH43" i="52"/>
  <c r="AH45" i="52"/>
  <c r="AH47" i="52"/>
  <c r="AH49" i="52"/>
  <c r="AH51" i="52"/>
  <c r="AH53" i="52"/>
  <c r="AH55" i="52"/>
  <c r="AH57" i="52"/>
  <c r="AH59" i="52"/>
  <c r="AH61" i="52"/>
  <c r="AH63" i="52"/>
  <c r="AH65" i="52"/>
  <c r="AH67" i="52"/>
  <c r="AH69" i="52"/>
  <c r="AH71" i="52"/>
  <c r="AH73" i="52"/>
  <c r="AG2" i="52"/>
  <c r="AG3" i="52"/>
  <c r="AG4" i="52"/>
  <c r="AG5" i="52"/>
  <c r="AG6" i="52"/>
  <c r="AG7" i="52"/>
  <c r="AG8" i="52"/>
  <c r="AG9" i="52"/>
  <c r="AG10" i="52"/>
  <c r="AG11" i="52"/>
  <c r="AG12" i="52"/>
  <c r="AG13" i="52"/>
  <c r="AG14" i="52"/>
  <c r="AG15" i="52"/>
  <c r="AG16" i="52"/>
  <c r="AG17" i="52"/>
  <c r="AG19" i="52"/>
  <c r="AG20" i="52"/>
  <c r="AG21" i="52"/>
  <c r="AG22" i="52"/>
  <c r="AG23" i="52"/>
  <c r="AG24" i="52"/>
  <c r="AG25" i="52"/>
  <c r="AG26" i="52"/>
  <c r="AG27" i="52"/>
  <c r="AG28" i="52"/>
  <c r="AG29" i="52"/>
  <c r="AG30" i="52"/>
  <c r="AG31" i="52"/>
  <c r="AG32" i="52"/>
  <c r="AG33" i="52"/>
  <c r="AG34" i="52"/>
  <c r="AG35" i="52"/>
  <c r="AG36" i="52"/>
  <c r="AG37" i="52"/>
  <c r="AG38" i="52"/>
  <c r="AG39" i="52"/>
  <c r="AG40" i="52"/>
  <c r="AG41" i="52"/>
  <c r="AG42" i="52"/>
  <c r="AG43" i="52"/>
  <c r="AG44" i="52"/>
  <c r="AG45" i="52"/>
  <c r="AG46" i="52"/>
  <c r="AG47" i="52"/>
  <c r="AG48" i="52"/>
  <c r="AG49" i="52"/>
  <c r="AG50" i="52"/>
  <c r="AG51" i="52"/>
  <c r="AG52" i="52"/>
  <c r="AG53" i="52"/>
  <c r="AG55" i="52"/>
  <c r="AG56" i="52"/>
  <c r="AG57" i="52"/>
  <c r="AG58" i="52"/>
  <c r="AG59" i="52"/>
  <c r="AG60" i="52"/>
  <c r="AG61" i="52"/>
  <c r="AG62" i="52"/>
  <c r="AG63" i="52"/>
  <c r="AG64" i="52"/>
  <c r="AG65" i="52"/>
  <c r="AG66" i="52"/>
  <c r="AG67" i="52"/>
  <c r="AG68" i="52"/>
  <c r="AG69" i="52"/>
  <c r="AG70" i="52"/>
  <c r="AG71" i="52"/>
  <c r="AG72" i="52"/>
  <c r="AG73" i="52"/>
  <c r="AF2" i="52"/>
  <c r="AF3" i="52"/>
  <c r="AF4" i="52"/>
  <c r="AF5" i="52"/>
  <c r="AF6" i="52"/>
  <c r="AF7" i="52"/>
  <c r="AF8" i="52"/>
  <c r="AF9" i="52"/>
  <c r="AF10" i="52"/>
  <c r="AF11" i="52"/>
  <c r="AF12" i="52"/>
  <c r="AF13" i="52"/>
  <c r="AF14" i="52"/>
  <c r="AF15" i="52"/>
  <c r="AF16" i="52"/>
  <c r="AF17" i="52"/>
  <c r="AF19" i="52"/>
  <c r="AF20" i="52"/>
  <c r="AF21" i="52"/>
  <c r="AF22" i="52"/>
  <c r="AF23" i="52"/>
  <c r="AF24" i="52"/>
  <c r="AF25" i="52"/>
  <c r="AF26" i="52"/>
  <c r="AF27" i="52"/>
  <c r="AF28" i="52"/>
  <c r="AF29" i="52"/>
  <c r="AF30" i="52"/>
  <c r="AF31" i="52"/>
  <c r="AF32" i="52"/>
  <c r="AF33" i="52"/>
  <c r="AF34" i="52"/>
  <c r="AF35" i="52"/>
  <c r="AF36" i="52"/>
  <c r="AF37" i="52"/>
  <c r="AF38" i="52"/>
  <c r="AF39" i="52"/>
  <c r="AF40" i="52"/>
  <c r="AF41" i="52"/>
  <c r="AF42" i="52"/>
  <c r="AF43" i="52"/>
  <c r="AF44" i="52"/>
  <c r="AF45" i="52"/>
  <c r="AF46" i="52"/>
  <c r="AF47" i="52"/>
  <c r="AF48" i="52"/>
  <c r="AF49" i="52"/>
  <c r="AF50" i="52"/>
  <c r="AF51" i="52"/>
  <c r="AF52" i="52"/>
  <c r="AF53" i="52"/>
  <c r="AF55" i="52"/>
  <c r="AF56" i="52"/>
  <c r="AF57" i="52"/>
  <c r="AF58" i="52"/>
  <c r="AF59" i="52"/>
  <c r="AF60" i="52"/>
  <c r="AF61" i="52"/>
  <c r="AF62" i="52"/>
  <c r="AF63" i="52"/>
  <c r="AF64" i="52"/>
  <c r="AF65" i="52"/>
  <c r="AF66" i="52"/>
  <c r="AF67" i="52"/>
  <c r="AF68" i="52"/>
  <c r="AF69" i="52"/>
  <c r="AF70" i="52"/>
  <c r="AF71" i="52"/>
  <c r="AF72" i="52"/>
  <c r="AF73" i="52"/>
  <c r="W58" i="52" l="1"/>
  <c r="W54" i="52"/>
  <c r="Z68" i="52"/>
  <c r="Z66" i="52"/>
  <c r="Z64" i="52"/>
  <c r="Z62" i="52"/>
  <c r="Z60" i="52"/>
  <c r="Z58" i="52"/>
  <c r="Z56" i="52"/>
  <c r="Z54" i="52"/>
  <c r="Z52" i="52"/>
  <c r="Z50" i="52"/>
  <c r="Z44" i="52"/>
  <c r="Z42" i="52"/>
  <c r="Z40" i="52"/>
  <c r="Z38" i="52"/>
  <c r="Z36" i="52"/>
  <c r="Z34" i="52"/>
  <c r="Z32" i="52"/>
  <c r="Z30" i="52"/>
  <c r="Z28" i="52"/>
  <c r="Z26" i="52"/>
  <c r="AA66" i="52"/>
  <c r="AA54" i="52"/>
  <c r="P5" i="54"/>
  <c r="K5" i="54"/>
  <c r="P5" i="51"/>
  <c r="K5" i="51"/>
  <c r="AD68" i="52"/>
  <c r="AD66" i="52"/>
  <c r="AD64" i="52"/>
  <c r="AD62" i="52"/>
  <c r="AD60" i="52"/>
  <c r="AD58" i="52"/>
  <c r="AD56" i="52"/>
  <c r="AD54" i="52"/>
  <c r="AD52" i="52"/>
  <c r="AD50" i="52"/>
  <c r="AD44" i="52"/>
  <c r="AD42" i="52"/>
  <c r="AD40" i="52"/>
  <c r="AD38" i="52"/>
  <c r="AD36" i="52"/>
  <c r="AD34" i="52"/>
  <c r="AD32" i="52"/>
  <c r="AD30" i="52"/>
  <c r="AD28" i="52"/>
  <c r="AD26" i="52"/>
  <c r="AD3" i="52"/>
  <c r="B63" i="52"/>
  <c r="C63" i="52"/>
  <c r="D63" i="52"/>
  <c r="E63" i="52"/>
  <c r="F63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T63" i="52"/>
  <c r="U63" i="52"/>
  <c r="AA63" i="52"/>
  <c r="AB63" i="52"/>
  <c r="AC63" i="52"/>
  <c r="AD63" i="52"/>
  <c r="B64" i="52"/>
  <c r="C64" i="52"/>
  <c r="D64" i="52"/>
  <c r="E64" i="52"/>
  <c r="F64" i="52"/>
  <c r="G64" i="52"/>
  <c r="H64" i="52"/>
  <c r="I64" i="52"/>
  <c r="J64" i="52"/>
  <c r="K64" i="52"/>
  <c r="L64" i="52"/>
  <c r="M64" i="52"/>
  <c r="N64" i="52"/>
  <c r="O64" i="52"/>
  <c r="P64" i="52"/>
  <c r="V64" i="52"/>
  <c r="X64" i="52"/>
  <c r="B65" i="52"/>
  <c r="C65" i="52"/>
  <c r="D65" i="52"/>
  <c r="E65" i="52"/>
  <c r="F65" i="52"/>
  <c r="G65" i="52"/>
  <c r="H65" i="52"/>
  <c r="I65" i="52"/>
  <c r="J65" i="52"/>
  <c r="K65" i="52"/>
  <c r="L65" i="52"/>
  <c r="M65" i="52"/>
  <c r="N65" i="52"/>
  <c r="O65" i="52"/>
  <c r="P65" i="52"/>
  <c r="Q65" i="52"/>
  <c r="R65" i="52"/>
  <c r="T65" i="52"/>
  <c r="U65" i="52"/>
  <c r="AA65" i="52"/>
  <c r="AB65" i="52"/>
  <c r="AC65" i="52"/>
  <c r="AD65" i="52"/>
  <c r="B66" i="52"/>
  <c r="C66" i="52"/>
  <c r="D66" i="52"/>
  <c r="E66" i="52"/>
  <c r="F66" i="52"/>
  <c r="G66" i="52"/>
  <c r="H66" i="52"/>
  <c r="I66" i="52"/>
  <c r="J66" i="52"/>
  <c r="K66" i="52"/>
  <c r="L66" i="52"/>
  <c r="M66" i="52"/>
  <c r="N66" i="52"/>
  <c r="O66" i="52"/>
  <c r="P66" i="52"/>
  <c r="V66" i="52"/>
  <c r="X66" i="52"/>
  <c r="B67" i="52"/>
  <c r="C67" i="52"/>
  <c r="D67" i="52"/>
  <c r="E67" i="52"/>
  <c r="F67" i="52"/>
  <c r="G67" i="52"/>
  <c r="H67" i="52"/>
  <c r="I67" i="52"/>
  <c r="J67" i="52"/>
  <c r="K67" i="52"/>
  <c r="L67" i="52"/>
  <c r="M67" i="52"/>
  <c r="N67" i="52"/>
  <c r="O67" i="52"/>
  <c r="P67" i="52"/>
  <c r="Q67" i="52"/>
  <c r="R67" i="52"/>
  <c r="T67" i="52"/>
  <c r="U67" i="52"/>
  <c r="AA67" i="52"/>
  <c r="AB67" i="52"/>
  <c r="AC67" i="52"/>
  <c r="AD67" i="52"/>
  <c r="B68" i="52"/>
  <c r="C68" i="52"/>
  <c r="D68" i="52"/>
  <c r="E68" i="52"/>
  <c r="F68" i="52"/>
  <c r="G68" i="52"/>
  <c r="H68" i="52"/>
  <c r="I68" i="52"/>
  <c r="J68" i="52"/>
  <c r="K68" i="52"/>
  <c r="L68" i="52"/>
  <c r="M68" i="52"/>
  <c r="N68" i="52"/>
  <c r="O68" i="52"/>
  <c r="P68" i="52"/>
  <c r="V68" i="52"/>
  <c r="X68" i="52"/>
  <c r="B69" i="52"/>
  <c r="C69" i="52"/>
  <c r="D69" i="52"/>
  <c r="E69" i="52"/>
  <c r="F69" i="52"/>
  <c r="G69" i="52"/>
  <c r="H69" i="52"/>
  <c r="I69" i="52"/>
  <c r="J69" i="52"/>
  <c r="K69" i="52"/>
  <c r="L69" i="52"/>
  <c r="M69" i="52"/>
  <c r="N69" i="52"/>
  <c r="O69" i="52"/>
  <c r="P69" i="52"/>
  <c r="Q69" i="52"/>
  <c r="R69" i="52"/>
  <c r="T69" i="52"/>
  <c r="U69" i="52"/>
  <c r="AA69" i="52"/>
  <c r="AB69" i="52"/>
  <c r="AC69" i="52"/>
  <c r="AD69" i="52"/>
  <c r="B70" i="52"/>
  <c r="C70" i="52"/>
  <c r="D70" i="52"/>
  <c r="E70" i="52"/>
  <c r="F70" i="52"/>
  <c r="G70" i="52"/>
  <c r="H70" i="52"/>
  <c r="I70" i="52"/>
  <c r="J70" i="52"/>
  <c r="K70" i="52"/>
  <c r="L70" i="52"/>
  <c r="M70" i="52"/>
  <c r="N70" i="52"/>
  <c r="O70" i="52"/>
  <c r="P70" i="52"/>
  <c r="Q70" i="52"/>
  <c r="R70" i="52"/>
  <c r="S70" i="52"/>
  <c r="T70" i="52"/>
  <c r="V70" i="52"/>
  <c r="W70" i="52"/>
  <c r="X70" i="52"/>
  <c r="Y70" i="52"/>
  <c r="Z70" i="52"/>
  <c r="AA70" i="52"/>
  <c r="AB70" i="52"/>
  <c r="AD70" i="52"/>
  <c r="B71" i="52"/>
  <c r="C71" i="52"/>
  <c r="D71" i="52"/>
  <c r="E71" i="52"/>
  <c r="F71" i="52"/>
  <c r="G71" i="52"/>
  <c r="H71" i="52"/>
  <c r="I71" i="52"/>
  <c r="J71" i="52"/>
  <c r="K71" i="52"/>
  <c r="L71" i="52"/>
  <c r="M71" i="52"/>
  <c r="N71" i="52"/>
  <c r="O71" i="52"/>
  <c r="P71" i="52"/>
  <c r="Q71" i="52"/>
  <c r="R71" i="52"/>
  <c r="S71" i="52"/>
  <c r="T71" i="52"/>
  <c r="U71" i="52"/>
  <c r="V71" i="52"/>
  <c r="W71" i="52"/>
  <c r="X71" i="52"/>
  <c r="Y71" i="52"/>
  <c r="AA71" i="52"/>
  <c r="AB71" i="52"/>
  <c r="AC71" i="52"/>
  <c r="AD71" i="52"/>
  <c r="B72" i="52"/>
  <c r="C72" i="52"/>
  <c r="D72" i="52"/>
  <c r="E72" i="52"/>
  <c r="F72" i="52"/>
  <c r="G72" i="52"/>
  <c r="H72" i="52"/>
  <c r="I72" i="52"/>
  <c r="J72" i="52"/>
  <c r="K72" i="52"/>
  <c r="L72" i="52"/>
  <c r="M72" i="52"/>
  <c r="N72" i="52"/>
  <c r="O72" i="52"/>
  <c r="P72" i="52"/>
  <c r="Q72" i="52"/>
  <c r="R72" i="52"/>
  <c r="S72" i="52"/>
  <c r="T72" i="52"/>
  <c r="V72" i="52"/>
  <c r="W72" i="52"/>
  <c r="X72" i="52"/>
  <c r="Y72" i="52"/>
  <c r="Z72" i="52"/>
  <c r="AA72" i="52"/>
  <c r="AB72" i="52"/>
  <c r="AD72" i="52"/>
  <c r="B73" i="52"/>
  <c r="C73" i="52"/>
  <c r="D73" i="52"/>
  <c r="E73" i="52"/>
  <c r="F73" i="52"/>
  <c r="G73" i="52"/>
  <c r="H73" i="52"/>
  <c r="I73" i="52"/>
  <c r="J73" i="52"/>
  <c r="K73" i="52"/>
  <c r="L73" i="52"/>
  <c r="M73" i="52"/>
  <c r="N73" i="52"/>
  <c r="O73" i="52"/>
  <c r="P73" i="52"/>
  <c r="Q73" i="52"/>
  <c r="R73" i="52"/>
  <c r="S73" i="52"/>
  <c r="T73" i="52"/>
  <c r="U73" i="52"/>
  <c r="V73" i="52"/>
  <c r="W73" i="52"/>
  <c r="X73" i="52"/>
  <c r="Y73" i="52"/>
  <c r="AA73" i="52"/>
  <c r="AB73" i="52"/>
  <c r="AC73" i="52"/>
  <c r="AD73" i="52"/>
  <c r="B51" i="52"/>
  <c r="C51" i="52"/>
  <c r="D51" i="52"/>
  <c r="E51" i="52"/>
  <c r="F51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T51" i="52"/>
  <c r="U51" i="52"/>
  <c r="AA51" i="52"/>
  <c r="AB51" i="52"/>
  <c r="AC51" i="52"/>
  <c r="AD51" i="52"/>
  <c r="B52" i="52"/>
  <c r="C52" i="52"/>
  <c r="D52" i="52"/>
  <c r="E52" i="52"/>
  <c r="F52" i="52"/>
  <c r="G52" i="52"/>
  <c r="H52" i="52"/>
  <c r="I52" i="52"/>
  <c r="J52" i="52"/>
  <c r="K52" i="52"/>
  <c r="L52" i="52"/>
  <c r="M52" i="52"/>
  <c r="N52" i="52"/>
  <c r="O52" i="52"/>
  <c r="P52" i="52"/>
  <c r="V52" i="52"/>
  <c r="X52" i="52"/>
  <c r="B53" i="52"/>
  <c r="C53" i="52"/>
  <c r="D53" i="52"/>
  <c r="E53" i="52"/>
  <c r="F53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T53" i="52"/>
  <c r="U53" i="52"/>
  <c r="AA53" i="52"/>
  <c r="AB53" i="52"/>
  <c r="AC53" i="52"/>
  <c r="AD53" i="52"/>
  <c r="B54" i="52"/>
  <c r="C54" i="52"/>
  <c r="D54" i="52"/>
  <c r="E54" i="52"/>
  <c r="AF54" i="52" s="1"/>
  <c r="F54" i="52"/>
  <c r="AG54" i="52" s="1"/>
  <c r="G54" i="52"/>
  <c r="H54" i="52"/>
  <c r="I54" i="52"/>
  <c r="J54" i="52"/>
  <c r="K54" i="52"/>
  <c r="L54" i="52"/>
  <c r="M54" i="52"/>
  <c r="N54" i="52"/>
  <c r="O54" i="52"/>
  <c r="P54" i="52"/>
  <c r="V54" i="52"/>
  <c r="X54" i="52"/>
  <c r="B55" i="52"/>
  <c r="C55" i="52"/>
  <c r="D55" i="52"/>
  <c r="E55" i="52"/>
  <c r="F55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T55" i="52"/>
  <c r="U55" i="52"/>
  <c r="AA55" i="52"/>
  <c r="AB55" i="52"/>
  <c r="AC55" i="52"/>
  <c r="AD55" i="52"/>
  <c r="B56" i="52"/>
  <c r="C56" i="52"/>
  <c r="D56" i="52"/>
  <c r="E56" i="52"/>
  <c r="F56" i="52"/>
  <c r="G56" i="52"/>
  <c r="H56" i="52"/>
  <c r="I56" i="52"/>
  <c r="J56" i="52"/>
  <c r="K56" i="52"/>
  <c r="L56" i="52"/>
  <c r="M56" i="52"/>
  <c r="N56" i="52"/>
  <c r="O56" i="52"/>
  <c r="P56" i="52"/>
  <c r="V56" i="52"/>
  <c r="X56" i="52"/>
  <c r="B57" i="52"/>
  <c r="C57" i="52"/>
  <c r="D57" i="52"/>
  <c r="E57" i="52"/>
  <c r="F57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T57" i="52"/>
  <c r="U57" i="52"/>
  <c r="AA57" i="52"/>
  <c r="AB57" i="52"/>
  <c r="AC57" i="52"/>
  <c r="AD57" i="52"/>
  <c r="B58" i="52"/>
  <c r="C58" i="52"/>
  <c r="D58" i="52"/>
  <c r="E58" i="52"/>
  <c r="F58" i="52"/>
  <c r="G58" i="52"/>
  <c r="H58" i="52"/>
  <c r="I58" i="52"/>
  <c r="J58" i="52"/>
  <c r="K58" i="52"/>
  <c r="L58" i="52"/>
  <c r="M58" i="52"/>
  <c r="N58" i="52"/>
  <c r="O58" i="52"/>
  <c r="P58" i="52"/>
  <c r="V58" i="52"/>
  <c r="X58" i="52"/>
  <c r="B59" i="52"/>
  <c r="C59" i="52"/>
  <c r="D59" i="52"/>
  <c r="E59" i="52"/>
  <c r="F59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T59" i="52"/>
  <c r="U59" i="52"/>
  <c r="AA59" i="52"/>
  <c r="AB59" i="52"/>
  <c r="AC59" i="52"/>
  <c r="AD59" i="52"/>
  <c r="B60" i="52"/>
  <c r="C60" i="52"/>
  <c r="D60" i="52"/>
  <c r="E60" i="52"/>
  <c r="F60" i="52"/>
  <c r="G60" i="52"/>
  <c r="H60" i="52"/>
  <c r="I60" i="52"/>
  <c r="J60" i="52"/>
  <c r="K60" i="52"/>
  <c r="L60" i="52"/>
  <c r="M60" i="52"/>
  <c r="N60" i="52"/>
  <c r="O60" i="52"/>
  <c r="P60" i="52"/>
  <c r="V60" i="52"/>
  <c r="X60" i="52"/>
  <c r="B61" i="52"/>
  <c r="C61" i="52"/>
  <c r="D61" i="52"/>
  <c r="E61" i="52"/>
  <c r="F61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T61" i="52"/>
  <c r="U61" i="52"/>
  <c r="AA61" i="52"/>
  <c r="AB61" i="52"/>
  <c r="AC61" i="52"/>
  <c r="AD61" i="52"/>
  <c r="B62" i="52"/>
  <c r="C62" i="52"/>
  <c r="D62" i="52"/>
  <c r="E62" i="52"/>
  <c r="F62" i="52"/>
  <c r="G62" i="52"/>
  <c r="H62" i="52"/>
  <c r="I62" i="52"/>
  <c r="J62" i="52"/>
  <c r="K62" i="52"/>
  <c r="L62" i="52"/>
  <c r="M62" i="52"/>
  <c r="N62" i="52"/>
  <c r="O62" i="52"/>
  <c r="P62" i="52"/>
  <c r="V62" i="52"/>
  <c r="X62" i="52"/>
  <c r="C50" i="52"/>
  <c r="D50" i="52"/>
  <c r="E50" i="52"/>
  <c r="F50" i="52"/>
  <c r="G50" i="52"/>
  <c r="H50" i="52"/>
  <c r="I50" i="52"/>
  <c r="J50" i="52"/>
  <c r="K50" i="52"/>
  <c r="L50" i="52"/>
  <c r="M50" i="52"/>
  <c r="N50" i="52"/>
  <c r="O50" i="52"/>
  <c r="P50" i="52"/>
  <c r="V50" i="52"/>
  <c r="X50" i="52"/>
  <c r="B50" i="52"/>
  <c r="B27" i="52"/>
  <c r="C27" i="52"/>
  <c r="D27" i="52"/>
  <c r="E27" i="52"/>
  <c r="F27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T27" i="52"/>
  <c r="U27" i="52"/>
  <c r="AA27" i="52"/>
  <c r="AB27" i="52"/>
  <c r="AC27" i="52"/>
  <c r="AD27" i="52"/>
  <c r="B28" i="52"/>
  <c r="C28" i="52"/>
  <c r="D28" i="52"/>
  <c r="E28" i="52"/>
  <c r="F28" i="52"/>
  <c r="G28" i="52"/>
  <c r="H28" i="52"/>
  <c r="I28" i="52"/>
  <c r="J28" i="52"/>
  <c r="K28" i="52"/>
  <c r="L28" i="52"/>
  <c r="M28" i="52"/>
  <c r="N28" i="52"/>
  <c r="O28" i="52"/>
  <c r="P28" i="52"/>
  <c r="V28" i="52"/>
  <c r="X28" i="52"/>
  <c r="B29" i="52"/>
  <c r="C29" i="52"/>
  <c r="D29" i="52"/>
  <c r="E29" i="52"/>
  <c r="F29" i="52"/>
  <c r="G29" i="52"/>
  <c r="H29" i="52"/>
  <c r="I29" i="52"/>
  <c r="J29" i="52"/>
  <c r="K29" i="52"/>
  <c r="L29" i="52"/>
  <c r="M29" i="52"/>
  <c r="N29" i="52"/>
  <c r="O29" i="52"/>
  <c r="P29" i="52"/>
  <c r="Q29" i="52"/>
  <c r="R29" i="52"/>
  <c r="T29" i="52"/>
  <c r="U29" i="52"/>
  <c r="AA29" i="52"/>
  <c r="AB29" i="52"/>
  <c r="AC29" i="52"/>
  <c r="AD29" i="52"/>
  <c r="B30" i="52"/>
  <c r="C30" i="52"/>
  <c r="D30" i="52"/>
  <c r="E30" i="52"/>
  <c r="F30" i="52"/>
  <c r="G30" i="52"/>
  <c r="H30" i="52"/>
  <c r="I30" i="52"/>
  <c r="J30" i="52"/>
  <c r="K30" i="52"/>
  <c r="L30" i="52"/>
  <c r="M30" i="52"/>
  <c r="N30" i="52"/>
  <c r="O30" i="52"/>
  <c r="P30" i="52"/>
  <c r="V30" i="52"/>
  <c r="X30" i="52"/>
  <c r="B31" i="52"/>
  <c r="C31" i="52"/>
  <c r="D31" i="52"/>
  <c r="E31" i="52"/>
  <c r="F31" i="52"/>
  <c r="G31" i="52"/>
  <c r="H31" i="52"/>
  <c r="I31" i="52"/>
  <c r="J31" i="52"/>
  <c r="K31" i="52"/>
  <c r="L31" i="52"/>
  <c r="M31" i="52"/>
  <c r="N31" i="52"/>
  <c r="O31" i="52"/>
  <c r="P31" i="52"/>
  <c r="Q31" i="52"/>
  <c r="R31" i="52"/>
  <c r="T31" i="52"/>
  <c r="U31" i="52"/>
  <c r="AA31" i="52"/>
  <c r="AB31" i="52"/>
  <c r="AC31" i="52"/>
  <c r="AD31" i="52"/>
  <c r="B32" i="52"/>
  <c r="C32" i="52"/>
  <c r="D32" i="52"/>
  <c r="E32" i="52"/>
  <c r="F32" i="52"/>
  <c r="G32" i="52"/>
  <c r="H32" i="52"/>
  <c r="I32" i="52"/>
  <c r="J32" i="52"/>
  <c r="K32" i="52"/>
  <c r="L32" i="52"/>
  <c r="M32" i="52"/>
  <c r="N32" i="52"/>
  <c r="O32" i="52"/>
  <c r="P32" i="52"/>
  <c r="V32" i="52"/>
  <c r="X32" i="52"/>
  <c r="B33" i="52"/>
  <c r="C33" i="52"/>
  <c r="D33" i="52"/>
  <c r="E33" i="52"/>
  <c r="F33" i="52"/>
  <c r="G33" i="52"/>
  <c r="H33" i="52"/>
  <c r="I33" i="52"/>
  <c r="J33" i="52"/>
  <c r="K33" i="52"/>
  <c r="L33" i="52"/>
  <c r="M33" i="52"/>
  <c r="N33" i="52"/>
  <c r="O33" i="52"/>
  <c r="P33" i="52"/>
  <c r="Q33" i="52"/>
  <c r="R33" i="52"/>
  <c r="T33" i="52"/>
  <c r="U33" i="52"/>
  <c r="AA33" i="52"/>
  <c r="AB33" i="52"/>
  <c r="AC33" i="52"/>
  <c r="AD33" i="52"/>
  <c r="B34" i="52"/>
  <c r="C34" i="52"/>
  <c r="D34" i="52"/>
  <c r="E34" i="52"/>
  <c r="F34" i="52"/>
  <c r="G34" i="52"/>
  <c r="H34" i="52"/>
  <c r="I34" i="52"/>
  <c r="J34" i="52"/>
  <c r="K34" i="52"/>
  <c r="L34" i="52"/>
  <c r="M34" i="52"/>
  <c r="N34" i="52"/>
  <c r="O34" i="52"/>
  <c r="P34" i="52"/>
  <c r="V34" i="52"/>
  <c r="X34" i="52"/>
  <c r="B35" i="52"/>
  <c r="C35" i="52"/>
  <c r="D35" i="52"/>
  <c r="E35" i="52"/>
  <c r="F35" i="52"/>
  <c r="G35" i="52"/>
  <c r="H35" i="52"/>
  <c r="I35" i="52"/>
  <c r="J35" i="52"/>
  <c r="K35" i="52"/>
  <c r="L35" i="52"/>
  <c r="M35" i="52"/>
  <c r="N35" i="52"/>
  <c r="O35" i="52"/>
  <c r="P35" i="52"/>
  <c r="Q35" i="52"/>
  <c r="R35" i="52"/>
  <c r="T35" i="52"/>
  <c r="U35" i="52"/>
  <c r="AA35" i="52"/>
  <c r="AB35" i="52"/>
  <c r="AC35" i="52"/>
  <c r="AD35" i="52"/>
  <c r="B36" i="52"/>
  <c r="C36" i="52"/>
  <c r="D36" i="52"/>
  <c r="E36" i="52"/>
  <c r="F36" i="52"/>
  <c r="G36" i="52"/>
  <c r="H36" i="52"/>
  <c r="I36" i="52"/>
  <c r="J36" i="52"/>
  <c r="K36" i="52"/>
  <c r="L36" i="52"/>
  <c r="M36" i="52"/>
  <c r="N36" i="52"/>
  <c r="O36" i="52"/>
  <c r="P36" i="52"/>
  <c r="V36" i="52"/>
  <c r="X36" i="52"/>
  <c r="B37" i="52"/>
  <c r="C37" i="52"/>
  <c r="D37" i="52"/>
  <c r="E37" i="52"/>
  <c r="F37" i="52"/>
  <c r="G37" i="52"/>
  <c r="H37" i="52"/>
  <c r="I37" i="52"/>
  <c r="J37" i="52"/>
  <c r="K37" i="52"/>
  <c r="L37" i="52"/>
  <c r="M37" i="52"/>
  <c r="N37" i="52"/>
  <c r="O37" i="52"/>
  <c r="P37" i="52"/>
  <c r="Q37" i="52"/>
  <c r="R37" i="52"/>
  <c r="T37" i="52"/>
  <c r="U37" i="52"/>
  <c r="AA37" i="52"/>
  <c r="AB37" i="52"/>
  <c r="AC37" i="52"/>
  <c r="AD37" i="52"/>
  <c r="B38" i="52"/>
  <c r="C38" i="52"/>
  <c r="D38" i="52"/>
  <c r="E38" i="52"/>
  <c r="F38" i="52"/>
  <c r="G38" i="52"/>
  <c r="H38" i="52"/>
  <c r="I38" i="52"/>
  <c r="J38" i="52"/>
  <c r="K38" i="52"/>
  <c r="L38" i="52"/>
  <c r="M38" i="52"/>
  <c r="N38" i="52"/>
  <c r="O38" i="52"/>
  <c r="P38" i="52"/>
  <c r="V38" i="52"/>
  <c r="X38" i="52"/>
  <c r="B39" i="52"/>
  <c r="C39" i="52"/>
  <c r="D39" i="52"/>
  <c r="E39" i="52"/>
  <c r="F39" i="52"/>
  <c r="G39" i="52"/>
  <c r="H39" i="52"/>
  <c r="I39" i="52"/>
  <c r="J39" i="52"/>
  <c r="K39" i="52"/>
  <c r="L39" i="52"/>
  <c r="M39" i="52"/>
  <c r="N39" i="52"/>
  <c r="O39" i="52"/>
  <c r="P39" i="52"/>
  <c r="Q39" i="52"/>
  <c r="R39" i="52"/>
  <c r="T39" i="52"/>
  <c r="U39" i="52"/>
  <c r="AA39" i="52"/>
  <c r="AB39" i="52"/>
  <c r="AC39" i="52"/>
  <c r="AD39" i="52"/>
  <c r="B40" i="52"/>
  <c r="C40" i="52"/>
  <c r="D40" i="52"/>
  <c r="E40" i="52"/>
  <c r="F40" i="52"/>
  <c r="G40" i="52"/>
  <c r="H40" i="52"/>
  <c r="I40" i="52"/>
  <c r="J40" i="52"/>
  <c r="K40" i="52"/>
  <c r="L40" i="52"/>
  <c r="M40" i="52"/>
  <c r="N40" i="52"/>
  <c r="O40" i="52"/>
  <c r="P40" i="52"/>
  <c r="V40" i="52"/>
  <c r="X40" i="52"/>
  <c r="B41" i="52"/>
  <c r="C41" i="52"/>
  <c r="D41" i="52"/>
  <c r="E41" i="52"/>
  <c r="F41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T41" i="52"/>
  <c r="U41" i="52"/>
  <c r="AA41" i="52"/>
  <c r="AB41" i="52"/>
  <c r="AC41" i="52"/>
  <c r="AD41" i="52"/>
  <c r="B42" i="52"/>
  <c r="C42" i="52"/>
  <c r="D42" i="52"/>
  <c r="E42" i="52"/>
  <c r="F42" i="52"/>
  <c r="G42" i="52"/>
  <c r="H42" i="52"/>
  <c r="I42" i="52"/>
  <c r="J42" i="52"/>
  <c r="K42" i="52"/>
  <c r="L42" i="52"/>
  <c r="M42" i="52"/>
  <c r="N42" i="52"/>
  <c r="O42" i="52"/>
  <c r="P42" i="52"/>
  <c r="V42" i="52"/>
  <c r="X42" i="52"/>
  <c r="B43" i="52"/>
  <c r="C43" i="52"/>
  <c r="D43" i="52"/>
  <c r="E43" i="52"/>
  <c r="F43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T43" i="52"/>
  <c r="U43" i="52"/>
  <c r="AA43" i="52"/>
  <c r="AB43" i="52"/>
  <c r="AC43" i="52"/>
  <c r="AD43" i="52"/>
  <c r="B44" i="52"/>
  <c r="C44" i="52"/>
  <c r="D44" i="52"/>
  <c r="E44" i="52"/>
  <c r="F44" i="52"/>
  <c r="G44" i="52"/>
  <c r="H44" i="52"/>
  <c r="I44" i="52"/>
  <c r="J44" i="52"/>
  <c r="K44" i="52"/>
  <c r="L44" i="52"/>
  <c r="M44" i="52"/>
  <c r="N44" i="52"/>
  <c r="O44" i="52"/>
  <c r="P44" i="52"/>
  <c r="V44" i="52"/>
  <c r="X44" i="52"/>
  <c r="B45" i="52"/>
  <c r="C45" i="52"/>
  <c r="D45" i="52"/>
  <c r="E45" i="52"/>
  <c r="F45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S45" i="52"/>
  <c r="T45" i="52"/>
  <c r="U45" i="52"/>
  <c r="AA45" i="52"/>
  <c r="AB45" i="52"/>
  <c r="AC45" i="52"/>
  <c r="AD45" i="52"/>
  <c r="B46" i="52"/>
  <c r="C46" i="52"/>
  <c r="D46" i="52"/>
  <c r="E46" i="52"/>
  <c r="F46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V46" i="52"/>
  <c r="W46" i="52"/>
  <c r="X46" i="52"/>
  <c r="Y46" i="52"/>
  <c r="Z46" i="52"/>
  <c r="AA46" i="52"/>
  <c r="AB46" i="52"/>
  <c r="B47" i="52"/>
  <c r="C47" i="52"/>
  <c r="D47" i="52"/>
  <c r="E47" i="52"/>
  <c r="F47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S47" i="52"/>
  <c r="T47" i="52"/>
  <c r="U47" i="52"/>
  <c r="V47" i="52"/>
  <c r="X47" i="52"/>
  <c r="AA47" i="52"/>
  <c r="AB47" i="52"/>
  <c r="AC47" i="52"/>
  <c r="AD47" i="52"/>
  <c r="B48" i="52"/>
  <c r="C48" i="52"/>
  <c r="D48" i="52"/>
  <c r="E48" i="52"/>
  <c r="F48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S48" i="52"/>
  <c r="T48" i="52"/>
  <c r="V48" i="52"/>
  <c r="W48" i="52"/>
  <c r="X48" i="52"/>
  <c r="Y48" i="52"/>
  <c r="Z48" i="52"/>
  <c r="AA48" i="52"/>
  <c r="AB48" i="52"/>
  <c r="AD48" i="52"/>
  <c r="B49" i="52"/>
  <c r="C49" i="52"/>
  <c r="D49" i="52"/>
  <c r="E49" i="52"/>
  <c r="F49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S49" i="52"/>
  <c r="T49" i="52"/>
  <c r="U49" i="52"/>
  <c r="V49" i="52"/>
  <c r="W49" i="52"/>
  <c r="X49" i="52"/>
  <c r="Y49" i="52"/>
  <c r="AA49" i="52"/>
  <c r="AB49" i="52"/>
  <c r="AC49" i="52"/>
  <c r="AD49" i="52"/>
  <c r="C26" i="52"/>
  <c r="D26" i="52"/>
  <c r="E26" i="52"/>
  <c r="F26" i="52"/>
  <c r="G26" i="52"/>
  <c r="H26" i="52"/>
  <c r="I26" i="52"/>
  <c r="J26" i="52"/>
  <c r="K26" i="52"/>
  <c r="L26" i="52"/>
  <c r="M26" i="52"/>
  <c r="N26" i="52"/>
  <c r="O26" i="52"/>
  <c r="P26" i="52"/>
  <c r="V26" i="52"/>
  <c r="X26" i="52"/>
  <c r="B26" i="52"/>
  <c r="AF33" i="54"/>
  <c r="AE33" i="54"/>
  <c r="X32" i="54"/>
  <c r="W32" i="54"/>
  <c r="V32" i="54"/>
  <c r="Y32" i="54" s="1"/>
  <c r="S32" i="54"/>
  <c r="AJ31" i="54"/>
  <c r="AI31" i="54"/>
  <c r="AD31" i="54"/>
  <c r="T31" i="54"/>
  <c r="S31" i="54"/>
  <c r="R31" i="54"/>
  <c r="Q31" i="54"/>
  <c r="X30" i="54"/>
  <c r="W30" i="54"/>
  <c r="V30" i="54"/>
  <c r="Y30" i="54" s="1"/>
  <c r="AJ29" i="54"/>
  <c r="AD29" i="54"/>
  <c r="AI29" i="54" s="1"/>
  <c r="R29" i="54"/>
  <c r="Q29" i="54"/>
  <c r="S29" i="54" s="1"/>
  <c r="T29" i="54" s="1"/>
  <c r="S30" i="54" s="1"/>
  <c r="X69" i="52"/>
  <c r="V28" i="54"/>
  <c r="V69" i="52" s="1"/>
  <c r="AJ27" i="54"/>
  <c r="W28" i="54" s="1"/>
  <c r="Y68" i="52" s="1"/>
  <c r="AD27" i="54"/>
  <c r="R27" i="54"/>
  <c r="R68" i="52" s="1"/>
  <c r="Q27" i="54"/>
  <c r="X26" i="54"/>
  <c r="X67" i="52" s="1"/>
  <c r="V26" i="54"/>
  <c r="V67" i="52" s="1"/>
  <c r="AJ25" i="54"/>
  <c r="W26" i="54" s="1"/>
  <c r="AD25" i="54"/>
  <c r="R25" i="54"/>
  <c r="R66" i="52" s="1"/>
  <c r="Q25" i="54"/>
  <c r="X24" i="54"/>
  <c r="X65" i="52" s="1"/>
  <c r="V24" i="54"/>
  <c r="V65" i="52" s="1"/>
  <c r="AJ23" i="54"/>
  <c r="W24" i="54" s="1"/>
  <c r="AD23" i="54"/>
  <c r="R23" i="54"/>
  <c r="R64" i="52" s="1"/>
  <c r="Q23" i="54"/>
  <c r="Q64" i="52" s="1"/>
  <c r="X63" i="52"/>
  <c r="W22" i="54"/>
  <c r="V22" i="54"/>
  <c r="V63" i="52" s="1"/>
  <c r="AJ21" i="54"/>
  <c r="AD21" i="54"/>
  <c r="R21" i="54"/>
  <c r="R62" i="52" s="1"/>
  <c r="Q21" i="54"/>
  <c r="X20" i="54"/>
  <c r="X61" i="52" s="1"/>
  <c r="W20" i="54"/>
  <c r="Y60" i="52" s="1"/>
  <c r="V20" i="54"/>
  <c r="V61" i="52" s="1"/>
  <c r="AJ19" i="54"/>
  <c r="AD19" i="54"/>
  <c r="R19" i="54"/>
  <c r="R60" i="52" s="1"/>
  <c r="Q19" i="54"/>
  <c r="X18" i="54"/>
  <c r="X59" i="52" s="1"/>
  <c r="V18" i="54"/>
  <c r="V59" i="52" s="1"/>
  <c r="AJ17" i="54"/>
  <c r="W18" i="54" s="1"/>
  <c r="AD17" i="54"/>
  <c r="R17" i="54"/>
  <c r="R58" i="52" s="1"/>
  <c r="Q17" i="54"/>
  <c r="Q58" i="52" s="1"/>
  <c r="X16" i="54"/>
  <c r="X57" i="52" s="1"/>
  <c r="W16" i="54"/>
  <c r="Y56" i="52" s="1"/>
  <c r="V16" i="54"/>
  <c r="V57" i="52" s="1"/>
  <c r="AJ15" i="54"/>
  <c r="AD15" i="54"/>
  <c r="R15" i="54"/>
  <c r="R56" i="52" s="1"/>
  <c r="Q15" i="54"/>
  <c r="Q56" i="52" s="1"/>
  <c r="X14" i="54"/>
  <c r="X55" i="52" s="1"/>
  <c r="W14" i="54"/>
  <c r="W55" i="52" s="1"/>
  <c r="V14" i="54"/>
  <c r="V55" i="52" s="1"/>
  <c r="AJ13" i="54"/>
  <c r="AD13" i="54"/>
  <c r="R13" i="54"/>
  <c r="R54" i="52" s="1"/>
  <c r="Q13" i="54"/>
  <c r="X12" i="54"/>
  <c r="X53" i="52" s="1"/>
  <c r="W12" i="54"/>
  <c r="W53" i="52" s="1"/>
  <c r="V12" i="54"/>
  <c r="V53" i="52" s="1"/>
  <c r="AJ11" i="54"/>
  <c r="AD11" i="54"/>
  <c r="R11" i="54"/>
  <c r="R52" i="52" s="1"/>
  <c r="Q11" i="54"/>
  <c r="X10" i="54"/>
  <c r="X51" i="52" s="1"/>
  <c r="W10" i="54"/>
  <c r="W51" i="52" s="1"/>
  <c r="V10" i="54"/>
  <c r="V51" i="52" s="1"/>
  <c r="AJ9" i="54"/>
  <c r="AD9" i="54"/>
  <c r="R9" i="54"/>
  <c r="R50" i="52" s="1"/>
  <c r="Q9" i="54"/>
  <c r="U5" i="54"/>
  <c r="AC25" i="54" s="1"/>
  <c r="AE25" i="54" s="1"/>
  <c r="Z30" i="34"/>
  <c r="U11" i="34"/>
  <c r="U13" i="34"/>
  <c r="U15" i="34"/>
  <c r="U17" i="34"/>
  <c r="U31" i="34"/>
  <c r="U29" i="34"/>
  <c r="U5" i="51"/>
  <c r="AC13" i="54" l="1"/>
  <c r="AE13" i="54" s="1"/>
  <c r="AF13" i="54" s="1"/>
  <c r="U13" i="54" s="1"/>
  <c r="U54" i="52" s="1"/>
  <c r="AC15" i="54"/>
  <c r="AE15" i="54" s="1"/>
  <c r="W60" i="52"/>
  <c r="AA56" i="52"/>
  <c r="S19" i="54"/>
  <c r="T19" i="54" s="1"/>
  <c r="S20" i="54" s="1"/>
  <c r="S61" i="52" s="1"/>
  <c r="S27" i="54"/>
  <c r="T27" i="54" s="1"/>
  <c r="S28" i="54" s="1"/>
  <c r="S69" i="52" s="1"/>
  <c r="AA50" i="52"/>
  <c r="AA52" i="52"/>
  <c r="AA68" i="52"/>
  <c r="W56" i="52"/>
  <c r="Y22" i="54"/>
  <c r="Y63" i="52" s="1"/>
  <c r="AA58" i="52"/>
  <c r="W62" i="52"/>
  <c r="AA60" i="52"/>
  <c r="W64" i="52"/>
  <c r="AA62" i="52"/>
  <c r="W50" i="52"/>
  <c r="W66" i="52"/>
  <c r="AA64" i="52"/>
  <c r="W52" i="52"/>
  <c r="W68" i="52"/>
  <c r="W65" i="52"/>
  <c r="Y64" i="52"/>
  <c r="W59" i="52"/>
  <c r="Y58" i="52"/>
  <c r="W67" i="52"/>
  <c r="Y66" i="52"/>
  <c r="Y62" i="52"/>
  <c r="Y50" i="52"/>
  <c r="Y52" i="52"/>
  <c r="Y54" i="52"/>
  <c r="Y28" i="54"/>
  <c r="Y24" i="54"/>
  <c r="Y20" i="54"/>
  <c r="Y16" i="54"/>
  <c r="Y12" i="54"/>
  <c r="Q68" i="52"/>
  <c r="S25" i="54"/>
  <c r="S66" i="52" s="1"/>
  <c r="Q66" i="52"/>
  <c r="S23" i="54"/>
  <c r="T23" i="54" s="1"/>
  <c r="S24" i="54" s="1"/>
  <c r="S65" i="52" s="1"/>
  <c r="S21" i="54"/>
  <c r="T21" i="54" s="1"/>
  <c r="Q62" i="52"/>
  <c r="Q60" i="52"/>
  <c r="S17" i="54"/>
  <c r="T17" i="54" s="1"/>
  <c r="S18" i="54" s="1"/>
  <c r="S59" i="52" s="1"/>
  <c r="S15" i="54"/>
  <c r="T15" i="54" s="1"/>
  <c r="S16" i="54" s="1"/>
  <c r="S57" i="52" s="1"/>
  <c r="S13" i="54"/>
  <c r="T13" i="54" s="1"/>
  <c r="S14" i="54" s="1"/>
  <c r="S55" i="52" s="1"/>
  <c r="Q54" i="52"/>
  <c r="S11" i="54"/>
  <c r="T11" i="54" s="1"/>
  <c r="S12" i="54" s="1"/>
  <c r="S53" i="52" s="1"/>
  <c r="Q52" i="52"/>
  <c r="S9" i="54"/>
  <c r="S50" i="52" s="1"/>
  <c r="Q50" i="52"/>
  <c r="W63" i="52"/>
  <c r="W61" i="52"/>
  <c r="Y14" i="54"/>
  <c r="T68" i="52"/>
  <c r="W57" i="52"/>
  <c r="W69" i="52"/>
  <c r="Y26" i="54"/>
  <c r="Y18" i="54"/>
  <c r="Y10" i="54"/>
  <c r="AF25" i="54"/>
  <c r="AF15" i="54"/>
  <c r="U15" i="54" s="1"/>
  <c r="U56" i="52" s="1"/>
  <c r="AC21" i="54"/>
  <c r="AE21" i="54" s="1"/>
  <c r="AC31" i="54"/>
  <c r="AC11" i="54"/>
  <c r="AE11" i="54" s="1"/>
  <c r="AC27" i="54"/>
  <c r="AE27" i="54" s="1"/>
  <c r="AC17" i="54"/>
  <c r="AE17" i="54" s="1"/>
  <c r="AC23" i="54"/>
  <c r="AE23" i="54" s="1"/>
  <c r="AC29" i="54"/>
  <c r="AC19" i="54"/>
  <c r="AE19" i="54" s="1"/>
  <c r="AC9" i="54"/>
  <c r="AE9" i="54" s="1"/>
  <c r="H5" i="52"/>
  <c r="H6" i="52"/>
  <c r="H7" i="52"/>
  <c r="H8" i="52"/>
  <c r="H9" i="52"/>
  <c r="H10" i="52"/>
  <c r="H11" i="52"/>
  <c r="H12" i="52"/>
  <c r="H13" i="52"/>
  <c r="H14" i="52"/>
  <c r="H15" i="52"/>
  <c r="H16" i="52"/>
  <c r="H17" i="52"/>
  <c r="H18" i="52"/>
  <c r="H19" i="52"/>
  <c r="H20" i="52"/>
  <c r="H21" i="52"/>
  <c r="H22" i="52"/>
  <c r="H23" i="52"/>
  <c r="H24" i="52"/>
  <c r="H25" i="52"/>
  <c r="S21" i="52"/>
  <c r="S23" i="52"/>
  <c r="S25" i="52"/>
  <c r="V4" i="52"/>
  <c r="V6" i="52"/>
  <c r="V8" i="52"/>
  <c r="V10" i="52"/>
  <c r="V12" i="52"/>
  <c r="V14" i="52"/>
  <c r="V16" i="52"/>
  <c r="V18" i="52"/>
  <c r="V20" i="52"/>
  <c r="V22" i="52"/>
  <c r="V23" i="52"/>
  <c r="V24" i="52"/>
  <c r="V25" i="52"/>
  <c r="W3" i="52"/>
  <c r="W5" i="52"/>
  <c r="W7" i="52"/>
  <c r="W9" i="52"/>
  <c r="W11" i="52"/>
  <c r="W13" i="52"/>
  <c r="W15" i="52"/>
  <c r="W17" i="52"/>
  <c r="W19" i="52"/>
  <c r="W21" i="52"/>
  <c r="W22" i="52"/>
  <c r="W23" i="52"/>
  <c r="W24" i="52"/>
  <c r="W25" i="52"/>
  <c r="X4" i="52"/>
  <c r="X6" i="52"/>
  <c r="X8" i="52"/>
  <c r="X10" i="52"/>
  <c r="X12" i="52"/>
  <c r="X14" i="52"/>
  <c r="X16" i="52"/>
  <c r="X18" i="52"/>
  <c r="X20" i="52"/>
  <c r="X22" i="52"/>
  <c r="X24" i="52"/>
  <c r="Y3" i="52"/>
  <c r="Y5" i="52"/>
  <c r="Y7" i="52"/>
  <c r="Y9" i="52"/>
  <c r="Y11" i="52"/>
  <c r="Y13" i="52"/>
  <c r="Y15" i="52"/>
  <c r="Y17" i="52"/>
  <c r="Y19" i="52"/>
  <c r="Y21" i="52"/>
  <c r="Y23" i="52"/>
  <c r="Y25" i="52"/>
  <c r="Z4" i="52"/>
  <c r="Z6" i="52"/>
  <c r="Z8" i="52"/>
  <c r="Z10" i="52"/>
  <c r="Z12" i="52"/>
  <c r="Z14" i="52"/>
  <c r="Z16" i="52"/>
  <c r="Z18" i="52"/>
  <c r="Z20" i="52"/>
  <c r="Z22" i="52"/>
  <c r="Z23" i="52"/>
  <c r="Z24" i="52"/>
  <c r="Z25" i="52"/>
  <c r="AA3" i="52"/>
  <c r="AA5" i="52"/>
  <c r="AA7" i="52"/>
  <c r="AA9" i="52"/>
  <c r="AA11" i="52"/>
  <c r="AA13" i="52"/>
  <c r="AA15" i="52"/>
  <c r="AA17" i="52"/>
  <c r="AA19" i="52"/>
  <c r="AA21" i="52"/>
  <c r="AA22" i="52"/>
  <c r="AA23" i="52"/>
  <c r="AA24" i="52"/>
  <c r="AA25" i="52"/>
  <c r="AB3" i="52"/>
  <c r="AB5" i="52"/>
  <c r="AB7" i="52"/>
  <c r="AB9" i="52"/>
  <c r="AB11" i="52"/>
  <c r="AB13" i="52"/>
  <c r="AB15" i="52"/>
  <c r="AB17" i="52"/>
  <c r="AB19" i="52"/>
  <c r="AB21" i="52"/>
  <c r="AB23" i="52"/>
  <c r="AB25" i="52"/>
  <c r="AC3" i="52"/>
  <c r="AC5" i="52"/>
  <c r="AC7" i="52"/>
  <c r="AC9" i="52"/>
  <c r="AC11" i="52"/>
  <c r="AC13" i="52"/>
  <c r="AC15" i="52"/>
  <c r="AC17" i="52"/>
  <c r="AC19" i="52"/>
  <c r="AC21" i="52"/>
  <c r="AC23" i="52"/>
  <c r="AC25" i="52"/>
  <c r="B3" i="52"/>
  <c r="C3" i="52"/>
  <c r="D3" i="52"/>
  <c r="E3" i="52"/>
  <c r="F3" i="52"/>
  <c r="G3" i="52"/>
  <c r="H3" i="52"/>
  <c r="I3" i="52"/>
  <c r="J3" i="52"/>
  <c r="K3" i="52"/>
  <c r="L3" i="52"/>
  <c r="M3" i="52"/>
  <c r="N3" i="52"/>
  <c r="O3" i="52"/>
  <c r="P3" i="52"/>
  <c r="Q3" i="52"/>
  <c r="R3" i="52"/>
  <c r="T3" i="52"/>
  <c r="U3" i="52"/>
  <c r="B4" i="52"/>
  <c r="C4" i="52"/>
  <c r="D4" i="52"/>
  <c r="E4" i="52"/>
  <c r="F4" i="52"/>
  <c r="G4" i="52"/>
  <c r="AD4" i="52" s="1"/>
  <c r="H4" i="52"/>
  <c r="I4" i="52"/>
  <c r="J4" i="52"/>
  <c r="K4" i="52"/>
  <c r="L4" i="52"/>
  <c r="M4" i="52"/>
  <c r="N4" i="52"/>
  <c r="O4" i="52"/>
  <c r="P4" i="52"/>
  <c r="B5" i="52"/>
  <c r="C5" i="52"/>
  <c r="D5" i="52"/>
  <c r="E5" i="52"/>
  <c r="F5" i="52"/>
  <c r="G5" i="52"/>
  <c r="AD5" i="52" s="1"/>
  <c r="I5" i="52"/>
  <c r="J5" i="52"/>
  <c r="K5" i="52"/>
  <c r="L5" i="52"/>
  <c r="M5" i="52"/>
  <c r="N5" i="52"/>
  <c r="O5" i="52"/>
  <c r="P5" i="52"/>
  <c r="Q5" i="52"/>
  <c r="R5" i="52"/>
  <c r="T5" i="52"/>
  <c r="U5" i="52"/>
  <c r="B6" i="52"/>
  <c r="C6" i="52"/>
  <c r="D6" i="52"/>
  <c r="E6" i="52"/>
  <c r="F6" i="52"/>
  <c r="G6" i="52"/>
  <c r="AD6" i="52" s="1"/>
  <c r="I6" i="52"/>
  <c r="J6" i="52"/>
  <c r="K6" i="52"/>
  <c r="L6" i="52"/>
  <c r="M6" i="52"/>
  <c r="N6" i="52"/>
  <c r="O6" i="52"/>
  <c r="P6" i="52"/>
  <c r="B7" i="52"/>
  <c r="C7" i="52"/>
  <c r="D7" i="52"/>
  <c r="E7" i="52"/>
  <c r="F7" i="52"/>
  <c r="G7" i="52"/>
  <c r="AD7" i="52" s="1"/>
  <c r="I7" i="52"/>
  <c r="J7" i="52"/>
  <c r="K7" i="52"/>
  <c r="L7" i="52"/>
  <c r="M7" i="52"/>
  <c r="N7" i="52"/>
  <c r="O7" i="52"/>
  <c r="P7" i="52"/>
  <c r="Q7" i="52"/>
  <c r="R7" i="52"/>
  <c r="T7" i="52"/>
  <c r="U7" i="52"/>
  <c r="B8" i="52"/>
  <c r="C8" i="52"/>
  <c r="D8" i="52"/>
  <c r="E8" i="52"/>
  <c r="F8" i="52"/>
  <c r="G8" i="52"/>
  <c r="AD8" i="52" s="1"/>
  <c r="I8" i="52"/>
  <c r="J8" i="52"/>
  <c r="K8" i="52"/>
  <c r="L8" i="52"/>
  <c r="M8" i="52"/>
  <c r="N8" i="52"/>
  <c r="O8" i="52"/>
  <c r="P8" i="52"/>
  <c r="B9" i="52"/>
  <c r="C9" i="52"/>
  <c r="D9" i="52"/>
  <c r="E9" i="52"/>
  <c r="F9" i="52"/>
  <c r="G9" i="52"/>
  <c r="AD9" i="52" s="1"/>
  <c r="I9" i="52"/>
  <c r="J9" i="52"/>
  <c r="K9" i="52"/>
  <c r="L9" i="52"/>
  <c r="M9" i="52"/>
  <c r="N9" i="52"/>
  <c r="O9" i="52"/>
  <c r="P9" i="52"/>
  <c r="Q9" i="52"/>
  <c r="R9" i="52"/>
  <c r="T9" i="52"/>
  <c r="U9" i="52"/>
  <c r="B10" i="52"/>
  <c r="C10" i="52"/>
  <c r="D10" i="52"/>
  <c r="E10" i="52"/>
  <c r="F10" i="52"/>
  <c r="G10" i="52"/>
  <c r="AD10" i="52" s="1"/>
  <c r="I10" i="52"/>
  <c r="J10" i="52"/>
  <c r="K10" i="52"/>
  <c r="L10" i="52"/>
  <c r="M10" i="52"/>
  <c r="N10" i="52"/>
  <c r="O10" i="52"/>
  <c r="P10" i="52"/>
  <c r="B11" i="52"/>
  <c r="C11" i="52"/>
  <c r="D11" i="52"/>
  <c r="E11" i="52"/>
  <c r="F11" i="52"/>
  <c r="G11" i="52"/>
  <c r="AD11" i="52" s="1"/>
  <c r="I11" i="52"/>
  <c r="J11" i="52"/>
  <c r="K11" i="52"/>
  <c r="L11" i="52"/>
  <c r="M11" i="52"/>
  <c r="N11" i="52"/>
  <c r="O11" i="52"/>
  <c r="P11" i="52"/>
  <c r="Q11" i="52"/>
  <c r="R11" i="52"/>
  <c r="T11" i="52"/>
  <c r="U11" i="52"/>
  <c r="B12" i="52"/>
  <c r="C12" i="52"/>
  <c r="D12" i="52"/>
  <c r="E12" i="52"/>
  <c r="F12" i="52"/>
  <c r="G12" i="52"/>
  <c r="AD12" i="52" s="1"/>
  <c r="I12" i="52"/>
  <c r="J12" i="52"/>
  <c r="K12" i="52"/>
  <c r="L12" i="52"/>
  <c r="M12" i="52"/>
  <c r="N12" i="52"/>
  <c r="O12" i="52"/>
  <c r="P12" i="52"/>
  <c r="B13" i="52"/>
  <c r="C13" i="52"/>
  <c r="D13" i="52"/>
  <c r="E13" i="52"/>
  <c r="F13" i="52"/>
  <c r="G13" i="52"/>
  <c r="AD13" i="52" s="1"/>
  <c r="I13" i="52"/>
  <c r="J13" i="52"/>
  <c r="K13" i="52"/>
  <c r="L13" i="52"/>
  <c r="M13" i="52"/>
  <c r="N13" i="52"/>
  <c r="O13" i="52"/>
  <c r="P13" i="52"/>
  <c r="Q13" i="52"/>
  <c r="R13" i="52"/>
  <c r="T13" i="52"/>
  <c r="U13" i="52"/>
  <c r="B14" i="52"/>
  <c r="C14" i="52"/>
  <c r="D14" i="52"/>
  <c r="E14" i="52"/>
  <c r="F14" i="52"/>
  <c r="G14" i="52"/>
  <c r="AD14" i="52" s="1"/>
  <c r="I14" i="52"/>
  <c r="J14" i="52"/>
  <c r="K14" i="52"/>
  <c r="L14" i="52"/>
  <c r="M14" i="52"/>
  <c r="N14" i="52"/>
  <c r="O14" i="52"/>
  <c r="P14" i="52"/>
  <c r="B15" i="52"/>
  <c r="C15" i="52"/>
  <c r="D15" i="52"/>
  <c r="E15" i="52"/>
  <c r="F15" i="52"/>
  <c r="G15" i="52"/>
  <c r="AD15" i="52" s="1"/>
  <c r="I15" i="52"/>
  <c r="J15" i="52"/>
  <c r="K15" i="52"/>
  <c r="L15" i="52"/>
  <c r="M15" i="52"/>
  <c r="N15" i="52"/>
  <c r="O15" i="52"/>
  <c r="P15" i="52"/>
  <c r="Q15" i="52"/>
  <c r="R15" i="52"/>
  <c r="T15" i="52"/>
  <c r="U15" i="52"/>
  <c r="B16" i="52"/>
  <c r="C16" i="52"/>
  <c r="D16" i="52"/>
  <c r="E16" i="52"/>
  <c r="F16" i="52"/>
  <c r="G16" i="52"/>
  <c r="AD16" i="52" s="1"/>
  <c r="I16" i="52"/>
  <c r="J16" i="52"/>
  <c r="K16" i="52"/>
  <c r="L16" i="52"/>
  <c r="M16" i="52"/>
  <c r="N16" i="52"/>
  <c r="O16" i="52"/>
  <c r="P16" i="52"/>
  <c r="B17" i="52"/>
  <c r="C17" i="52"/>
  <c r="D17" i="52"/>
  <c r="E17" i="52"/>
  <c r="F17" i="52"/>
  <c r="G17" i="52"/>
  <c r="AD17" i="52" s="1"/>
  <c r="I17" i="52"/>
  <c r="J17" i="52"/>
  <c r="K17" i="52"/>
  <c r="L17" i="52"/>
  <c r="M17" i="52"/>
  <c r="N17" i="52"/>
  <c r="O17" i="52"/>
  <c r="P17" i="52"/>
  <c r="Q17" i="52"/>
  <c r="R17" i="52"/>
  <c r="T17" i="52"/>
  <c r="U17" i="52"/>
  <c r="B18" i="52"/>
  <c r="C18" i="52"/>
  <c r="D18" i="52"/>
  <c r="E18" i="52"/>
  <c r="AF18" i="52" s="1"/>
  <c r="F18" i="52"/>
  <c r="AG18" i="52" s="1"/>
  <c r="G18" i="52"/>
  <c r="AD18" i="52" s="1"/>
  <c r="I18" i="52"/>
  <c r="J18" i="52"/>
  <c r="K18" i="52"/>
  <c r="L18" i="52"/>
  <c r="M18" i="52"/>
  <c r="N18" i="52"/>
  <c r="O18" i="52"/>
  <c r="P18" i="52"/>
  <c r="B19" i="52"/>
  <c r="C19" i="52"/>
  <c r="D19" i="52"/>
  <c r="E19" i="52"/>
  <c r="F19" i="52"/>
  <c r="G19" i="52"/>
  <c r="AD19" i="52" s="1"/>
  <c r="I19" i="52"/>
  <c r="J19" i="52"/>
  <c r="K19" i="52"/>
  <c r="L19" i="52"/>
  <c r="M19" i="52"/>
  <c r="N19" i="52"/>
  <c r="O19" i="52"/>
  <c r="P19" i="52"/>
  <c r="Q19" i="52"/>
  <c r="R19" i="52"/>
  <c r="T19" i="52"/>
  <c r="U19" i="52"/>
  <c r="B20" i="52"/>
  <c r="C20" i="52"/>
  <c r="D20" i="52"/>
  <c r="E20" i="52"/>
  <c r="F20" i="52"/>
  <c r="G20" i="52"/>
  <c r="AD20" i="52" s="1"/>
  <c r="I20" i="52"/>
  <c r="J20" i="52"/>
  <c r="K20" i="52"/>
  <c r="L20" i="52"/>
  <c r="M20" i="52"/>
  <c r="N20" i="52"/>
  <c r="O20" i="52"/>
  <c r="P20" i="52"/>
  <c r="B21" i="52"/>
  <c r="C21" i="52"/>
  <c r="D21" i="52"/>
  <c r="E21" i="52"/>
  <c r="F21" i="52"/>
  <c r="G21" i="52"/>
  <c r="AD21" i="52" s="1"/>
  <c r="I21" i="52"/>
  <c r="J21" i="52"/>
  <c r="K21" i="52"/>
  <c r="L21" i="52"/>
  <c r="M21" i="52"/>
  <c r="N21" i="52"/>
  <c r="O21" i="52"/>
  <c r="P21" i="52"/>
  <c r="Q21" i="52"/>
  <c r="R21" i="52"/>
  <c r="T21" i="52"/>
  <c r="U21" i="52"/>
  <c r="B22" i="52"/>
  <c r="C22" i="52"/>
  <c r="D22" i="52"/>
  <c r="E22" i="52"/>
  <c r="F22" i="52"/>
  <c r="G22" i="52"/>
  <c r="AD22" i="52" s="1"/>
  <c r="I22" i="52"/>
  <c r="J22" i="52"/>
  <c r="K22" i="52"/>
  <c r="L22" i="52"/>
  <c r="M22" i="52"/>
  <c r="N22" i="52"/>
  <c r="O22" i="52"/>
  <c r="P22" i="52"/>
  <c r="Q22" i="52"/>
  <c r="R22" i="52"/>
  <c r="B23" i="52"/>
  <c r="C23" i="52"/>
  <c r="D23" i="52"/>
  <c r="E23" i="52"/>
  <c r="F23" i="52"/>
  <c r="G23" i="52"/>
  <c r="AD23" i="52" s="1"/>
  <c r="I23" i="52"/>
  <c r="J23" i="52"/>
  <c r="K23" i="52"/>
  <c r="L23" i="52"/>
  <c r="M23" i="52"/>
  <c r="N23" i="52"/>
  <c r="O23" i="52"/>
  <c r="P23" i="52"/>
  <c r="Q23" i="52"/>
  <c r="R23" i="52"/>
  <c r="T23" i="52"/>
  <c r="U23" i="52"/>
  <c r="B24" i="52"/>
  <c r="C24" i="52"/>
  <c r="D24" i="52"/>
  <c r="E24" i="52"/>
  <c r="F24" i="52"/>
  <c r="G24" i="52"/>
  <c r="AD24" i="52" s="1"/>
  <c r="I24" i="52"/>
  <c r="J24" i="52"/>
  <c r="K24" i="52"/>
  <c r="L24" i="52"/>
  <c r="M24" i="52"/>
  <c r="N24" i="52"/>
  <c r="O24" i="52"/>
  <c r="P24" i="52"/>
  <c r="Q24" i="52"/>
  <c r="R24" i="52"/>
  <c r="B25" i="52"/>
  <c r="C25" i="52"/>
  <c r="D25" i="52"/>
  <c r="E25" i="52"/>
  <c r="F25" i="52"/>
  <c r="G25" i="52"/>
  <c r="AD25" i="52" s="1"/>
  <c r="I25" i="52"/>
  <c r="J25" i="52"/>
  <c r="K25" i="52"/>
  <c r="L25" i="52"/>
  <c r="M25" i="52"/>
  <c r="N25" i="52"/>
  <c r="O25" i="52"/>
  <c r="P25" i="52"/>
  <c r="Q25" i="52"/>
  <c r="R25" i="52"/>
  <c r="T25" i="52"/>
  <c r="U25" i="52"/>
  <c r="Z2" i="52"/>
  <c r="X2" i="52"/>
  <c r="C2" i="52"/>
  <c r="D2" i="52"/>
  <c r="E2" i="52"/>
  <c r="F2" i="52"/>
  <c r="G2" i="52"/>
  <c r="AD2" i="52" s="1"/>
  <c r="H2" i="52"/>
  <c r="I2" i="52"/>
  <c r="J2" i="52"/>
  <c r="K2" i="52"/>
  <c r="L2" i="52"/>
  <c r="M2" i="52"/>
  <c r="N2" i="52"/>
  <c r="O2" i="52"/>
  <c r="P2" i="52"/>
  <c r="V2" i="52"/>
  <c r="B2" i="52"/>
  <c r="AF33" i="51"/>
  <c r="AE33" i="51"/>
  <c r="X32" i="51"/>
  <c r="W32" i="51"/>
  <c r="Y32" i="51" s="1"/>
  <c r="V32" i="51"/>
  <c r="AJ31" i="51"/>
  <c r="AD31" i="51"/>
  <c r="AI31" i="51" s="1"/>
  <c r="AC31" i="51"/>
  <c r="R31" i="51"/>
  <c r="Q31" i="51"/>
  <c r="S31" i="51" s="1"/>
  <c r="T31" i="51" s="1"/>
  <c r="S32" i="51" s="1"/>
  <c r="X30" i="51"/>
  <c r="W30" i="51"/>
  <c r="W47" i="52" s="1"/>
  <c r="V30" i="51"/>
  <c r="AJ29" i="51"/>
  <c r="AD29" i="51"/>
  <c r="AC29" i="51"/>
  <c r="R29" i="51"/>
  <c r="Q29" i="51"/>
  <c r="S29" i="51" s="1"/>
  <c r="T29" i="51" s="1"/>
  <c r="X28" i="51"/>
  <c r="V28" i="51"/>
  <c r="AJ27" i="51"/>
  <c r="W28" i="51" s="1"/>
  <c r="AD27" i="51"/>
  <c r="AC27" i="51"/>
  <c r="AE27" i="51" s="1"/>
  <c r="R27" i="51"/>
  <c r="R44" i="52" s="1"/>
  <c r="Q27" i="51"/>
  <c r="Q44" i="52" s="1"/>
  <c r="X26" i="51"/>
  <c r="V26" i="51"/>
  <c r="AJ25" i="51"/>
  <c r="W26" i="51" s="1"/>
  <c r="AD25" i="51"/>
  <c r="AC25" i="51"/>
  <c r="AE25" i="51" s="1"/>
  <c r="R25" i="51"/>
  <c r="R42" i="52" s="1"/>
  <c r="Q25" i="51"/>
  <c r="X24" i="51"/>
  <c r="W24" i="51"/>
  <c r="Y40" i="52" s="1"/>
  <c r="V24" i="51"/>
  <c r="AJ23" i="51"/>
  <c r="AD23" i="51"/>
  <c r="AC23" i="51"/>
  <c r="AE23" i="51" s="1"/>
  <c r="AF23" i="51" s="1"/>
  <c r="R23" i="51"/>
  <c r="R40" i="52" s="1"/>
  <c r="Q23" i="51"/>
  <c r="X22" i="51"/>
  <c r="W22" i="51"/>
  <c r="V22" i="51"/>
  <c r="AJ21" i="51"/>
  <c r="AD21" i="51"/>
  <c r="AC21" i="51"/>
  <c r="AE21" i="51" s="1"/>
  <c r="AF21" i="51" s="1"/>
  <c r="R21" i="51"/>
  <c r="R38" i="52" s="1"/>
  <c r="Q21" i="51"/>
  <c r="X20" i="51"/>
  <c r="W20" i="51"/>
  <c r="V20" i="51"/>
  <c r="W36" i="52" s="1"/>
  <c r="AJ19" i="51"/>
  <c r="AD19" i="51"/>
  <c r="AC19" i="51"/>
  <c r="AE19" i="51" s="1"/>
  <c r="R19" i="51"/>
  <c r="R36" i="52" s="1"/>
  <c r="Q19" i="51"/>
  <c r="Q36" i="52" s="1"/>
  <c r="X18" i="51"/>
  <c r="W18" i="51"/>
  <c r="V18" i="51"/>
  <c r="AJ17" i="51"/>
  <c r="AD17" i="51"/>
  <c r="AC17" i="51"/>
  <c r="AE17" i="51" s="1"/>
  <c r="R17" i="51"/>
  <c r="R34" i="52" s="1"/>
  <c r="Q17" i="51"/>
  <c r="X16" i="51"/>
  <c r="W16" i="51"/>
  <c r="Y32" i="52" s="1"/>
  <c r="V16" i="51"/>
  <c r="AJ15" i="51"/>
  <c r="AD15" i="51"/>
  <c r="AC15" i="51"/>
  <c r="AE15" i="51" s="1"/>
  <c r="AF15" i="51" s="1"/>
  <c r="R15" i="51"/>
  <c r="R32" i="52" s="1"/>
  <c r="Q15" i="51"/>
  <c r="X14" i="51"/>
  <c r="V14" i="51"/>
  <c r="AJ13" i="51"/>
  <c r="W14" i="51" s="1"/>
  <c r="AD13" i="51"/>
  <c r="AC13" i="51"/>
  <c r="AE13" i="51" s="1"/>
  <c r="AF13" i="51" s="1"/>
  <c r="R13" i="51"/>
  <c r="R30" i="52" s="1"/>
  <c r="Q13" i="51"/>
  <c r="X12" i="51"/>
  <c r="W12" i="51"/>
  <c r="V12" i="51"/>
  <c r="W28" i="52" s="1"/>
  <c r="AJ11" i="51"/>
  <c r="AD11" i="51"/>
  <c r="AC11" i="51"/>
  <c r="AE11" i="51" s="1"/>
  <c r="R11" i="51"/>
  <c r="R28" i="52" s="1"/>
  <c r="Q11" i="51"/>
  <c r="X10" i="51"/>
  <c r="AA26" i="52" s="1"/>
  <c r="W10" i="51"/>
  <c r="V10" i="51"/>
  <c r="AJ9" i="51"/>
  <c r="AD9" i="51"/>
  <c r="AC9" i="51"/>
  <c r="AE9" i="51" s="1"/>
  <c r="R9" i="51"/>
  <c r="R26" i="52" s="1"/>
  <c r="Q9" i="51"/>
  <c r="AB62" i="52" l="1"/>
  <c r="T60" i="52"/>
  <c r="S60" i="52"/>
  <c r="S68" i="52"/>
  <c r="Z14" i="54"/>
  <c r="AC54" i="52" s="1"/>
  <c r="AH54" i="52" s="1"/>
  <c r="AE31" i="51"/>
  <c r="AF31" i="51" s="1"/>
  <c r="AH31" i="51" s="1"/>
  <c r="AC48" i="52"/>
  <c r="AH48" i="52" s="1"/>
  <c r="AE31" i="54"/>
  <c r="Z32" i="54" s="1"/>
  <c r="Z73" i="52" s="1"/>
  <c r="AC72" i="52"/>
  <c r="AH72" i="52" s="1"/>
  <c r="AE29" i="54"/>
  <c r="Z30" i="54" s="1"/>
  <c r="Z71" i="52" s="1"/>
  <c r="AC70" i="52"/>
  <c r="AH70" i="52" s="1"/>
  <c r="AE29" i="51"/>
  <c r="AF29" i="51" s="1"/>
  <c r="AH29" i="51" s="1"/>
  <c r="AC46" i="52"/>
  <c r="AH46" i="52" s="1"/>
  <c r="Y53" i="52"/>
  <c r="AB52" i="52"/>
  <c r="Y57" i="52"/>
  <c r="AB56" i="52"/>
  <c r="Y51" i="52"/>
  <c r="AB50" i="52"/>
  <c r="Y59" i="52"/>
  <c r="AB58" i="52"/>
  <c r="Y55" i="52"/>
  <c r="AB54" i="52"/>
  <c r="Y69" i="52"/>
  <c r="AB68" i="52"/>
  <c r="Y61" i="52"/>
  <c r="AB60" i="52"/>
  <c r="Y65" i="52"/>
  <c r="AB64" i="52"/>
  <c r="T54" i="52"/>
  <c r="Y67" i="52"/>
  <c r="AB66" i="52"/>
  <c r="V35" i="52"/>
  <c r="W34" i="52"/>
  <c r="X31" i="52"/>
  <c r="AA30" i="52"/>
  <c r="X41" i="52"/>
  <c r="AA40" i="52"/>
  <c r="V27" i="52"/>
  <c r="W26" i="52"/>
  <c r="V41" i="52"/>
  <c r="W40" i="52"/>
  <c r="X37" i="52"/>
  <c r="AA36" i="52"/>
  <c r="V39" i="52"/>
  <c r="W38" i="52"/>
  <c r="X29" i="52"/>
  <c r="AA28" i="52"/>
  <c r="X39" i="52"/>
  <c r="AA38" i="52"/>
  <c r="V31" i="52"/>
  <c r="W30" i="52"/>
  <c r="V43" i="52"/>
  <c r="W42" i="52"/>
  <c r="X35" i="52"/>
  <c r="AA34" i="52"/>
  <c r="X33" i="52"/>
  <c r="AA32" i="52"/>
  <c r="V33" i="52"/>
  <c r="W32" i="52"/>
  <c r="X45" i="52"/>
  <c r="AA44" i="52"/>
  <c r="X43" i="52"/>
  <c r="AA42" i="52"/>
  <c r="V45" i="52"/>
  <c r="W44" i="52"/>
  <c r="W45" i="52"/>
  <c r="Y44" i="52"/>
  <c r="W43" i="52"/>
  <c r="Y42" i="52"/>
  <c r="W27" i="52"/>
  <c r="Y26" i="52"/>
  <c r="W29" i="52"/>
  <c r="Y28" i="52"/>
  <c r="W39" i="52"/>
  <c r="Y38" i="52"/>
  <c r="W37" i="52"/>
  <c r="Y36" i="52"/>
  <c r="W35" i="52"/>
  <c r="Y34" i="52"/>
  <c r="W31" i="52"/>
  <c r="Y30" i="52"/>
  <c r="T25" i="54"/>
  <c r="S26" i="54" s="1"/>
  <c r="S67" i="52" s="1"/>
  <c r="T64" i="52"/>
  <c r="S64" i="52"/>
  <c r="S22" i="54"/>
  <c r="S63" i="52" s="1"/>
  <c r="T62" i="52"/>
  <c r="S62" i="52"/>
  <c r="T58" i="52"/>
  <c r="S58" i="52"/>
  <c r="Z16" i="54"/>
  <c r="Z57" i="52" s="1"/>
  <c r="T56" i="52"/>
  <c r="S56" i="52"/>
  <c r="S54" i="52"/>
  <c r="Z12" i="54"/>
  <c r="Z53" i="52" s="1"/>
  <c r="S52" i="52"/>
  <c r="T52" i="52"/>
  <c r="T9" i="54"/>
  <c r="S10" i="54" s="1"/>
  <c r="S51" i="52" s="1"/>
  <c r="Y20" i="51"/>
  <c r="V37" i="52"/>
  <c r="Y12" i="51"/>
  <c r="V29" i="52"/>
  <c r="X27" i="52"/>
  <c r="Y24" i="51"/>
  <c r="W41" i="52"/>
  <c r="Y16" i="51"/>
  <c r="W33" i="52"/>
  <c r="S19" i="51"/>
  <c r="S36" i="52" s="1"/>
  <c r="S25" i="51"/>
  <c r="S42" i="52" s="1"/>
  <c r="Q42" i="52"/>
  <c r="S11" i="51"/>
  <c r="S28" i="52" s="1"/>
  <c r="Q28" i="52"/>
  <c r="S17" i="51"/>
  <c r="S34" i="52" s="1"/>
  <c r="Q34" i="52"/>
  <c r="S13" i="51"/>
  <c r="S30" i="52" s="1"/>
  <c r="Q30" i="52"/>
  <c r="S21" i="51"/>
  <c r="S38" i="52" s="1"/>
  <c r="Q38" i="52"/>
  <c r="S27" i="51"/>
  <c r="S44" i="52" s="1"/>
  <c r="S9" i="51"/>
  <c r="Q26" i="52"/>
  <c r="S15" i="51"/>
  <c r="S32" i="52" s="1"/>
  <c r="Q32" i="52"/>
  <c r="S23" i="51"/>
  <c r="S40" i="52" s="1"/>
  <c r="Q40" i="52"/>
  <c r="AI29" i="51"/>
  <c r="AD46" i="52"/>
  <c r="S30" i="51"/>
  <c r="S46" i="52" s="1"/>
  <c r="T46" i="52"/>
  <c r="Y28" i="51"/>
  <c r="AF11" i="54"/>
  <c r="U11" i="54" s="1"/>
  <c r="U52" i="52" s="1"/>
  <c r="AH13" i="54"/>
  <c r="AI13" i="54" s="1"/>
  <c r="AG13" i="54"/>
  <c r="AF9" i="54"/>
  <c r="U9" i="54" s="1"/>
  <c r="U50" i="52" s="1"/>
  <c r="AF21" i="54"/>
  <c r="AH15" i="54"/>
  <c r="AI15" i="54" s="1"/>
  <c r="AG15" i="54"/>
  <c r="AF29" i="54"/>
  <c r="U29" i="54" s="1"/>
  <c r="U70" i="52" s="1"/>
  <c r="AF19" i="54"/>
  <c r="AF23" i="54"/>
  <c r="AH25" i="54"/>
  <c r="AI25" i="54" s="1"/>
  <c r="AG25" i="54"/>
  <c r="AF17" i="54"/>
  <c r="AF27" i="54"/>
  <c r="AG29" i="51"/>
  <c r="Z30" i="51"/>
  <c r="Z47" i="52" s="1"/>
  <c r="AG21" i="51"/>
  <c r="AH21" i="51"/>
  <c r="AI21" i="51" s="1"/>
  <c r="U21" i="51"/>
  <c r="U38" i="52" s="1"/>
  <c r="AG13" i="51"/>
  <c r="AI13" i="51" s="1"/>
  <c r="AH13" i="51"/>
  <c r="U13" i="51"/>
  <c r="U30" i="52" s="1"/>
  <c r="U29" i="51"/>
  <c r="U46" i="52" s="1"/>
  <c r="Y10" i="51"/>
  <c r="Y18" i="51"/>
  <c r="Y26" i="51"/>
  <c r="Y14" i="51"/>
  <c r="Y22" i="51"/>
  <c r="Y30" i="51"/>
  <c r="Y47" i="52" s="1"/>
  <c r="U15" i="51"/>
  <c r="U32" i="52" s="1"/>
  <c r="AH15" i="51"/>
  <c r="AG15" i="51"/>
  <c r="AI15" i="51" s="1"/>
  <c r="AF17" i="51"/>
  <c r="U23" i="51"/>
  <c r="U40" i="52" s="1"/>
  <c r="AH23" i="51"/>
  <c r="AI23" i="51" s="1"/>
  <c r="AG23" i="51"/>
  <c r="AF25" i="51"/>
  <c r="AF11" i="51"/>
  <c r="U11" i="51" s="1"/>
  <c r="AF19" i="51"/>
  <c r="AF27" i="51"/>
  <c r="AF9" i="51"/>
  <c r="U9" i="51" s="1"/>
  <c r="AF31" i="54" l="1"/>
  <c r="U31" i="54" s="1"/>
  <c r="U72" i="52" s="1"/>
  <c r="Z32" i="51"/>
  <c r="Z49" i="52" s="1"/>
  <c r="Z55" i="52"/>
  <c r="AG31" i="51"/>
  <c r="U31" i="51"/>
  <c r="U48" i="52" s="1"/>
  <c r="T9" i="51"/>
  <c r="S10" i="51" s="1"/>
  <c r="Z10" i="51" s="1"/>
  <c r="AC26" i="52" s="1"/>
  <c r="AH26" i="52" s="1"/>
  <c r="S26" i="52"/>
  <c r="Y31" i="52"/>
  <c r="AB30" i="52"/>
  <c r="Y35" i="52"/>
  <c r="AB34" i="52"/>
  <c r="Y27" i="52"/>
  <c r="AB26" i="52"/>
  <c r="Y29" i="52"/>
  <c r="AB28" i="52"/>
  <c r="Y43" i="52"/>
  <c r="AB42" i="52"/>
  <c r="Y45" i="52"/>
  <c r="AB44" i="52"/>
  <c r="Y33" i="52"/>
  <c r="AB32" i="52"/>
  <c r="Y37" i="52"/>
  <c r="AB36" i="52"/>
  <c r="Y39" i="52"/>
  <c r="AB38" i="52"/>
  <c r="Y41" i="52"/>
  <c r="AB40" i="52"/>
  <c r="Z26" i="54"/>
  <c r="Z67" i="52" s="1"/>
  <c r="T66" i="52"/>
  <c r="AC56" i="52"/>
  <c r="AH56" i="52" s="1"/>
  <c r="AC52" i="52"/>
  <c r="AH52" i="52" s="1"/>
  <c r="T50" i="52"/>
  <c r="Z10" i="54"/>
  <c r="S29" i="52"/>
  <c r="T15" i="51"/>
  <c r="S31" i="52"/>
  <c r="T11" i="51"/>
  <c r="S27" i="52"/>
  <c r="T17" i="51"/>
  <c r="S33" i="52"/>
  <c r="T27" i="51"/>
  <c r="S43" i="52"/>
  <c r="T21" i="51"/>
  <c r="S37" i="52"/>
  <c r="T25" i="51"/>
  <c r="S41" i="52"/>
  <c r="T23" i="51"/>
  <c r="S39" i="52"/>
  <c r="T19" i="51"/>
  <c r="S35" i="52"/>
  <c r="U25" i="54"/>
  <c r="U66" i="52" s="1"/>
  <c r="AG17" i="54"/>
  <c r="AH17" i="54"/>
  <c r="AI17" i="54" s="1"/>
  <c r="Z18" i="54" s="1"/>
  <c r="AH29" i="54"/>
  <c r="AG29" i="54"/>
  <c r="AG31" i="54"/>
  <c r="AH9" i="54"/>
  <c r="AI9" i="54" s="1"/>
  <c r="AG9" i="54"/>
  <c r="AH27" i="54"/>
  <c r="AI27" i="54" s="1"/>
  <c r="Z28" i="54" s="1"/>
  <c r="AG27" i="54"/>
  <c r="AG23" i="54"/>
  <c r="AH23" i="54"/>
  <c r="AI23" i="54" s="1"/>
  <c r="Z24" i="54" s="1"/>
  <c r="AH21" i="54"/>
  <c r="AI21" i="54" s="1"/>
  <c r="Z22" i="54" s="1"/>
  <c r="AG21" i="54"/>
  <c r="AH19" i="54"/>
  <c r="AI19" i="54" s="1"/>
  <c r="Z20" i="54" s="1"/>
  <c r="AG19" i="54"/>
  <c r="AH11" i="54"/>
  <c r="AI11" i="54" s="1"/>
  <c r="AG11" i="54"/>
  <c r="AH25" i="51"/>
  <c r="AG25" i="51"/>
  <c r="AI25" i="51" s="1"/>
  <c r="AH27" i="51"/>
  <c r="AG27" i="51"/>
  <c r="AI27" i="51" s="1"/>
  <c r="AG9" i="51"/>
  <c r="U26" i="52"/>
  <c r="AH9" i="51"/>
  <c r="AI9" i="51" s="1"/>
  <c r="U25" i="51"/>
  <c r="U42" i="52" s="1"/>
  <c r="AG17" i="51"/>
  <c r="AI17" i="51" s="1"/>
  <c r="U17" i="51"/>
  <c r="U34" i="52" s="1"/>
  <c r="AH17" i="51"/>
  <c r="AH19" i="51"/>
  <c r="AG19" i="51"/>
  <c r="AI19" i="51" s="1"/>
  <c r="U19" i="51"/>
  <c r="U36" i="52" s="1"/>
  <c r="U27" i="51"/>
  <c r="U44" i="52" s="1"/>
  <c r="AH11" i="51"/>
  <c r="AI11" i="51" s="1"/>
  <c r="U28" i="52"/>
  <c r="AG11" i="51"/>
  <c r="AH31" i="54" l="1"/>
  <c r="T26" i="52"/>
  <c r="AC66" i="52"/>
  <c r="AH66" i="52" s="1"/>
  <c r="AC50" i="52"/>
  <c r="AH50" i="52" s="1"/>
  <c r="Z51" i="52"/>
  <c r="Z69" i="52"/>
  <c r="AC68" i="52"/>
  <c r="AH68" i="52" s="1"/>
  <c r="Z65" i="52"/>
  <c r="AC64" i="52"/>
  <c r="AH64" i="52" s="1"/>
  <c r="Z63" i="52"/>
  <c r="AC62" i="52"/>
  <c r="AH62" i="52" s="1"/>
  <c r="Z61" i="52"/>
  <c r="AC60" i="52"/>
  <c r="AH60" i="52" s="1"/>
  <c r="Z59" i="52"/>
  <c r="AC58" i="52"/>
  <c r="AH58" i="52" s="1"/>
  <c r="S26" i="51"/>
  <c r="T42" i="52"/>
  <c r="S18" i="51"/>
  <c r="T34" i="52"/>
  <c r="S12" i="51"/>
  <c r="T28" i="52"/>
  <c r="S20" i="51"/>
  <c r="T36" i="52"/>
  <c r="S28" i="51"/>
  <c r="T44" i="52"/>
  <c r="S16" i="51"/>
  <c r="T32" i="52"/>
  <c r="S22" i="51"/>
  <c r="T38" i="52"/>
  <c r="S24" i="51"/>
  <c r="T40" i="52"/>
  <c r="Z27" i="52"/>
  <c r="S14" i="51"/>
  <c r="T30" i="52"/>
  <c r="U21" i="54"/>
  <c r="U62" i="52" s="1"/>
  <c r="U17" i="54"/>
  <c r="U58" i="52" s="1"/>
  <c r="U27" i="54"/>
  <c r="U68" i="52" s="1"/>
  <c r="U19" i="54"/>
  <c r="U60" i="52" s="1"/>
  <c r="U23" i="54"/>
  <c r="U64" i="52" s="1"/>
  <c r="AJ31" i="34"/>
  <c r="W32" i="34" s="1"/>
  <c r="AJ29" i="34"/>
  <c r="W30" i="34" s="1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W12" i="34" s="1"/>
  <c r="AJ9" i="34"/>
  <c r="W10" i="34" s="1"/>
  <c r="Z20" i="51" l="1"/>
  <c r="Z22" i="51"/>
  <c r="Z12" i="51"/>
  <c r="Z24" i="51"/>
  <c r="Z14" i="51"/>
  <c r="Z16" i="51"/>
  <c r="Z18" i="51"/>
  <c r="Z28" i="51"/>
  <c r="Z26" i="51"/>
  <c r="Y24" i="52"/>
  <c r="X25" i="52"/>
  <c r="Y22" i="52"/>
  <c r="X23" i="52"/>
  <c r="X17" i="52"/>
  <c r="Y16" i="52"/>
  <c r="Y2" i="52"/>
  <c r="X3" i="52"/>
  <c r="Y10" i="52"/>
  <c r="X11" i="52"/>
  <c r="Y18" i="52"/>
  <c r="X19" i="52"/>
  <c r="X5" i="52"/>
  <c r="Y4" i="52"/>
  <c r="Y20" i="52"/>
  <c r="X21" i="52"/>
  <c r="X13" i="52"/>
  <c r="Y12" i="52"/>
  <c r="Y6" i="52"/>
  <c r="X7" i="52"/>
  <c r="Y14" i="52"/>
  <c r="X15" i="52"/>
  <c r="X9" i="52"/>
  <c r="Y8" i="52"/>
  <c r="AC9" i="34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20" i="34"/>
  <c r="V18" i="34"/>
  <c r="V16" i="34"/>
  <c r="V14" i="34"/>
  <c r="V12" i="34"/>
  <c r="V10" i="34"/>
  <c r="V3" i="52" s="1"/>
  <c r="Z31" i="52" l="1"/>
  <c r="AC30" i="52"/>
  <c r="AH30" i="52" s="1"/>
  <c r="Z29" i="52"/>
  <c r="AC28" i="52"/>
  <c r="AH28" i="52" s="1"/>
  <c r="Z33" i="52"/>
  <c r="AC32" i="52"/>
  <c r="AH32" i="52" s="1"/>
  <c r="Z39" i="52"/>
  <c r="AC38" i="52"/>
  <c r="AH38" i="52" s="1"/>
  <c r="Z35" i="52"/>
  <c r="AC34" i="52"/>
  <c r="AH34" i="52" s="1"/>
  <c r="Z41" i="52"/>
  <c r="AC40" i="52"/>
  <c r="AH40" i="52" s="1"/>
  <c r="Z43" i="52"/>
  <c r="AC42" i="52"/>
  <c r="AH42" i="52" s="1"/>
  <c r="Z37" i="52"/>
  <c r="AC36" i="52"/>
  <c r="AH36" i="52" s="1"/>
  <c r="Z45" i="52"/>
  <c r="AC44" i="52"/>
  <c r="AH44" i="52" s="1"/>
  <c r="AA14" i="52"/>
  <c r="Z15" i="52"/>
  <c r="V15" i="52"/>
  <c r="W14" i="52"/>
  <c r="AA16" i="52"/>
  <c r="Z17" i="52"/>
  <c r="W16" i="52"/>
  <c r="V17" i="52"/>
  <c r="Z19" i="52"/>
  <c r="AA18" i="52"/>
  <c r="V19" i="52"/>
  <c r="W18" i="52"/>
  <c r="Z21" i="52"/>
  <c r="AA20" i="52"/>
  <c r="W20" i="52"/>
  <c r="V21" i="52"/>
  <c r="AA12" i="52"/>
  <c r="Z13" i="52"/>
  <c r="V13" i="52"/>
  <c r="W12" i="52"/>
  <c r="AA10" i="52"/>
  <c r="Z11" i="52"/>
  <c r="V11" i="52"/>
  <c r="W10" i="52"/>
  <c r="Z9" i="52"/>
  <c r="AA8" i="52"/>
  <c r="V9" i="52"/>
  <c r="W8" i="52"/>
  <c r="AA6" i="52"/>
  <c r="Z7" i="52"/>
  <c r="W6" i="52"/>
  <c r="V7" i="52"/>
  <c r="AA4" i="52"/>
  <c r="Z5" i="52"/>
  <c r="W4" i="52"/>
  <c r="V5" i="52"/>
  <c r="AA2" i="52"/>
  <c r="Z3" i="52"/>
  <c r="W2" i="52"/>
  <c r="AH9" i="34"/>
  <c r="AG9" i="34"/>
  <c r="Y32" i="34"/>
  <c r="AB24" i="52" s="1"/>
  <c r="Y30" i="34"/>
  <c r="AB22" i="52" s="1"/>
  <c r="AF31" i="34"/>
  <c r="AF27" i="34"/>
  <c r="AF29" i="34"/>
  <c r="AF17" i="34"/>
  <c r="AG17" i="34" s="1"/>
  <c r="AF25" i="34"/>
  <c r="AF21" i="34"/>
  <c r="AH21" i="34" s="1"/>
  <c r="AF11" i="34"/>
  <c r="AG11" i="34" s="1"/>
  <c r="AF23" i="34"/>
  <c r="AH23" i="34" s="1"/>
  <c r="AF19" i="34"/>
  <c r="AH19" i="34" s="1"/>
  <c r="AF15" i="34"/>
  <c r="AG15" i="34" s="1"/>
  <c r="AF13" i="34"/>
  <c r="AH13" i="34" s="1"/>
  <c r="Y26" i="34"/>
  <c r="AB18" i="52" s="1"/>
  <c r="Y22" i="34"/>
  <c r="AB14" i="52" s="1"/>
  <c r="Y28" i="34"/>
  <c r="AB20" i="52" s="1"/>
  <c r="Y12" i="34"/>
  <c r="AB4" i="52" s="1"/>
  <c r="AG21" i="34"/>
  <c r="Y14" i="34"/>
  <c r="AB6" i="52" s="1"/>
  <c r="Y18" i="34"/>
  <c r="AB10" i="52" s="1"/>
  <c r="AI19" i="34" l="1"/>
  <c r="AI21" i="34"/>
  <c r="AH17" i="34"/>
  <c r="AI17" i="34" s="1"/>
  <c r="AH15" i="34"/>
  <c r="AI15" i="34" s="1"/>
  <c r="AH29" i="34"/>
  <c r="AG29" i="34"/>
  <c r="AG27" i="34"/>
  <c r="AI27" i="34" s="1"/>
  <c r="AH27" i="34"/>
  <c r="AI31" i="34"/>
  <c r="AG31" i="34"/>
  <c r="AH31" i="34"/>
  <c r="AG25" i="34"/>
  <c r="AI25" i="34" s="1"/>
  <c r="AH25" i="34"/>
  <c r="AI9" i="34"/>
  <c r="AG23" i="34"/>
  <c r="AI23" i="34" s="1"/>
  <c r="AG19" i="34"/>
  <c r="AG13" i="34"/>
  <c r="AI13" i="34" s="1"/>
  <c r="AH11" i="34"/>
  <c r="AI11" i="34" s="1"/>
  <c r="AI29" i="34"/>
  <c r="U10" i="52"/>
  <c r="U4" i="52"/>
  <c r="R31" i="34" l="1"/>
  <c r="Q31" i="34"/>
  <c r="R29" i="34"/>
  <c r="Q29" i="34"/>
  <c r="R27" i="34"/>
  <c r="R20" i="52" s="1"/>
  <c r="Q27" i="34"/>
  <c r="Q20" i="52" s="1"/>
  <c r="R25" i="34"/>
  <c r="R18" i="52" s="1"/>
  <c r="Q25" i="34"/>
  <c r="Q18" i="52" s="1"/>
  <c r="S27" i="34" l="1"/>
  <c r="S20" i="52" s="1"/>
  <c r="S31" i="34"/>
  <c r="T31" i="34" s="1"/>
  <c r="S29" i="34"/>
  <c r="T29" i="34" s="1"/>
  <c r="T22" i="52" s="1"/>
  <c r="S25" i="34"/>
  <c r="S18" i="52" s="1"/>
  <c r="T27" i="34" l="1"/>
  <c r="U27" i="34" s="1"/>
  <c r="U20" i="52" s="1"/>
  <c r="S19" i="52"/>
  <c r="T25" i="34"/>
  <c r="T18" i="52" s="1"/>
  <c r="S17" i="52"/>
  <c r="U24" i="52"/>
  <c r="T24" i="52"/>
  <c r="S32" i="34"/>
  <c r="S30" i="34"/>
  <c r="U22" i="52"/>
  <c r="R23" i="34"/>
  <c r="R16" i="52" s="1"/>
  <c r="R21" i="34"/>
  <c r="R14" i="52" s="1"/>
  <c r="R19" i="34"/>
  <c r="R12" i="52" s="1"/>
  <c r="R17" i="34"/>
  <c r="R10" i="52" s="1"/>
  <c r="R15" i="34"/>
  <c r="R8" i="52" s="1"/>
  <c r="R13" i="34"/>
  <c r="R6" i="52" s="1"/>
  <c r="R11" i="34"/>
  <c r="R4" i="52" s="1"/>
  <c r="Q23" i="34"/>
  <c r="Q16" i="52" s="1"/>
  <c r="Q21" i="34"/>
  <c r="Q14" i="52" s="1"/>
  <c r="Q19" i="34"/>
  <c r="Q12" i="52" s="1"/>
  <c r="Q17" i="34"/>
  <c r="Q10" i="52" s="1"/>
  <c r="Q15" i="34"/>
  <c r="Q8" i="52" s="1"/>
  <c r="Q13" i="34"/>
  <c r="Q6" i="52" s="1"/>
  <c r="Q11" i="34"/>
  <c r="Q4" i="52" s="1"/>
  <c r="S28" i="34" l="1"/>
  <c r="Z28" i="34" s="1"/>
  <c r="AC20" i="52" s="1"/>
  <c r="AH20" i="52" s="1"/>
  <c r="T20" i="52"/>
  <c r="U25" i="34"/>
  <c r="U18" i="52" s="1"/>
  <c r="S26" i="34"/>
  <c r="Z26" i="34" s="1"/>
  <c r="AC18" i="52" s="1"/>
  <c r="AH18" i="52" s="1"/>
  <c r="Z32" i="34"/>
  <c r="AC24" i="52" s="1"/>
  <c r="S24" i="52"/>
  <c r="AC22" i="52"/>
  <c r="S22" i="52"/>
  <c r="S11" i="34"/>
  <c r="S4" i="52" s="1"/>
  <c r="S15" i="34"/>
  <c r="S13" i="34"/>
  <c r="S7" i="52" l="1"/>
  <c r="S8" i="52"/>
  <c r="S5" i="52"/>
  <c r="S6" i="52"/>
  <c r="S12" i="34"/>
  <c r="S3" i="52"/>
  <c r="Y16" i="34"/>
  <c r="AB8" i="52" s="1"/>
  <c r="T8" i="52"/>
  <c r="T13" i="34"/>
  <c r="T6" i="52" s="1"/>
  <c r="T4" i="52" l="1"/>
  <c r="Z12" i="34"/>
  <c r="AC4" i="52" s="1"/>
  <c r="AH4" i="52" s="1"/>
  <c r="S19" i="34"/>
  <c r="S11" i="52" l="1"/>
  <c r="S12" i="52"/>
  <c r="Y20" i="34"/>
  <c r="AB12" i="52" s="1"/>
  <c r="T19" i="34"/>
  <c r="R9" i="34"/>
  <c r="R2" i="52" s="1"/>
  <c r="Q9" i="34"/>
  <c r="Q2" i="52" s="1"/>
  <c r="T12" i="52" l="1"/>
  <c r="U19" i="34"/>
  <c r="S9" i="34"/>
  <c r="S2" i="52" s="1"/>
  <c r="S23" i="34"/>
  <c r="S16" i="52" s="1"/>
  <c r="S21" i="34"/>
  <c r="S20" i="34"/>
  <c r="S17" i="34"/>
  <c r="S9" i="52" l="1"/>
  <c r="S10" i="52"/>
  <c r="S13" i="52"/>
  <c r="S14" i="52"/>
  <c r="T23" i="34"/>
  <c r="T16" i="52" s="1"/>
  <c r="S15" i="52"/>
  <c r="Z20" i="34"/>
  <c r="AC12" i="52" s="1"/>
  <c r="AH12" i="52" s="1"/>
  <c r="T17" i="34"/>
  <c r="T21" i="34"/>
  <c r="U21" i="34" s="1"/>
  <c r="U23" i="34" l="1"/>
  <c r="S22" i="34"/>
  <c r="T14" i="52"/>
  <c r="S18" i="34"/>
  <c r="T10" i="52"/>
  <c r="S24" i="34"/>
  <c r="Y24" i="34"/>
  <c r="AB16" i="52" s="1"/>
  <c r="Z24" i="34" l="1"/>
  <c r="AC16" i="52" s="1"/>
  <c r="AH16" i="52" s="1"/>
  <c r="Z18" i="34"/>
  <c r="AC10" i="52" s="1"/>
  <c r="AH10" i="52" s="1"/>
  <c r="Z22" i="34"/>
  <c r="AC14" i="52" s="1"/>
  <c r="AH14" i="52" s="1"/>
  <c r="U12" i="52"/>
  <c r="U14" i="52"/>
  <c r="S14" i="34"/>
  <c r="Z14" i="34" l="1"/>
  <c r="AC6" i="52" s="1"/>
  <c r="AH6" i="52" s="1"/>
  <c r="T9" i="34"/>
  <c r="S16" i="34"/>
  <c r="U16" i="52"/>
  <c r="Z16" i="34" l="1"/>
  <c r="AC8" i="52" s="1"/>
  <c r="AH8" i="52" s="1"/>
  <c r="U9" i="34"/>
  <c r="U2" i="52" s="1"/>
  <c r="T2" i="52"/>
  <c r="U6" i="52"/>
  <c r="S10" i="34"/>
  <c r="Y10" i="34"/>
  <c r="AB2" i="52" s="1"/>
  <c r="Z10" i="34" l="1"/>
  <c r="AC2" i="52" s="1"/>
  <c r="AH2" i="52" s="1"/>
  <c r="U8" i="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6FF29D93-5C59-2F48-A977-43D41D6350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99EDA0D1-6E28-E841-AC45-F51B9EF0D5EC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1F4062EB-88EB-914A-8C1E-60EE227B32AE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B9014B8A-E9E7-3740-BC02-8ECA6FEA2A9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3476E605-EDF9-CC47-A3AC-85D1AE6B597A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6A88DB57-7AF3-844D-B152-7728F0953B2A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BF162DDC-072B-8446-BEBD-30B066855921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055E7DA-FD1F-E443-AAEF-6414B2FC3A4E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80439C31-21F0-B14C-8F6C-EDB1352A384C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376C01A8-A381-3A46-8DAE-960433F88EA9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20B40039-1127-3845-B773-C5B9D50DCC8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C83DFD18-FFFF-CD49-BD5A-0FDE5DEE25D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D4CACCD2-13D7-AE4C-9FE0-B72EF2DCB8F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F2986F3A-9C1F-4CBC-95BC-FE42DCFAE5C3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55EBDDCA-EF81-4AE7-BC8A-329EA2C256A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2EB747FA-5C9B-4694-8988-8851AFE2EDB3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2CD6ADA5-5203-400C-B1FE-5E7BDC2808A3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92B7FDA6-EB8E-4E75-AF51-5ADE16471F2F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F9DAC433-7507-46FA-A372-D5D6DB726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E24A4CDE-0129-4D32-99EF-6837283A3E65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D9C891C-EF94-4990-B289-85C7F8A955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9F896030-904C-4896-A3A8-ED7C59072E35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4F5D9E7F-E6A4-48E6-87E2-005BA9092AFC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F915023E-9375-4163-885B-15446C321FB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A7166753-2AD0-4A6C-9CAE-68AD65A7B225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7FD5BB28-5282-43E9-9E49-649785A64B1D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<sst xmlns="http://schemas.openxmlformats.org/spreadsheetml/2006/main" count="611" uniqueCount="200">
  <si>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</si>
  <si>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</si>
  <si>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</si>
  <si>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</si>
  <si>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</si>
  <si>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</si>
  <si>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</si>
  <si>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</si>
  <si>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</si>
  <si>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</si>
  <si>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</si>
  <si>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</si>
  <si>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</si>
  <si>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</si>
  <si>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</si>
  <si>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</si>
  <si>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</si>
  <si>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</si>
  <si>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</si>
  <si>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</si>
  <si>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</si>
  <si>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</si>
  <si>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</si>
  <si>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</si>
  <si>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</si>
  <si>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</si>
  <si>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</si>
  <si>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</si>
  <si>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</si>
  <si>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</si>
  <si>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</si>
  <si>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</si>
  <si>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</si>
  <si>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</si>
  <si>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</si>
  <si>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</si>
  <si>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</si>
  <si>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</si>
  <si>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</si>
  <si>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</si>
  <si>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</si>
  <si>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</si>
  <si>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</si>
  <si>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</si>
  <si>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</si>
  <si>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</si>
  <si>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</si>
  <si>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</si>
  <si>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</si>
  <si>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</si>
  <si>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Kat
5 kamp</t>
  </si>
  <si>
    <t>Kropps-
vekt</t>
  </si>
  <si>
    <t>Vekt
kl</t>
  </si>
  <si>
    <t xml:space="preserve"> Kate-vekt</t>
  </si>
  <si>
    <t>.</t>
  </si>
  <si>
    <t>Seriestevne 5-kamp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</si>
  <si>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</si>
  <si>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</si>
  <si>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</si>
  <si>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</si>
  <si>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</si>
  <si>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</si>
  <si>
    <t>Vektklasse</t>
  </si>
  <si>
    <t>Kroppsvekt</t>
  </si>
  <si>
    <t>Kategori</t>
  </si>
  <si>
    <t>Kategori5K</t>
  </si>
  <si>
    <t>St.Nr</t>
  </si>
  <si>
    <t>Rykk1</t>
  </si>
  <si>
    <t>Rykk2</t>
  </si>
  <si>
    <t>Rykk3</t>
  </si>
  <si>
    <t>Støt1</t>
  </si>
  <si>
    <t>Støt2</t>
  </si>
  <si>
    <t>Brykk</t>
  </si>
  <si>
    <t>Bstøt</t>
  </si>
  <si>
    <t>SML</t>
  </si>
  <si>
    <t>3-Hopp</t>
  </si>
  <si>
    <t>3-HoppPoeng</t>
  </si>
  <si>
    <t>KulePoeng</t>
  </si>
  <si>
    <t>40m</t>
  </si>
  <si>
    <t>40mPoeng</t>
  </si>
  <si>
    <t>3-Kamp</t>
  </si>
  <si>
    <t>Vigrestad IK</t>
  </si>
  <si>
    <t>+35</t>
  </si>
  <si>
    <t>Støt3</t>
  </si>
  <si>
    <t>Voll IL</t>
  </si>
  <si>
    <t>Vollhallen</t>
  </si>
  <si>
    <t>Tysvær VK</t>
  </si>
  <si>
    <t>Stavanger AK</t>
  </si>
  <si>
    <t>VetPoeng</t>
  </si>
  <si>
    <t>(Multiple Items)</t>
  </si>
  <si>
    <t>JM</t>
  </si>
  <si>
    <t>19-23</t>
  </si>
  <si>
    <t xml:space="preserve">Stefan Rønnevik </t>
  </si>
  <si>
    <t>SM</t>
  </si>
  <si>
    <t xml:space="preserve">Alexander Eide </t>
  </si>
  <si>
    <t>Haugesund VK</t>
  </si>
  <si>
    <t>2000007</t>
  </si>
  <si>
    <t>24-34</t>
  </si>
  <si>
    <t>Hans Gunnar Kvadsheim</t>
  </si>
  <si>
    <t>1999034</t>
  </si>
  <si>
    <t xml:space="preserve">Sindre Rød Torsteinsen </t>
  </si>
  <si>
    <t>1991016</t>
  </si>
  <si>
    <t>Tord Gravdal</t>
  </si>
  <si>
    <t>1988026</t>
  </si>
  <si>
    <t>M35</t>
  </si>
  <si>
    <t xml:space="preserve">Helge Eikeskog </t>
  </si>
  <si>
    <t>1979011</t>
  </si>
  <si>
    <t>M45</t>
  </si>
  <si>
    <t xml:space="preserve">Yngve Sundt </t>
  </si>
  <si>
    <t>1976013</t>
  </si>
  <si>
    <t xml:space="preserve">Vidar Leithe Sandvik </t>
  </si>
  <si>
    <t>M55</t>
  </si>
  <si>
    <t xml:space="preserve">Jan Gunnar Reke </t>
  </si>
  <si>
    <t>UK</t>
  </si>
  <si>
    <t>11-12</t>
  </si>
  <si>
    <t xml:space="preserve">Klara Herredsvela Høyland </t>
  </si>
  <si>
    <t xml:space="preserve">Regine Hansen Hole </t>
  </si>
  <si>
    <t>2013014</t>
  </si>
  <si>
    <t>UM</t>
  </si>
  <si>
    <t xml:space="preserve">Rune Vold </t>
  </si>
  <si>
    <t>2013015</t>
  </si>
  <si>
    <t xml:space="preserve">Elias K. Engeldsvoll </t>
  </si>
  <si>
    <t>2013020</t>
  </si>
  <si>
    <t xml:space="preserve">Joar Skåre </t>
  </si>
  <si>
    <t>2013025</t>
  </si>
  <si>
    <t>2012014</t>
  </si>
  <si>
    <t>13-14</t>
  </si>
  <si>
    <t xml:space="preserve">Martine Nordal Hetland  </t>
  </si>
  <si>
    <t>2012031</t>
  </si>
  <si>
    <t xml:space="preserve">Malin Hansen Hole </t>
  </si>
  <si>
    <t>2011012</t>
  </si>
  <si>
    <t>2012018</t>
  </si>
  <si>
    <t xml:space="preserve">Johan Sønderland </t>
  </si>
  <si>
    <t>2009003</t>
  </si>
  <si>
    <t>15-16</t>
  </si>
  <si>
    <t xml:space="preserve">Lea Berge Jensen </t>
  </si>
  <si>
    <t>17-18</t>
  </si>
  <si>
    <t>2001030</t>
  </si>
  <si>
    <t>SK</t>
  </si>
  <si>
    <t>1982015</t>
  </si>
  <si>
    <t>K40</t>
  </si>
  <si>
    <t xml:space="preserve">Cecilie Waland </t>
  </si>
  <si>
    <t>1983008</t>
  </si>
  <si>
    <t xml:space="preserve">Nhu Tran </t>
  </si>
  <si>
    <t>1978014</t>
  </si>
  <si>
    <t>K45</t>
  </si>
  <si>
    <t xml:space="preserve">Linda Leithe Sandvik </t>
  </si>
  <si>
    <t>1977019</t>
  </si>
  <si>
    <t xml:space="preserve">Turid Nese Opsanger </t>
  </si>
  <si>
    <t>1976011</t>
  </si>
  <si>
    <t xml:space="preserve">Christine Berge Christiansen </t>
  </si>
  <si>
    <t>1975001</t>
  </si>
  <si>
    <t>K50</t>
  </si>
  <si>
    <t xml:space="preserve">Monika Zakrzewska </t>
  </si>
  <si>
    <t>FDato</t>
  </si>
  <si>
    <t>Pulje</t>
  </si>
  <si>
    <t>Ingeborg Skjærpe Liland</t>
  </si>
  <si>
    <t>Andrine Hveding</t>
  </si>
  <si>
    <t>2008031</t>
  </si>
  <si>
    <t>(All)</t>
  </si>
  <si>
    <t>∑ 3-Kamp</t>
  </si>
  <si>
    <t>∑ 3-HoppPoeng</t>
  </si>
  <si>
    <t>∑ KulePoeng</t>
  </si>
  <si>
    <t>∑ 40mPoeng</t>
  </si>
  <si>
    <t>∑ 5-kamp</t>
  </si>
  <si>
    <t>K</t>
  </si>
  <si>
    <t>SortKat</t>
  </si>
  <si>
    <t>SortKP</t>
  </si>
  <si>
    <t/>
  </si>
  <si>
    <t>Thomas Kongsvik Vidhovde</t>
  </si>
  <si>
    <t>M</t>
  </si>
  <si>
    <t>63</t>
  </si>
  <si>
    <t>+86</t>
  </si>
  <si>
    <t>86</t>
  </si>
  <si>
    <t>69</t>
  </si>
  <si>
    <t>77</t>
  </si>
  <si>
    <t>79</t>
  </si>
  <si>
    <t>88</t>
  </si>
  <si>
    <t>110</t>
  </si>
  <si>
    <t>+110</t>
  </si>
  <si>
    <t>44</t>
  </si>
  <si>
    <t>56</t>
  </si>
  <si>
    <t>53</t>
  </si>
  <si>
    <t>x</t>
  </si>
  <si>
    <t>Ove Berge Christiansen</t>
  </si>
  <si>
    <t>Rune Rasmussen</t>
  </si>
  <si>
    <t>Arvid Høien</t>
  </si>
  <si>
    <t>John Kåre Monsen</t>
  </si>
  <si>
    <t>Hans Bjørnar Hagenes</t>
  </si>
  <si>
    <t>Anita Kristoffersen</t>
  </si>
  <si>
    <t>Mia Frøitland</t>
  </si>
  <si>
    <t>Torbjørn Ødegård</t>
  </si>
  <si>
    <t>Andreas Klinkenberg</t>
  </si>
  <si>
    <t xml:space="preserve">Tristan Nicolai Hjelmervik </t>
  </si>
  <si>
    <t>1966006</t>
  </si>
  <si>
    <t xml:space="preserve">Elias K. Engelsvoll </t>
  </si>
  <si>
    <t>Thomas Kongsvik Vihovde</t>
  </si>
  <si>
    <t>Nhu Tran</t>
  </si>
  <si>
    <t>Ingeborg Liland</t>
  </si>
  <si>
    <t>Regionsmesterskap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</si>
</sst>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i/>
      <sz val="10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0"/>
      <name val="MS Sans Serif"/>
    </font>
    <font>
      <sz val="11"/>
      <color rgb="FF3F3F7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/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34" fillId="0" borderId="0"/>
    <xf numFmtId="0" fontId="35" fillId="5" borderId="52" applyNumberFormat="0" applyAlignment="0" applyProtection="0"/>
    <xf numFmtId="0" fontId="1" fillId="6" borderId="0" applyNumberFormat="0" applyBorder="0" applyAlignment="0" applyProtection="0"/>
  </cellStyleXfs>
  <cellXfs count="27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/>
    <xf numFmtId="2" fontId="2" fillId="0" borderId="0" xfId="0" applyNumberFormat="1" applyFont="1" applyAlignment="1">
      <alignment horizontal="center"/>
    </xf>
    <xf numFmtId="166" fontId="0" fillId="0" borderId="0" xfId="0" applyNumberFormat="1"/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1" fontId="10" fillId="0" borderId="0" xfId="0" applyNumberFormat="1" applyFont="1" applyAlignment="1" applyProtection="1">
      <alignment horizontal="center"/>
      <protection locked="0"/>
    </xf>
    <xf numFmtId="166" fontId="17" fillId="0" borderId="0" xfId="0" applyNumberFormat="1" applyFont="1"/>
    <xf numFmtId="0" fontId="17" fillId="0" borderId="0" xfId="0" applyFont="1"/>
    <xf numFmtId="1" fontId="17" fillId="0" borderId="0" xfId="0" applyNumberFormat="1" applyFont="1"/>
    <xf numFmtId="166" fontId="16" fillId="2" borderId="0" xfId="0" applyNumberFormat="1" applyFont="1" applyFill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9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9" fontId="10" fillId="0" borderId="0" xfId="0" applyNumberFormat="1" applyFont="1" applyAlignment="1" applyProtection="1">
      <alignment horizontal="center"/>
      <protection locked="0"/>
    </xf>
    <xf numFmtId="0" fontId="0" fillId="0" borderId="19" xfId="0" applyBorder="1" applyAlignment="1">
      <alignment horizontal="left" vertical="center"/>
    </xf>
    <xf numFmtId="0" fontId="2" fillId="0" borderId="1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2" fontId="2" fillId="0" borderId="16" xfId="0" applyNumberFormat="1" applyFont="1" applyBorder="1" applyAlignment="1">
      <alignment horizontal="center"/>
    </xf>
    <xf numFmtId="0" fontId="23" fillId="0" borderId="17" xfId="7" applyFont="1" applyBorder="1" applyAlignment="1">
      <alignment horizontal="center"/>
    </xf>
    <xf numFmtId="0" fontId="23" fillId="0" borderId="3" xfId="7" applyFont="1" applyBorder="1" applyAlignment="1">
      <alignment horizontal="center"/>
    </xf>
    <xf numFmtId="0" fontId="23" fillId="0" borderId="15" xfId="7" applyFont="1" applyBorder="1" applyAlignment="1">
      <alignment horizontal="center"/>
    </xf>
    <xf numFmtId="2" fontId="23" fillId="0" borderId="15" xfId="7" applyNumberFormat="1" applyFont="1" applyBorder="1" applyAlignment="1">
      <alignment horizontal="center"/>
    </xf>
    <xf numFmtId="167" fontId="17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33" xfId="7" applyFont="1" applyBorder="1" applyAlignment="1">
      <alignment horizontal="center"/>
    </xf>
    <xf numFmtId="0" fontId="23" fillId="0" borderId="2" xfId="7" applyFont="1" applyBorder="1" applyAlignment="1">
      <alignment horizontal="center"/>
    </xf>
    <xf numFmtId="2" fontId="23" fillId="0" borderId="2" xfId="7" applyNumberFormat="1" applyFont="1" applyBorder="1" applyAlignment="1">
      <alignment horizontal="center"/>
    </xf>
    <xf numFmtId="2" fontId="23" fillId="0" borderId="3" xfId="7" applyNumberFormat="1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0" xfId="0" applyFont="1" applyAlignment="1">
      <alignment vertical="top"/>
    </xf>
    <xf numFmtId="170" fontId="6" fillId="0" borderId="0" xfId="0" applyNumberFormat="1" applyFont="1" applyAlignment="1">
      <alignment vertical="center"/>
    </xf>
    <xf numFmtId="2" fontId="27" fillId="0" borderId="34" xfId="8" applyNumberFormat="1" applyFont="1" applyBorder="1" applyAlignment="1">
      <alignment horizontal="center" vertical="center"/>
    </xf>
    <xf numFmtId="49" fontId="27" fillId="0" borderId="35" xfId="8" applyNumberFormat="1" applyFont="1" applyBorder="1" applyAlignment="1">
      <alignment horizontal="center" vertical="center"/>
    </xf>
    <xf numFmtId="49" fontId="27" fillId="0" borderId="35" xfId="8" quotePrefix="1" applyNumberFormat="1" applyFont="1" applyBorder="1" applyAlignment="1">
      <alignment horizontal="center" vertical="center"/>
    </xf>
    <xf numFmtId="171" fontId="27" fillId="0" borderId="36" xfId="8" applyNumberFormat="1" applyFont="1" applyBorder="1" applyAlignment="1">
      <alignment horizontal="center" vertical="center"/>
    </xf>
    <xf numFmtId="1" fontId="27" fillId="0" borderId="36" xfId="8" applyNumberFormat="1" applyFont="1" applyBorder="1" applyAlignment="1">
      <alignment horizontal="center" vertical="center"/>
    </xf>
    <xf numFmtId="2" fontId="10" fillId="0" borderId="37" xfId="7" applyNumberFormat="1" applyFont="1" applyBorder="1" applyAlignment="1">
      <alignment horizontal="center" vertical="center"/>
    </xf>
    <xf numFmtId="2" fontId="10" fillId="0" borderId="37" xfId="0" applyNumberFormat="1" applyFont="1" applyBorder="1" applyAlignment="1">
      <alignment horizontal="center" vertical="center"/>
    </xf>
    <xf numFmtId="2" fontId="10" fillId="0" borderId="37" xfId="0" applyNumberFormat="1" applyFont="1" applyBorder="1" applyAlignment="1">
      <alignment horizontal="center" vertical="center" wrapText="1"/>
    </xf>
    <xf numFmtId="2" fontId="10" fillId="0" borderId="37" xfId="7" applyNumberFormat="1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center" vertical="center"/>
    </xf>
    <xf numFmtId="49" fontId="10" fillId="0" borderId="41" xfId="7" applyNumberFormat="1" applyFont="1" applyBorder="1" applyAlignment="1" applyProtection="1">
      <alignment horizontal="center" vertical="center"/>
      <protection locked="0"/>
    </xf>
    <xf numFmtId="2" fontId="10" fillId="0" borderId="41" xfId="7" applyNumberFormat="1" applyFont="1" applyBorder="1" applyAlignment="1" applyProtection="1">
      <alignment horizontal="center" vertical="center"/>
      <protection locked="0"/>
    </xf>
    <xf numFmtId="0" fontId="10" fillId="0" borderId="41" xfId="7" applyFont="1" applyBorder="1" applyAlignment="1" applyProtection="1">
      <alignment horizontal="left" vertical="center"/>
      <protection locked="0"/>
    </xf>
    <xf numFmtId="1" fontId="10" fillId="0" borderId="41" xfId="7" applyNumberFormat="1" applyFont="1" applyBorder="1" applyAlignment="1" applyProtection="1">
      <alignment horizontal="center" vertical="center"/>
      <protection locked="0"/>
    </xf>
    <xf numFmtId="1" fontId="10" fillId="0" borderId="41" xfId="7" quotePrefix="1" applyNumberFormat="1" applyFont="1" applyBorder="1" applyAlignment="1" applyProtection="1">
      <alignment horizontal="center" vertical="center"/>
      <protection locked="0"/>
    </xf>
    <xf numFmtId="169" fontId="27" fillId="0" borderId="42" xfId="0" applyNumberFormat="1" applyFont="1" applyBorder="1" applyAlignment="1">
      <alignment horizontal="center" vertical="center"/>
    </xf>
    <xf numFmtId="1" fontId="27" fillId="0" borderId="41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 wrapText="1"/>
    </xf>
    <xf numFmtId="2" fontId="10" fillId="0" borderId="41" xfId="0" applyNumberFormat="1" applyFont="1" applyBorder="1" applyAlignment="1">
      <alignment horizontal="center" vertical="center"/>
    </xf>
    <xf numFmtId="2" fontId="29" fillId="0" borderId="41" xfId="0" applyNumberFormat="1" applyFont="1" applyBorder="1" applyAlignment="1">
      <alignment horizontal="center" vertical="center"/>
    </xf>
    <xf numFmtId="2" fontId="10" fillId="0" borderId="41" xfId="0" applyNumberFormat="1" applyFont="1" applyBorder="1" applyAlignment="1">
      <alignment horizontal="center" vertical="center" wrapText="1"/>
    </xf>
    <xf numFmtId="2" fontId="10" fillId="0" borderId="41" xfId="7" applyNumberFormat="1" applyFont="1" applyBorder="1" applyAlignment="1">
      <alignment horizontal="center" vertical="center"/>
    </xf>
    <xf numFmtId="0" fontId="10" fillId="0" borderId="41" xfId="0" applyFont="1" applyBorder="1" applyAlignment="1" applyProtection="1">
      <alignment horizontal="center" vertical="center"/>
      <protection locked="0"/>
    </xf>
    <xf numFmtId="49" fontId="10" fillId="0" borderId="40" xfId="7" quotePrefix="1" applyNumberFormat="1" applyFont="1" applyBorder="1" applyAlignment="1" applyProtection="1">
      <alignment horizontal="right" vertical="center"/>
      <protection locked="0"/>
    </xf>
    <xf numFmtId="2" fontId="10" fillId="4" borderId="41" xfId="0" applyNumberFormat="1" applyFont="1" applyFill="1" applyBorder="1" applyAlignment="1">
      <alignment horizontal="center" vertical="center" wrapText="1"/>
    </xf>
    <xf numFmtId="1" fontId="10" fillId="0" borderId="41" xfId="0" applyNumberFormat="1" applyFont="1" applyBorder="1" applyAlignment="1">
      <alignment horizontal="center" vertical="center"/>
    </xf>
    <xf numFmtId="1" fontId="5" fillId="0" borderId="41" xfId="6" quotePrefix="1" applyNumberFormat="1" applyFont="1" applyBorder="1" applyAlignment="1" applyProtection="1">
      <alignment horizontal="right" vertical="center"/>
      <protection locked="0"/>
    </xf>
    <xf numFmtId="0" fontId="27" fillId="0" borderId="41" xfId="0" applyFont="1" applyBorder="1" applyAlignment="1">
      <alignment horizontal="center" vertical="center"/>
    </xf>
    <xf numFmtId="49" fontId="27" fillId="0" borderId="41" xfId="0" quotePrefix="1" applyNumberFormat="1" applyFont="1" applyBorder="1" applyAlignment="1">
      <alignment horizontal="center" vertical="center"/>
    </xf>
    <xf numFmtId="167" fontId="10" fillId="0" borderId="41" xfId="7" applyNumberFormat="1" applyFont="1" applyBorder="1" applyAlignment="1" applyProtection="1">
      <alignment horizontal="center" vertical="center"/>
      <protection locked="0"/>
    </xf>
    <xf numFmtId="169" fontId="28" fillId="0" borderId="41" xfId="0" applyNumberFormat="1" applyFont="1" applyBorder="1" applyAlignment="1">
      <alignment horizontal="center" vertical="center"/>
    </xf>
    <xf numFmtId="169" fontId="11" fillId="0" borderId="41" xfId="7" quotePrefix="1" applyNumberFormat="1" applyFont="1" applyBorder="1" applyAlignment="1" applyProtection="1">
      <alignment horizontal="center" vertical="center"/>
      <protection locked="0"/>
    </xf>
    <xf numFmtId="169" fontId="26" fillId="0" borderId="41" xfId="0" applyNumberFormat="1" applyFont="1" applyBorder="1" applyAlignment="1" applyProtection="1">
      <alignment horizontal="center" vertical="center"/>
      <protection locked="0"/>
    </xf>
    <xf numFmtId="2" fontId="25" fillId="0" borderId="41" xfId="7" applyNumberFormat="1" applyFont="1" applyBorder="1" applyAlignment="1" applyProtection="1">
      <alignment horizontal="center" vertical="center"/>
      <protection locked="0"/>
    </xf>
    <xf numFmtId="2" fontId="25" fillId="0" borderId="41" xfId="7" applyNumberFormat="1" applyFont="1" applyBorder="1" applyAlignment="1">
      <alignment horizontal="center" vertical="center"/>
    </xf>
    <xf numFmtId="49" fontId="27" fillId="0" borderId="43" xfId="8" applyNumberFormat="1" applyFont="1" applyBorder="1" applyAlignment="1">
      <alignment horizontal="center" vertical="center"/>
    </xf>
    <xf numFmtId="49" fontId="27" fillId="0" borderId="36" xfId="8" quotePrefix="1" applyNumberFormat="1" applyFont="1" applyBorder="1" applyAlignment="1">
      <alignment horizontal="center" vertical="center"/>
    </xf>
    <xf numFmtId="0" fontId="22" fillId="0" borderId="49" xfId="0" applyFont="1" applyBorder="1" applyAlignment="1">
      <alignment vertical="center"/>
    </xf>
    <xf numFmtId="1" fontId="10" fillId="0" borderId="48" xfId="7" applyNumberFormat="1" applyFont="1" applyBorder="1" applyAlignment="1" applyProtection="1">
      <alignment horizontal="center" vertical="center"/>
      <protection locked="0"/>
    </xf>
    <xf numFmtId="1" fontId="10" fillId="0" borderId="48" xfId="7" quotePrefix="1" applyNumberFormat="1" applyFont="1" applyBorder="1" applyAlignment="1" applyProtection="1">
      <alignment horizontal="center" vertical="center"/>
      <protection locked="0"/>
    </xf>
    <xf numFmtId="169" fontId="27" fillId="0" borderId="50" xfId="0" applyNumberFormat="1" applyFont="1" applyBorder="1" applyAlignment="1">
      <alignment horizontal="center" vertical="center"/>
    </xf>
    <xf numFmtId="1" fontId="27" fillId="0" borderId="48" xfId="0" applyNumberFormat="1" applyFont="1" applyBorder="1" applyAlignment="1">
      <alignment horizontal="center" vertical="center"/>
    </xf>
    <xf numFmtId="2" fontId="27" fillId="0" borderId="48" xfId="0" applyNumberFormat="1" applyFont="1" applyBorder="1" applyAlignment="1">
      <alignment horizontal="center" vertical="center" wrapText="1"/>
    </xf>
    <xf numFmtId="2" fontId="10" fillId="0" borderId="48" xfId="0" applyNumberFormat="1" applyFont="1" applyBorder="1" applyAlignment="1">
      <alignment horizontal="center" vertical="center"/>
    </xf>
    <xf numFmtId="2" fontId="29" fillId="0" borderId="48" xfId="0" applyNumberFormat="1" applyFont="1" applyBorder="1" applyAlignment="1">
      <alignment horizontal="center" vertical="center"/>
    </xf>
    <xf numFmtId="2" fontId="10" fillId="0" borderId="48" xfId="7" applyNumberFormat="1" applyFont="1" applyBorder="1" applyAlignment="1">
      <alignment horizontal="center" vertical="center"/>
    </xf>
    <xf numFmtId="0" fontId="10" fillId="0" borderId="48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vertical="center"/>
      <protection locked="0"/>
    </xf>
    <xf numFmtId="0" fontId="10" fillId="0" borderId="51" xfId="7" applyFont="1" applyBorder="1" applyAlignment="1" applyProtection="1">
      <alignment horizontal="left" vertical="center"/>
      <protection locked="0"/>
    </xf>
    <xf numFmtId="1" fontId="10" fillId="0" borderId="51" xfId="7" applyNumberFormat="1" applyFont="1" applyBorder="1" applyAlignment="1" applyProtection="1">
      <alignment horizontal="center" vertical="center"/>
      <protection locked="0"/>
    </xf>
    <xf numFmtId="1" fontId="10" fillId="0" borderId="51" xfId="7" quotePrefix="1" applyNumberFormat="1" applyFont="1" applyBorder="1" applyAlignment="1" applyProtection="1">
      <alignment horizontal="center" vertical="center"/>
      <protection locked="0"/>
    </xf>
    <xf numFmtId="0" fontId="1" fillId="6" borderId="49" xfId="10" applyBorder="1" applyAlignment="1">
      <alignment vertical="center"/>
    </xf>
    <xf numFmtId="2" fontId="1" fillId="6" borderId="37" xfId="10" applyNumberFormat="1" applyBorder="1" applyAlignment="1">
      <alignment horizontal="center" vertical="center"/>
    </xf>
    <xf numFmtId="0" fontId="1" fillId="6" borderId="37" xfId="10" applyBorder="1" applyAlignment="1">
      <alignment horizontal="center" vertical="center"/>
    </xf>
    <xf numFmtId="0" fontId="1" fillId="6" borderId="37" xfId="10" applyBorder="1" applyAlignment="1" applyProtection="1">
      <alignment horizontal="left" vertical="center"/>
      <protection locked="0"/>
    </xf>
    <xf numFmtId="2" fontId="1" fillId="6" borderId="39" xfId="10" applyNumberFormat="1" applyBorder="1" applyAlignment="1">
      <alignment horizontal="center" vertical="center"/>
    </xf>
    <xf numFmtId="0" fontId="1" fillId="6" borderId="51" xfId="10" applyBorder="1" applyAlignment="1" applyProtection="1">
      <alignment vertical="center"/>
      <protection locked="0"/>
    </xf>
    <xf numFmtId="2" fontId="1" fillId="6" borderId="37" xfId="10" applyNumberFormat="1" applyBorder="1" applyAlignment="1" applyProtection="1">
      <alignment horizontal="center" vertical="center"/>
      <protection locked="0"/>
    </xf>
    <xf numFmtId="0" fontId="1" fillId="6" borderId="39" xfId="10" applyBorder="1" applyAlignment="1">
      <alignment vertical="center"/>
    </xf>
    <xf numFmtId="0" fontId="1" fillId="6" borderId="37" xfId="10" applyBorder="1" applyAlignment="1">
      <alignment vertical="center"/>
    </xf>
    <xf numFmtId="0" fontId="1" fillId="6" borderId="37" xfId="10" quotePrefix="1" applyBorder="1" applyAlignment="1" applyProtection="1">
      <alignment horizontal="right" vertical="center"/>
      <protection locked="0"/>
    </xf>
    <xf numFmtId="167" fontId="1" fillId="6" borderId="37" xfId="10" applyNumberFormat="1" applyBorder="1" applyAlignment="1">
      <alignment horizontal="center" vertical="center"/>
    </xf>
    <xf numFmtId="49" fontId="1" fillId="6" borderId="41" xfId="10" applyNumberFormat="1" applyBorder="1" applyAlignment="1" applyProtection="1">
      <alignment horizontal="center" vertical="center"/>
      <protection locked="0"/>
    </xf>
    <xf numFmtId="2" fontId="1" fillId="6" borderId="44" xfId="10" applyNumberFormat="1" applyBorder="1" applyAlignment="1">
      <alignment horizontal="center" vertical="center"/>
    </xf>
    <xf numFmtId="2" fontId="1" fillId="6" borderId="45" xfId="10" applyNumberFormat="1" applyBorder="1" applyAlignment="1">
      <alignment horizontal="center" vertical="center"/>
    </xf>
    <xf numFmtId="2" fontId="1" fillId="6" borderId="46" xfId="10" applyNumberFormat="1" applyBorder="1" applyAlignment="1">
      <alignment horizontal="center" vertical="center"/>
    </xf>
    <xf numFmtId="0" fontId="1" fillId="6" borderId="46" xfId="10" applyBorder="1" applyAlignment="1">
      <alignment horizontal="center" vertical="center"/>
    </xf>
    <xf numFmtId="14" fontId="1" fillId="6" borderId="46" xfId="10" applyNumberFormat="1" applyBorder="1" applyAlignment="1">
      <alignment horizontal="center" vertical="center"/>
    </xf>
    <xf numFmtId="1" fontId="1" fillId="6" borderId="47" xfId="10" applyNumberFormat="1" applyBorder="1" applyAlignment="1">
      <alignment horizontal="center" vertical="center"/>
    </xf>
    <xf numFmtId="169" fontId="36" fillId="5" borderId="52" xfId="9" applyNumberFormat="1" applyFont="1" applyAlignment="1">
      <alignment horizontal="center" vertical="center"/>
    </xf>
    <xf numFmtId="1" fontId="36" fillId="5" borderId="52" xfId="9" applyNumberFormat="1" applyFont="1" applyAlignment="1">
      <alignment horizontal="center" vertical="center"/>
    </xf>
    <xf numFmtId="2" fontId="36" fillId="5" borderId="52" xfId="9" applyNumberFormat="1" applyFont="1" applyAlignment="1">
      <alignment horizontal="center" vertical="center" wrapText="1"/>
    </xf>
    <xf numFmtId="2" fontId="36" fillId="5" borderId="52" xfId="9" applyNumberFormat="1" applyFont="1" applyAlignment="1">
      <alignment horizontal="center" vertical="center"/>
    </xf>
    <xf numFmtId="4" fontId="36" fillId="5" borderId="52" xfId="9" applyNumberFormat="1" applyFont="1" applyAlignment="1" applyProtection="1">
      <alignment horizontal="center" vertical="center"/>
      <protection locked="0"/>
    </xf>
    <xf numFmtId="0" fontId="0" fillId="0" borderId="0" xfId="0" pivotButton="1"/>
    <xf numFmtId="49" fontId="10" fillId="0" borderId="41" xfId="7" quotePrefix="1" applyNumberFormat="1" applyFont="1" applyBorder="1" applyAlignment="1" applyProtection="1">
      <alignment horizontal="center" vertical="center"/>
      <protection locked="0"/>
    </xf>
    <xf numFmtId="167" fontId="10" fillId="0" borderId="41" xfId="0" applyNumberFormat="1" applyFont="1" applyBorder="1" applyAlignment="1" applyProtection="1">
      <alignment horizontal="center" vertical="center"/>
      <protection locked="0"/>
    </xf>
    <xf numFmtId="1" fontId="10" fillId="0" borderId="41" xfId="7" applyNumberFormat="1" applyFont="1" applyBorder="1" applyAlignment="1">
      <alignment horizontal="center" vertical="center"/>
    </xf>
    <xf numFmtId="0" fontId="10" fillId="0" borderId="41" xfId="0" applyFont="1" applyBorder="1" applyAlignment="1" applyProtection="1">
      <alignment vertical="center"/>
      <protection locked="0"/>
    </xf>
    <xf numFmtId="0" fontId="10" fillId="0" borderId="41" xfId="0" applyFont="1" applyBorder="1"/>
    <xf numFmtId="49" fontId="10" fillId="0" borderId="48" xfId="7" applyNumberFormat="1" applyFont="1" applyBorder="1" applyAlignment="1" applyProtection="1">
      <alignment horizontal="center" vertical="center"/>
      <protection locked="0"/>
    </xf>
    <xf numFmtId="2" fontId="10" fillId="0" borderId="48" xfId="7" applyNumberFormat="1" applyFont="1" applyBorder="1" applyAlignment="1" applyProtection="1">
      <alignment horizontal="center" vertical="center"/>
      <protection locked="0"/>
    </xf>
    <xf numFmtId="49" fontId="10" fillId="0" borderId="48" xfId="7" quotePrefix="1" applyNumberFormat="1" applyFont="1" applyBorder="1" applyAlignment="1" applyProtection="1">
      <alignment horizontal="center" vertical="center"/>
      <protection locked="0"/>
    </xf>
    <xf numFmtId="167" fontId="10" fillId="0" borderId="48" xfId="0" applyNumberFormat="1" applyFont="1" applyBorder="1" applyAlignment="1" applyProtection="1">
      <alignment horizontal="center" vertical="center"/>
      <protection locked="0"/>
    </xf>
    <xf numFmtId="1" fontId="10" fillId="0" borderId="48" xfId="7" applyNumberFormat="1" applyFont="1" applyBorder="1" applyAlignment="1">
      <alignment horizontal="center" vertical="center"/>
    </xf>
    <xf numFmtId="0" fontId="10" fillId="0" borderId="48" xfId="0" applyFont="1" applyBorder="1" applyAlignment="1" applyProtection="1">
      <alignment vertical="center"/>
      <protection locked="0"/>
    </xf>
    <xf numFmtId="0" fontId="10" fillId="0" borderId="48" xfId="7" applyFont="1" applyBorder="1" applyAlignment="1" applyProtection="1">
      <alignment horizontal="left" vertical="center"/>
      <protection locked="0"/>
    </xf>
    <xf numFmtId="0" fontId="27" fillId="0" borderId="36" xfId="8" applyFont="1" applyBorder="1" applyAlignment="1">
      <alignment vertical="center"/>
    </xf>
    <xf numFmtId="0" fontId="27" fillId="0" borderId="36" xfId="8" applyFont="1" applyBorder="1" applyAlignment="1">
      <alignment horizontal="left" vertical="center"/>
    </xf>
    <xf numFmtId="49" fontId="10" fillId="0" borderId="51" xfId="7" applyNumberFormat="1" applyFont="1" applyBorder="1" applyAlignment="1" applyProtection="1">
      <alignment horizontal="center" vertical="center"/>
      <protection locked="0"/>
    </xf>
    <xf numFmtId="2" fontId="10" fillId="0" borderId="51" xfId="7" applyNumberFormat="1" applyFont="1" applyBorder="1" applyAlignment="1" applyProtection="1">
      <alignment horizontal="center" vertical="center"/>
      <protection locked="0"/>
    </xf>
    <xf numFmtId="49" fontId="10" fillId="0" borderId="51" xfId="7" quotePrefix="1" applyNumberFormat="1" applyFont="1" applyBorder="1" applyAlignment="1" applyProtection="1">
      <alignment horizontal="center" vertical="center"/>
      <protection locked="0"/>
    </xf>
    <xf numFmtId="167" fontId="10" fillId="0" borderId="51" xfId="0" applyNumberFormat="1" applyFont="1" applyBorder="1" applyAlignment="1" applyProtection="1">
      <alignment horizontal="center" vertical="center"/>
      <protection locked="0"/>
    </xf>
    <xf numFmtId="1" fontId="10" fillId="0" borderId="51" xfId="7" applyNumberFormat="1" applyFont="1" applyBorder="1" applyAlignment="1">
      <alignment horizontal="center" vertical="center"/>
    </xf>
    <xf numFmtId="49" fontId="10" fillId="7" borderId="38" xfId="7" quotePrefix="1" applyNumberFormat="1" applyFont="1" applyFill="1" applyBorder="1" applyAlignment="1" applyProtection="1">
      <alignment horizontal="right" vertical="center"/>
      <protection locked="0"/>
    </xf>
    <xf numFmtId="2" fontId="10" fillId="7" borderId="37" xfId="7" applyNumberFormat="1" applyFont="1" applyFill="1" applyBorder="1" applyAlignment="1">
      <alignment horizontal="center" vertical="center"/>
    </xf>
    <xf numFmtId="0" fontId="10" fillId="7" borderId="37" xfId="7" applyFont="1" applyFill="1" applyBorder="1" applyAlignment="1">
      <alignment horizontal="center" vertical="center"/>
    </xf>
    <xf numFmtId="14" fontId="10" fillId="7" borderId="37" xfId="7" applyNumberFormat="1" applyFont="1" applyFill="1" applyBorder="1" applyAlignment="1">
      <alignment horizontal="center" vertical="center"/>
    </xf>
    <xf numFmtId="1" fontId="10" fillId="7" borderId="37" xfId="7" applyNumberFormat="1" applyFont="1" applyFill="1" applyBorder="1" applyAlignment="1" applyProtection="1">
      <alignment horizontal="center" vertical="center"/>
      <protection locked="0"/>
    </xf>
    <xf numFmtId="0" fontId="10" fillId="7" borderId="37" xfId="7" applyFont="1" applyFill="1" applyBorder="1" applyAlignment="1" applyProtection="1">
      <alignment horizontal="left" vertical="center"/>
      <protection locked="0"/>
    </xf>
    <xf numFmtId="2" fontId="10" fillId="7" borderId="39" xfId="7" applyNumberFormat="1" applyFont="1" applyFill="1" applyBorder="1" applyAlignment="1">
      <alignment horizontal="center" vertical="center"/>
    </xf>
    <xf numFmtId="2" fontId="10" fillId="7" borderId="38" xfId="7" applyNumberFormat="1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vertical="center"/>
    </xf>
    <xf numFmtId="0" fontId="6" fillId="7" borderId="37" xfId="0" applyFont="1" applyFill="1" applyBorder="1" applyAlignment="1">
      <alignment vertical="center"/>
    </xf>
    <xf numFmtId="0" fontId="5" fillId="7" borderId="37" xfId="6" quotePrefix="1" applyFont="1" applyFill="1" applyBorder="1" applyAlignment="1" applyProtection="1">
      <alignment horizontal="right" vertical="center"/>
      <protection locked="0"/>
    </xf>
    <xf numFmtId="167" fontId="10" fillId="7" borderId="37" xfId="7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/>
    </xf>
    <xf numFmtId="0" fontId="37" fillId="0" borderId="0" xfId="0" pivotButton="1" applyFont="1"/>
    <xf numFmtId="1" fontId="0" fillId="0" borderId="0" xfId="0" applyNumberFormat="1"/>
    <xf numFmtId="2" fontId="0" fillId="0" borderId="0" xfId="0" applyNumberFormat="1"/>
    <xf numFmtId="4" fontId="0" fillId="0" borderId="0" xfId="0" applyNumberFormat="1"/>
    <xf numFmtId="167" fontId="0" fillId="0" borderId="0" xfId="0" applyNumberFormat="1"/>
    <xf numFmtId="1" fontId="11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23" fillId="0" borderId="3" xfId="7" applyNumberFormat="1" applyFont="1" applyBorder="1" applyAlignment="1">
      <alignment horizontal="center"/>
    </xf>
    <xf numFmtId="1" fontId="23" fillId="0" borderId="15" xfId="7" applyNumberFormat="1" applyFont="1" applyBorder="1" applyAlignment="1">
      <alignment horizontal="center"/>
    </xf>
    <xf numFmtId="1" fontId="10" fillId="0" borderId="37" xfId="7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left"/>
    </xf>
    <xf numFmtId="1" fontId="2" fillId="0" borderId="0" xfId="0" applyNumberFormat="1" applyFont="1"/>
    <xf numFmtId="1" fontId="4" fillId="0" borderId="0" xfId="0" applyNumberFormat="1" applyFont="1" applyAlignment="1" applyProtection="1">
      <alignment horizontal="left"/>
      <protection locked="0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8" fillId="8" borderId="52" xfId="0" applyFont="1" applyFill="1" applyBorder="1"/>
    <xf numFmtId="2" fontId="38" fillId="8" borderId="52" xfId="0" applyNumberFormat="1" applyFont="1" applyFill="1" applyBorder="1"/>
    <xf numFmtId="4" fontId="38" fillId="8" borderId="52" xfId="0" applyNumberFormat="1" applyFont="1" applyFill="1" applyBorder="1"/>
    <xf numFmtId="0" fontId="0" fillId="8" borderId="52" xfId="0" applyFill="1" applyBorder="1"/>
    <xf numFmtId="2" fontId="0" fillId="8" borderId="52" xfId="0" applyNumberFormat="1" applyFill="1" applyBorder="1"/>
    <xf numFmtId="0" fontId="0" fillId="9" borderId="0" xfId="0" applyFill="1"/>
    <xf numFmtId="0" fontId="3" fillId="0" borderId="0" xfId="0" applyFont="1" applyAlignment="1">
      <alignment horizontal="left" vertical="top" wrapText="1"/>
    </xf>
    <xf numFmtId="2" fontId="1" fillId="6" borderId="37" xfId="10" applyNumberFormat="1" applyBorder="1" applyAlignment="1">
      <alignment horizontal="center" vertical="center" wrapText="1"/>
    </xf>
    <xf numFmtId="2" fontId="1" fillId="6" borderId="37" xfId="10" applyNumberFormat="1" applyBorder="1" applyAlignment="1">
      <alignment horizontal="center" vertical="center"/>
    </xf>
    <xf numFmtId="2" fontId="36" fillId="5" borderId="52" xfId="9" applyNumberFormat="1" applyFont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2" fontId="10" fillId="0" borderId="37" xfId="7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1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top"/>
    </xf>
    <xf numFmtId="0" fontId="2" fillId="0" borderId="53" xfId="0" applyFont="1" applyBorder="1" applyAlignment="1">
      <alignment horizontal="center" vertical="top"/>
    </xf>
    <xf numFmtId="14" fontId="10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center" vertical="top" wrapText="1"/>
    </xf>
    <xf numFmtId="164" fontId="2" fillId="0" borderId="16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16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167" fontId="10" fillId="0" borderId="0" xfId="0" applyNumberFormat="1" applyFont="1" applyAlignment="1" applyProtection="1">
      <alignment horizontal="left"/>
      <protection locked="0"/>
    </xf>
    <xf numFmtId="2" fontId="10" fillId="7" borderId="37" xfId="7" applyNumberFormat="1" applyFont="1" applyFill="1" applyBorder="1" applyAlignment="1">
      <alignment horizontal="center" vertical="center" wrapText="1"/>
    </xf>
    <xf numFmtId="2" fontId="10" fillId="7" borderId="37" xfId="7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</cellXfs>
  <cellStyles count="11">
    <cellStyle name="20% - Accent1" xfId="10" builtinId="30"/>
    <cellStyle name="Calculation" xfId="9" builtinId="22"/>
    <cellStyle name="Excel Built-in Normal" xfId="5" xr:uid="{53FE1A10-E7A8-624B-84C9-F9A1B93414F5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8" xr:uid="{CE62EEE8-D66D-6045-BFA5-1737BD6DE056}"/>
    <cellStyle name="Normal_Sheet1" xfId="7" xr:uid="{A6EEFE65-45DE-4C04-8C6B-F2DFF5FDCC36}"/>
    <cellStyle name="Normal_Sheet2" xfId="6" xr:uid="{FD7B47F1-11A7-4E54-B62B-8313606EDD5D}"/>
  </cellStyles>
  <dxfs count="220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ill>
        <patternFill patternType="solid">
          <bgColor rgb="FFFFFF00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</font>
    </dxf>
    <dxf>
      <numFmt numFmtId="4" formatCode="#,##0.00"/>
    </dxf>
    <dxf>
      <numFmt numFmtId="2" formatCode="0.00"/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5"/>
          <bgColor rgb="FFFFCC99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/>
      </font>
    </dxf>
    <dxf>
      <numFmt numFmtId="4" formatCode="#,##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</font>
    </dxf>
    <dxf>
      <font>
        <b/>
      </font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15EEE418-C3A6-6944-BD4F-E5E448BF9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106E20FB-0C13-4B99-80DF-B2C844B8C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555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ne Rasmussen" refreshedDate="45830.491913773149" createdVersion="8" refreshedVersion="8" minRefreshableVersion="3" recordCount="72" xr:uid="{F74701C2-4953-473C-AB34-95CE0B4B6B6D}">
  <cacheSource type="worksheet">
    <worksheetSource name="TblResultater"/>
  </cacheSource>
  <cacheFields count="33">
    <cacheField name="NVF-ID" numFmtId="0">
      <sharedItems containsMixedTypes="1" containsNumber="1" containsInteger="1" minValue="0" maxValue="2013024" count="43">
        <n v="2005008"/>
        <n v="0"/>
        <n v="2004016"/>
        <s v="2000007"/>
        <s v="1999034"/>
        <s v="1991016"/>
        <s v="1988026"/>
        <s v="1979011"/>
        <s v="1976013"/>
        <s v="1966000"/>
        <n v="2013010"/>
        <n v="2013024"/>
        <s v="2013014"/>
        <s v="2013015"/>
        <s v="2013020"/>
        <s v="2013025"/>
        <s v="2012014"/>
        <s v="2012031"/>
        <s v="2011012"/>
        <s v="2012018"/>
        <s v="2009003"/>
        <s v="2008031"/>
        <s v="2001030"/>
        <s v="1982015"/>
        <s v="1983008"/>
        <s v="1978014"/>
        <s v="1977019"/>
        <s v="1976011"/>
        <s v="1975001"/>
        <n v="2008031" u="1"/>
        <n v="2008005" u="1"/>
        <n v="9" u="1"/>
        <n v="11" u="1"/>
        <n v="13" u="1"/>
        <n v="15" u="1"/>
        <n v="17" u="1"/>
        <n v="19" u="1"/>
        <n v="21" u="1"/>
        <n v="23" u="1"/>
        <n v="25" u="1"/>
        <n v="27" u="1"/>
        <n v="29" u="1"/>
        <n v="31" u="1"/>
      </sharedItems>
    </cacheField>
    <cacheField name="Vektklasse" numFmtId="0">
      <sharedItems containsMixedTypes="1" containsNumber="1" containsInteger="1" minValue="0" maxValue="88"/>
    </cacheField>
    <cacheField name="Kroppsvekt" numFmtId="0">
      <sharedItems containsSemiMixedTypes="0" containsString="0" containsNumber="1" minValue="0" maxValue="126.51" count="40">
        <n v="72.64"/>
        <n v="0"/>
        <n v="106.33"/>
        <n v="126.51"/>
        <n v="95.3"/>
        <n v="106.41"/>
        <n v="85.98"/>
        <n v="86.79"/>
        <n v="83.63"/>
        <n v="85.84"/>
        <n v="67.19"/>
        <n v="39.36"/>
        <n v="40.98"/>
        <n v="33.35"/>
        <n v="53.91"/>
        <n v="52.23"/>
        <n v="62.85"/>
        <n v="50.65"/>
        <n v="44.82"/>
        <n v="40.46"/>
        <n v="59.39"/>
        <n v="67.13"/>
        <n v="60.04"/>
        <n v="73.89"/>
        <n v="62.58"/>
        <n v="96.73"/>
        <n v="68.680000000000007"/>
        <n v="83.59"/>
        <n v="76.25"/>
        <n v="85.3" u="1"/>
        <n v="1" u="1"/>
        <n v="2" u="1"/>
        <n v="3" u="1"/>
        <n v="4" u="1"/>
        <n v="5" u="1"/>
        <n v="6" u="1"/>
        <n v="7" u="1"/>
        <n v="8" u="1"/>
        <n v="9" u="1"/>
        <n v="10" u="1"/>
      </sharedItems>
    </cacheField>
    <cacheField name="Kategori" numFmtId="0">
      <sharedItems containsMixedTypes="1" containsNumber="1" containsInteger="1" minValue="0" maxValue="0"/>
    </cacheField>
    <cacheField name="Kategori5K" numFmtId="0">
      <sharedItems containsMixedTypes="1" containsNumber="1" containsInteger="1" minValue="0" maxValue="0" count="8">
        <s v="19-23"/>
        <n v="0"/>
        <s v="24-34"/>
        <s v="+35"/>
        <s v="11-12"/>
        <s v="13-14"/>
        <s v="15-16"/>
        <s v="17-18"/>
      </sharedItems>
    </cacheField>
    <cacheField name="FDato" numFmtId="0">
      <sharedItems containsSemiMixedTypes="0" containsDate="1" containsString="0" containsMixedTypes="1" minDate="1899-12-31T00:00:00" maxDate="2013-12-25T00:00:00"/>
    </cacheField>
    <cacheField name="St.Nr" numFmtId="0">
      <sharedItems containsSemiMixedTypes="0" containsString="0" containsNumber="1" containsInteger="1" minValue="0" maxValue="0"/>
    </cacheField>
    <cacheField name="Navn" numFmtId="0">
      <sharedItems containsMixedTypes="1" containsNumber="1" containsInteger="1" minValue="0" maxValue="0" count="30">
        <s v="Stefan Rønnevik "/>
        <n v="0"/>
        <s v="Alexander Eide "/>
        <s v="Hans Gunnar Kvadsheim"/>
        <s v="Sindre Rød Torsteinsen "/>
        <s v="Tord Gravdal"/>
        <s v="Helge Eikeskog "/>
        <s v="Yngve Sundt "/>
        <s v="Vidar Leithe Sandvik "/>
        <s v="Jan Gunnar Reke "/>
        <s v="Klara Herredsvela Høyland "/>
        <s v="Regine Hansen Hole "/>
        <s v="Rune Vold "/>
        <s v="Elias K. Engeldsvoll "/>
        <s v="Joar Skåre "/>
        <s v="Tristan Nicolai Hjelmervik "/>
        <s v="Martine Nordal Hetland  "/>
        <s v="Malin Hansen Hole "/>
        <s v="Thomas Kongsvik Vidhovde"/>
        <s v="Johan Sønderland "/>
        <s v=" "/>
        <s v="Lea Berge Jensen "/>
        <s v="Ingeborg Skjærpe Liland"/>
        <s v="Andrine Hveding"/>
        <s v="Cecilie Waland "/>
        <s v="Nhu Tran "/>
        <s v="Linda Leithe Sandvik "/>
        <s v="Turid Nese Opsanger "/>
        <s v="Christine Berge Christiansen "/>
        <s v="Monika Zakrzewska "/>
      </sharedItems>
    </cacheField>
    <cacheField name="Klubb" numFmtId="0">
      <sharedItems containsMixedTypes="1" containsNumber="1" containsInteger="1" minValue="0" maxValue="0" count="6">
        <s v="Tysvær VK"/>
        <n v="0"/>
        <s v="Haugesund VK"/>
        <s v="Vigrestad IK"/>
        <s v="Stavanger AK"/>
        <s v="Voll IL"/>
      </sharedItems>
    </cacheField>
    <cacheField name="Rykk1" numFmtId="0">
      <sharedItems containsSemiMixedTypes="0" containsString="0" containsNumber="1" containsInteger="1" minValue="-120" maxValue="123"/>
    </cacheField>
    <cacheField name="Rykk2" numFmtId="0">
      <sharedItems containsSemiMixedTypes="0" containsString="0" containsNumber="1" containsInteger="1" minValue="-59" maxValue="127"/>
    </cacheField>
    <cacheField name="Rykk3" numFmtId="0">
      <sharedItems containsSemiMixedTypes="0" containsString="0" containsNumber="1" containsInteger="1" minValue="-128" maxValue="107"/>
    </cacheField>
    <cacheField name="Støt1" numFmtId="0">
      <sharedItems containsSemiMixedTypes="0" containsString="0" containsNumber="1" containsInteger="1" minValue="-140" maxValue="150"/>
    </cacheField>
    <cacheField name="Støt2" numFmtId="0">
      <sharedItems containsSemiMixedTypes="0" containsString="0" containsNumber="1" containsInteger="1" minValue="-117" maxValue="155"/>
    </cacheField>
    <cacheField name="Støt3" numFmtId="0">
      <sharedItems containsSemiMixedTypes="0" containsString="0" containsNumber="1" containsInteger="1" minValue="-160" maxValue="142"/>
    </cacheField>
    <cacheField name="Brykk" numFmtId="0">
      <sharedItems containsMixedTypes="1" containsNumber="1" containsInteger="1" minValue="0" maxValue="127" count="27">
        <n v="120"/>
        <n v="0"/>
        <n v="127"/>
        <n v="98"/>
        <n v="107"/>
        <n v="90"/>
        <n v="75"/>
        <n v="50"/>
        <s v=""/>
        <n v="55"/>
        <n v="27"/>
        <n v="20"/>
        <n v="25"/>
        <n v="15"/>
        <n v="18"/>
        <n v="30"/>
        <n v="34"/>
        <n v="22"/>
        <n v="58"/>
        <n v="59"/>
        <n v="57"/>
        <n v="60"/>
        <n v="56"/>
        <n v="39"/>
        <n v="21"/>
        <n v="40"/>
        <n v="43"/>
      </sharedItems>
    </cacheField>
    <cacheField name="Bstøt" numFmtId="0">
      <sharedItems containsMixedTypes="1" containsNumber="1" containsInteger="1" minValue="0" maxValue="155" count="32">
        <n v="140"/>
        <n v="0"/>
        <n v="152"/>
        <n v="155"/>
        <n v="133"/>
        <n v="142"/>
        <n v="110"/>
        <n v="95"/>
        <n v="66"/>
        <s v=""/>
        <n v="78"/>
        <n v="36"/>
        <n v="24"/>
        <n v="30"/>
        <n v="20"/>
        <n v="21"/>
        <n v="31"/>
        <n v="37"/>
        <n v="34"/>
        <n v="42"/>
        <n v="70"/>
        <n v="76"/>
        <n v="77"/>
        <n v="50"/>
        <n v="26"/>
        <n v="48"/>
        <n v="65"/>
        <n v="154" u="1"/>
        <n v="74" u="1"/>
        <n v="73" u="1"/>
        <n v="72" u="1"/>
        <n v="138" u="1"/>
      </sharedItems>
    </cacheField>
    <cacheField name="SML" numFmtId="0">
      <sharedItems containsMixedTypes="1" containsNumber="1" minValue="0" maxValue="281" count="45">
        <n v="260"/>
        <n v="279"/>
        <n v="275"/>
        <n v="231"/>
        <n v="249"/>
        <n v="200"/>
        <n v="170"/>
        <n v="116"/>
        <s v=""/>
        <n v="133"/>
        <n v="0"/>
        <n v="63"/>
        <n v="44"/>
        <n v="55"/>
        <n v="35"/>
        <n v="39"/>
        <n v="49"/>
        <n v="67"/>
        <n v="59"/>
        <n v="76"/>
        <n v="52"/>
        <n v="128"/>
        <n v="209.27087982935896"/>
        <n v="135"/>
        <n v="204.86343910512414"/>
        <n v="134"/>
        <n v="217.54405490288943"/>
        <n v="138"/>
        <n v="198.96200861445857"/>
        <n v="126"/>
        <n v="199.29684146193577"/>
        <n v="89"/>
        <n v="114.93536223821067"/>
        <n v="47"/>
        <n v="70.41897115347804"/>
        <n v="88"/>
        <n v="119.89419078366457"/>
        <n v="108"/>
        <n v="153.32811741885303"/>
        <n v="281" u="1"/>
        <n v="131" u="1"/>
        <n v="212.67366561401874" u="1"/>
        <n v="191.7532401863985" u="1"/>
        <n v="198.79341127978714" u="1"/>
        <n v="245" u="1"/>
      </sharedItems>
    </cacheField>
    <cacheField name="Poeng" numFmtId="2">
      <sharedItems containsMixedTypes="1" containsNumber="1" minValue="0" maxValue="351.54693450660056" count="37">
        <n v="351.54693450660056"/>
        <n v="0"/>
        <n v="312.29452890558724"/>
        <n v="291.08241461765903"/>
        <n v="270.45912094654932"/>
        <n v="278.63566850897695"/>
        <n v="245.95297243878656"/>
        <n v="208.06920972612869"/>
        <n v="144.71642658832045"/>
        <s v=""/>
        <n v="163.6947438429325"/>
        <n v="79.628825177613194"/>
        <n v="82.997349836951429"/>
        <n v="117.23058756333039"/>
        <n v="92.41736581295001"/>
        <n v="65.147706127404348"/>
        <n v="83.985233407723086"/>
        <n v="88.079988409985745"/>
        <n v="89.926120947259975"/>
        <n v="148.82164616045833"/>
        <n v="112.23029747073274"/>
        <n v="174.39239985779915"/>
        <n v="170.71953258760345"/>
        <n v="181.28671241907452"/>
        <n v="165.80167384538214"/>
        <n v="166.08070121827981"/>
        <n v="95.779468531842227"/>
        <n v="58.682475961231702"/>
        <n v="99.91182565305381"/>
        <n v="127.77343118237754"/>
        <n v="55" u="1"/>
        <n v="314.53319936369178" u="1"/>
        <n v="285.23310090000962" u="1"/>
        <n v="177.22805467834897" u="1"/>
        <n v="159.79436682199875" u="1"/>
        <n v="165.66117606648928" u="1"/>
        <n v="274.1595935128488" u="1"/>
      </sharedItems>
    </cacheField>
    <cacheField name="VetPoeng" numFmtId="2">
      <sharedItems containsMixedTypes="1" containsNumber="1" minValue="0" maxValue="269.5644577929101" count="13">
        <s v=""/>
        <n v="0"/>
        <n v="269.5644577929101"/>
        <n v="253.42829744642475"/>
        <n v="182.7768467810487"/>
        <n v="243.57777883828356"/>
        <n v="196.80658685446861"/>
        <n v="194.31442042538737"/>
        <n v="121.16102769278041"/>
        <n v="75.583029038066428"/>
        <n v="131.18422708245964"/>
        <n v="171.21639778438592"/>
        <n v="189.67591341771254" u="1"/>
      </sharedItems>
    </cacheField>
    <cacheField name="3-Hopp" numFmtId="2">
      <sharedItems containsMixedTypes="1" containsNumber="1" minValue="0" maxValue="198" count="52">
        <n v="9.9"/>
        <n v="198"/>
        <n v="9.1999999999999993"/>
        <n v="184"/>
        <n v="7.9"/>
        <n v="158"/>
        <n v="7.95"/>
        <n v="159"/>
        <n v="0"/>
        <s v=""/>
        <n v="9.1"/>
        <n v="182"/>
        <n v="7.8"/>
        <n v="156"/>
        <n v="6.5"/>
        <n v="130"/>
        <n v="4.05"/>
        <n v="81"/>
        <n v="4.88"/>
        <n v="97.6"/>
        <n v="5.64"/>
        <n v="112.8"/>
        <n v="5.2"/>
        <n v="104"/>
        <n v="4.0999999999999996"/>
        <n v="82"/>
        <n v="5.1100000000000003"/>
        <n v="102.2"/>
        <n v="5.08"/>
        <n v="101.6"/>
        <n v="5.0999999999999996"/>
        <n v="102"/>
        <n v="6.04"/>
        <n v="120.8"/>
        <n v="5.63"/>
        <n v="112.6"/>
        <n v="6.83"/>
        <n v="136.6"/>
        <n v="6.31"/>
        <n v="126.19999999999999"/>
        <n v="6.92"/>
        <n v="138.4"/>
        <n v="6.13"/>
        <n v="122.6"/>
        <n v="6.6"/>
        <n v="132"/>
        <n v="4.96"/>
        <n v="99.2"/>
        <n v="4.95"/>
        <n v="99"/>
        <n v="4.8600000000000003"/>
        <n v="97.2"/>
      </sharedItems>
    </cacheField>
    <cacheField name="3-HoppPoeng" numFmtId="2">
      <sharedItems containsMixedTypes="1" containsNumber="1" minValue="0" maxValue="198"/>
    </cacheField>
    <cacheField name="Kulekast" numFmtId="2">
      <sharedItems containsMixedTypes="1" containsNumber="1" minValue="0" maxValue="167.92944468571994" count="74">
        <n v="11.6"/>
        <n v="156.8440169337141"/>
        <n v="14"/>
        <n v="156.70693206731977"/>
        <n v="11.15"/>
        <n v="118.02068810861448"/>
        <n v="13.6"/>
        <n v="159.23134393389918"/>
        <n v="0"/>
        <s v=""/>
        <n v="12.1"/>
        <n v="148.80154832546586"/>
        <n v="11.4"/>
        <n v="139.52876416928629"/>
        <n v="9.1"/>
        <n v="112.00166683990118"/>
        <n v="9.6199999999999992"/>
        <n v="12.000000000000028"/>
        <n v="8.16"/>
        <n v="72.000000000000028"/>
        <n v="7.88"/>
        <n v="84.000000000000028"/>
        <n v="8.41"/>
        <n v="60"/>
        <n v="9.8800000000000008"/>
        <n v="3.9999999999999858"/>
        <n v="8.2799999999999994"/>
        <n v="68.000000000000043"/>
        <n v="8.9"/>
        <n v="43.999999999999986"/>
        <n v="7.47"/>
        <n v="100"/>
        <n v="8.24"/>
        <n v="7"/>
        <n v="120"/>
        <n v="7.5"/>
        <n v="6.87"/>
        <n v="124.00000000000003"/>
        <n v="7.62"/>
        <n v="92.000000000000028"/>
        <n v="7.12"/>
        <n v="112.00000000000003"/>
        <n v="9.49"/>
        <n v="20"/>
        <n v="9.58"/>
        <n v="16.000000000000014"/>
        <n v="10.33"/>
        <n v="9.82" u="1"/>
        <n v="8.36" u="1"/>
        <n v="63.999999999999986" u="1"/>
        <n v="8.08" u="1"/>
        <n v="76.000000000000014" u="1"/>
        <n v="8.61" u="1"/>
        <n v="52.000000000000028" u="1"/>
        <n v="10.08" u="1"/>
        <n v="8.48" u="1"/>
        <n v="36.000000000000014" u="1"/>
        <n v="7.67" u="1"/>
        <n v="8.5399999999999991" u="1"/>
        <n v="56.000000000000014" u="1"/>
        <n v="7.2" u="1"/>
        <n v="112" u="1"/>
        <n v="7.7" u="1"/>
        <n v="92" u="1"/>
        <n v="7.07" u="1"/>
        <n v="116.00000000000001" u="1"/>
        <n v="7.82" u="1"/>
        <n v="7.32" u="1"/>
        <n v="104.00000000000003" u="1"/>
        <n v="9.69" u="1"/>
        <n v="9.7799999999999994" u="1"/>
        <n v="8.0000000000000426" u="1"/>
        <n v="10.53" u="1"/>
        <n v="167.92944468571994" u="1"/>
      </sharedItems>
    </cacheField>
    <cacheField name="KulePoeng" numFmtId="2">
      <sharedItems containsMixedTypes="1" containsNumber="1" minValue="0" maxValue="418.17029660626372"/>
    </cacheField>
    <cacheField name="40m" numFmtId="2">
      <sharedItems containsMixedTypes="1" containsNumber="1" minValue="0" maxValue="683.31425499011618" count="96">
        <n v="5.97"/>
        <n v="160"/>
        <n v="6.25"/>
        <n v="148"/>
        <n v="6.59"/>
        <n v="136"/>
        <n v="6.09"/>
        <n v="156"/>
        <n v="0"/>
        <s v=""/>
        <n v="6.75"/>
        <n v="128"/>
        <n v="7.43"/>
        <n v="100"/>
        <n v="7.63"/>
        <n v="92.000000000000028"/>
        <n v="9.6199999999999992"/>
        <n v="276.39069124022467"/>
        <n v="8.16"/>
        <n v="425.348994125177"/>
        <n v="7.88"/>
        <n v="506.50189769003464"/>
        <n v="8.41"/>
        <n v="420.65622734339263"/>
        <n v="9.8800000000000008"/>
        <n v="229.82608968126959"/>
        <n v="388.61733332980037"/>
        <n v="8.2799999999999994"/>
        <n v="394.77040377727894"/>
        <n v="8.9"/>
        <n v="384.90930655611044"/>
        <n v="7.47"/>
        <n v="538.41672377929399"/>
        <n v="8.24"/>
        <n v="481.67935571475419"/>
        <n v="7"/>
        <n v="618.09293472202694"/>
        <n v="7.5"/>
        <n v="546.82566497899961"/>
        <n v="6.87"/>
        <n v="635.71435150915306"/>
        <n v="7.62"/>
        <n v="620.02915035807314"/>
        <n v="7.12"/>
        <n v="683.31425499011618"/>
        <n v="9.49"/>
        <n v="360.61422039479038"/>
        <n v="9.58"/>
        <n v="430.97238594841997"/>
        <n v="10.33"/>
        <n v="495.32472462783079"/>
        <n v="6.17" u="1"/>
        <n v="152.00000000000003" u="1"/>
        <n v="6.45" u="1"/>
        <n v="140" u="1"/>
        <n v="6.79" u="1"/>
        <n v="6.29" u="1"/>
        <n v="6.95" u="1"/>
        <n v="120" u="1"/>
        <n v="7.83" u="1"/>
        <n v="84.000000000000028" u="1"/>
        <n v="9.82" u="1"/>
        <n v="268.39069124022467" u="1"/>
        <n v="8.36" u="1"/>
        <n v="417.348994125177" u="1"/>
        <n v="8.08" u="1"/>
        <n v="498.50189769003464" u="1"/>
        <n v="8.61" u="1"/>
        <n v="412.65622734339263" u="1"/>
        <n v="10.08" u="1"/>
        <n v="225.82608968126959" u="1"/>
        <n v="380.61733332980043" u="1"/>
        <n v="8.48" u="1"/>
        <n v="386.77040377727889" u="1"/>
        <n v="9.1" u="1"/>
        <n v="376.90930655611044" u="1"/>
        <n v="7.67" u="1"/>
        <n v="530.41672377929399" u="1"/>
        <n v="8.5399999999999991" u="1"/>
        <n v="469.67935571475414" u="1"/>
        <n v="7.2" u="1"/>
        <n v="610.09293472202694" u="1"/>
        <n v="7.7" u="1"/>
        <n v="538.82566497899961" u="1"/>
        <n v="7.07" u="1"/>
        <n v="627.71435150915306" u="1"/>
        <n v="7.82" u="1"/>
        <n v="610.53315035807304" u="1"/>
        <n v="7.32" u="1"/>
        <n v="673.95425499011617" u="1"/>
        <n v="9.69" u="1"/>
        <n v="350.31022039479046" u="1"/>
        <n v="9.7799999999999994" u="1"/>
        <n v="420.46838594842006" u="1"/>
        <n v="10.53" u="1"/>
        <n v="334.1" u="1"/>
      </sharedItems>
    </cacheField>
    <cacheField name="40mPoeng" numFmtId="2">
      <sharedItems containsMixedTypes="1" containsNumber="1" minValue="0" maxValue="160"/>
    </cacheField>
    <cacheField name="3-Kamp" numFmtId="2">
      <sharedItems containsMixedTypes="1" containsNumber="1" minValue="0" maxValue="514.8440169337141"/>
    </cacheField>
    <cacheField name="5-kamp" numFmtId="2">
      <sharedItems containsMixedTypes="1" containsNumber="1" minValue="0" maxValue="45829"/>
    </cacheField>
    <cacheField name="Alder" numFmtId="0">
      <sharedItems containsMixedTypes="1" containsNumber="1" containsInteger="1" minValue="0" maxValue="125"/>
    </cacheField>
    <cacheField name="Pulje" numFmtId="0">
      <sharedItems containsSemiMixedTypes="0" containsString="0" containsNumber="1" containsInteger="1" minValue="1" maxValue="3" count="3">
        <n v="1"/>
        <n v="2"/>
        <n v="3"/>
      </sharedItems>
    </cacheField>
    <cacheField name="Kjønn" numFmtId="2">
      <sharedItems count="2">
        <s v="M"/>
        <s v="K"/>
      </sharedItems>
    </cacheField>
    <cacheField name="SortKat" numFmtId="0">
      <sharedItems containsSemiMixedTypes="0" containsString="0" containsNumber="1" containsInteger="1" minValue="1" maxValue="7" count="7">
        <n v="5"/>
        <n v="7"/>
        <n v="6"/>
        <n v="1"/>
        <n v="2"/>
        <n v="3"/>
        <n v="4"/>
      </sharedItems>
    </cacheField>
    <cacheField name="SortKP" numFmtId="2">
      <sharedItems containsSemiMixedTypes="0" containsString="0" containsNumber="1" minValue="0" maxValue="11.5829" count="85">
        <n v="5.0936700338341634"/>
        <n v="7"/>
        <n v="5.0863460366754021"/>
        <n v="6.0761319585649805"/>
        <n v="6.0798782289069759"/>
        <n v="0"/>
        <n v="7.0857011846316205"/>
        <n v="7.0819971991693897"/>
        <n v="7.0789287814863711"/>
        <n v="1.0276390691240225"/>
        <n v="1.0425348994125176"/>
        <n v="1.0506501897690035"/>
        <n v="1.0420656227343392"/>
        <n v="1.0229826089681269"/>
        <n v="1.0388617333329799"/>
        <n v="2.039477040377728"/>
        <n v="2.0384909306556112"/>
        <n v="2.0538416723779296"/>
        <n v="2.0481679355714753"/>
        <n v="11.5829"/>
        <n v="3.0618092934722028"/>
        <n v="4.0546825664978998"/>
        <n v="6.0635714351509149"/>
        <n v="7.0620029150358077"/>
        <n v="7.0683314254990117"/>
        <n v="7.036061422039479"/>
        <n v="7.043097238594842"/>
        <n v="7.0495324724627828"/>
        <n v="5.0928700338341635" u="1"/>
        <n v="5.0855460366754022" u="1"/>
        <n v="6.0753319585649805" u="1"/>
        <n v="6.079078228906976" u="1"/>
        <n v="7.0848243846316201" u="1"/>
        <n v="7.0810227991693901" u="1"/>
        <n v="7.0777383814863715" u="1"/>
        <n v="1.0268390691240226" u="1"/>
        <n v="1.0417348994125177" u="1"/>
        <n v="1.0498501897690034" u="1"/>
        <n v="1.0412656227343393" u="1"/>
        <n v="1.0225826089681269" u="1"/>
        <n v="1.03806173333298" u="1"/>
        <n v="2.0386770403777277" u="1"/>
        <n v="2.0376909306556112" u="1"/>
        <n v="2.0530416723779292" u="1"/>
        <n v="2.0469679355714754" u="1"/>
        <n v="3.0610092934722029" u="1"/>
        <n v="4.0538825664978999" u="1"/>
        <n v="6.062771435150915" u="1"/>
        <n v="7.0610533150358075" u="1"/>
        <n v="7.0673954254990115" u="1"/>
        <n v="7.0350310220394787" u="1"/>
        <n v="7.0420468385948416" u="1"/>
        <n v="1.0334099999999999" u="1"/>
        <n v="5.0858146771303749" u="1"/>
        <n v="6.0817209165765735" u="1"/>
        <n v="5.0414288986318292" u="1"/>
        <n v="5.0428577972636583" u="1"/>
        <n v="6.0442866958954884" u="1"/>
        <n v="6.0457155945273175" u="1"/>
        <n v="6.0471444931591467" u="1"/>
        <n v="7.0532364374029095" u="1"/>
        <n v="7.0609027897349774" u="1"/>
        <n v="7.0649575917760039" u="1"/>
        <n v="7.0695638753953869" u="1"/>
        <n v="7.0807820116416211" u="1"/>
        <n v="1.0410302555355924" u="1"/>
        <n v="1.0420605110711845" u="1"/>
        <n v="1.0442866958954882" u="1"/>
        <n v="1.0457155945273175" u="1"/>
        <n v="1.0471444931591467" u="1"/>
        <n v="1.0485733917909761" u="1"/>
        <n v="2.0472117887491459" u="1"/>
        <n v="2.0482420442847382" u="1"/>
        <n v="2.0528600876864642" u="1"/>
        <n v="2.0542889863182934" u="1"/>
        <n v="3.0410302555355924" u="1"/>
        <n v="4.0420605110711847" u="1"/>
        <n v="4.0430907666067766" u="1"/>
        <n v="6.0441210221423693" u="1"/>
        <n v="7.0535945666037403" u="1"/>
        <n v="7.0540323938598579" u="1"/>
        <n v="7.0597229127676693" u="1"/>
        <n v="7.062135753038743" u="1"/>
        <n v="7.0646945296640933" u="1"/>
        <n v="7.067405424176936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s v="79"/>
    <x v="0"/>
    <s v="JM"/>
    <x v="0"/>
    <d v="2005-03-04T00:00:00"/>
    <n v="0"/>
    <x v="0"/>
    <x v="0"/>
    <n v="115"/>
    <n v="120"/>
    <n v="-125"/>
    <n v="-140"/>
    <n v="140"/>
    <n v="-152"/>
    <x v="0"/>
    <x v="0"/>
    <x v="0"/>
    <x v="0"/>
    <x v="0"/>
    <x v="0"/>
    <n v="198"/>
    <x v="0"/>
    <n v="156.8440169337141"/>
    <x v="0"/>
    <n v="160"/>
    <n v="514.8440169337141"/>
    <n v="936.70033834163473"/>
    <n v="20"/>
    <x v="0"/>
    <x v="0"/>
    <x v="0"/>
    <x v="0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1"/>
    <x v="1"/>
    <x v="1"/>
    <x v="1"/>
    <n v="9.1999999999999993"/>
    <x v="1"/>
    <n v="14"/>
    <x v="1"/>
    <n v="6.25"/>
    <n v="0"/>
    <n v="0"/>
    <n v="125"/>
    <x v="0"/>
    <x v="0"/>
    <x v="1"/>
    <x v="1"/>
  </r>
  <r>
    <x v="2"/>
    <s v="110"/>
    <x v="2"/>
    <s v="SM"/>
    <x v="0"/>
    <d v="2004-01-07T00:00:00"/>
    <n v="0"/>
    <x v="2"/>
    <x v="2"/>
    <n v="123"/>
    <n v="127"/>
    <n v="-128"/>
    <n v="145"/>
    <n v="152"/>
    <n v="-154"/>
    <x v="2"/>
    <x v="2"/>
    <x v="1"/>
    <x v="2"/>
    <x v="0"/>
    <x v="2"/>
    <n v="184"/>
    <x v="2"/>
    <n v="156.70693206731977"/>
    <x v="2"/>
    <n v="148"/>
    <n v="488.70693206731977"/>
    <n v="863.46036675402434"/>
    <n v="21"/>
    <x v="0"/>
    <x v="0"/>
    <x v="0"/>
    <x v="2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2"/>
    <x v="1"/>
    <x v="1"/>
    <x v="3"/>
    <n v="7.9"/>
    <x v="3"/>
    <n v="11.15"/>
    <x v="3"/>
    <n v="6.59"/>
    <n v="0"/>
    <n v="0"/>
    <n v="125"/>
    <x v="0"/>
    <x v="0"/>
    <x v="1"/>
    <x v="1"/>
  </r>
  <r>
    <x v="3"/>
    <s v="+110"/>
    <x v="3"/>
    <s v="SM"/>
    <x v="2"/>
    <d v="2000-04-04T00:00:00"/>
    <n v="0"/>
    <x v="3"/>
    <x v="3"/>
    <n v="-120"/>
    <n v="120"/>
    <n v="-126"/>
    <n v="150"/>
    <n v="155"/>
    <n v="-160"/>
    <x v="0"/>
    <x v="3"/>
    <x v="2"/>
    <x v="3"/>
    <x v="0"/>
    <x v="4"/>
    <n v="158"/>
    <x v="4"/>
    <n v="118.02068810861448"/>
    <x v="4"/>
    <n v="136"/>
    <n v="412.02068810861448"/>
    <n v="761.31958564980528"/>
    <n v="25"/>
    <x v="0"/>
    <x v="0"/>
    <x v="2"/>
    <x v="3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3"/>
    <x v="1"/>
    <x v="1"/>
    <x v="5"/>
    <n v="7.95"/>
    <x v="5"/>
    <n v="13.6"/>
    <x v="5"/>
    <n v="6.09"/>
    <n v="0"/>
    <n v="0"/>
    <n v="125"/>
    <x v="0"/>
    <x v="0"/>
    <x v="1"/>
    <x v="1"/>
  </r>
  <r>
    <x v="4"/>
    <s v="110"/>
    <x v="4"/>
    <s v="SM"/>
    <x v="2"/>
    <d v="1999-12-14T00:00:00"/>
    <n v="0"/>
    <x v="4"/>
    <x v="0"/>
    <n v="93"/>
    <n v="98"/>
    <n v="-102"/>
    <n v="125"/>
    <n v="131"/>
    <n v="133"/>
    <x v="3"/>
    <x v="4"/>
    <x v="3"/>
    <x v="4"/>
    <x v="0"/>
    <x v="6"/>
    <n v="159"/>
    <x v="6"/>
    <n v="159.23134393389918"/>
    <x v="6"/>
    <n v="156"/>
    <n v="474.23134393389921"/>
    <n v="798.78228906975835"/>
    <n v="25"/>
    <x v="0"/>
    <x v="0"/>
    <x v="2"/>
    <x v="4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4"/>
    <x v="1"/>
    <x v="1"/>
    <x v="7"/>
    <n v="0"/>
    <x v="7"/>
    <n v="0"/>
    <x v="7"/>
    <n v="0"/>
    <n v="0"/>
    <n v="0"/>
    <n v="125"/>
    <x v="0"/>
    <x v="0"/>
    <x v="1"/>
    <x v="1"/>
  </r>
  <r>
    <x v="5"/>
    <s v="110"/>
    <x v="5"/>
    <s v="SM"/>
    <x v="2"/>
    <d v="1991-11-17T00:00:00"/>
    <n v="0"/>
    <x v="5"/>
    <x v="3"/>
    <n v="100"/>
    <n v="104"/>
    <n v="107"/>
    <n v="134"/>
    <n v="138"/>
    <n v="142"/>
    <x v="4"/>
    <x v="5"/>
    <x v="4"/>
    <x v="5"/>
    <x v="0"/>
    <x v="8"/>
    <s v=""/>
    <x v="8"/>
    <s v=""/>
    <x v="8"/>
    <s v=""/>
    <s v=""/>
    <s v=""/>
    <n v="33"/>
    <x v="0"/>
    <x v="0"/>
    <x v="2"/>
    <x v="5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5"/>
    <x v="1"/>
    <x v="1"/>
    <x v="9"/>
    <n v="9.1"/>
    <x v="9"/>
    <n v="12.1"/>
    <x v="9"/>
    <n v="6.09"/>
    <n v="0"/>
    <n v="0"/>
    <n v="125"/>
    <x v="0"/>
    <x v="0"/>
    <x v="1"/>
    <x v="1"/>
  </r>
  <r>
    <x v="6"/>
    <s v="88"/>
    <x v="6"/>
    <s v="M35"/>
    <x v="3"/>
    <d v="1988-12-12T00:00:00"/>
    <n v="0"/>
    <x v="6"/>
    <x v="0"/>
    <n v="85"/>
    <n v="90"/>
    <n v="-93"/>
    <n v="110"/>
    <n v="-117"/>
    <n v="-120"/>
    <x v="5"/>
    <x v="6"/>
    <x v="5"/>
    <x v="6"/>
    <x v="2"/>
    <x v="10"/>
    <n v="182"/>
    <x v="10"/>
    <n v="148.80154832546586"/>
    <x v="6"/>
    <n v="156"/>
    <n v="486.80154832546589"/>
    <n v="857.01184631620276"/>
    <n v="36"/>
    <x v="0"/>
    <x v="0"/>
    <x v="1"/>
    <x v="6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6"/>
    <x v="1"/>
    <x v="1"/>
    <x v="11"/>
    <n v="7.8"/>
    <x v="11"/>
    <n v="11.4"/>
    <x v="7"/>
    <n v="6.75"/>
    <n v="0"/>
    <n v="0"/>
    <n v="125"/>
    <x v="0"/>
    <x v="0"/>
    <x v="1"/>
    <x v="1"/>
  </r>
  <r>
    <x v="7"/>
    <s v="88"/>
    <x v="7"/>
    <s v="M45"/>
    <x v="3"/>
    <d v="1979-03-27T00:00:00"/>
    <n v="0"/>
    <x v="7"/>
    <x v="4"/>
    <n v="70"/>
    <n v="75"/>
    <n v="-80"/>
    <n v="90"/>
    <n v="95"/>
    <n v="-105"/>
    <x v="6"/>
    <x v="7"/>
    <x v="6"/>
    <x v="7"/>
    <x v="3"/>
    <x v="12"/>
    <n v="156"/>
    <x v="12"/>
    <n v="139.52876416928629"/>
    <x v="10"/>
    <n v="128"/>
    <n v="423.52876416928632"/>
    <n v="819.97199169390035"/>
    <n v="46"/>
    <x v="0"/>
    <x v="0"/>
    <x v="1"/>
    <x v="7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7"/>
    <x v="1"/>
    <x v="1"/>
    <x v="13"/>
    <n v="0"/>
    <x v="13"/>
    <n v="0"/>
    <x v="11"/>
    <n v="7.43"/>
    <n v="0"/>
    <n v="0"/>
    <n v="125"/>
    <x v="0"/>
    <x v="0"/>
    <x v="1"/>
    <x v="1"/>
  </r>
  <r>
    <x v="8"/>
    <s v="88"/>
    <x v="8"/>
    <s v="M45"/>
    <x v="3"/>
    <d v="1976-08-05T00:00:00"/>
    <n v="0"/>
    <x v="8"/>
    <x v="0"/>
    <n v="50"/>
    <n v="-55"/>
    <n v="-55"/>
    <n v="60"/>
    <n v="65"/>
    <n v="66"/>
    <x v="7"/>
    <x v="8"/>
    <x v="7"/>
    <x v="8"/>
    <x v="4"/>
    <x v="8"/>
    <s v=""/>
    <x v="8"/>
    <n v="0"/>
    <x v="12"/>
    <n v="100"/>
    <n v="100"/>
    <n v="0"/>
    <n v="48"/>
    <x v="0"/>
    <x v="0"/>
    <x v="1"/>
    <x v="1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8"/>
    <x v="1"/>
    <x v="1"/>
    <x v="9"/>
    <n v="0"/>
    <x v="8"/>
    <n v="0"/>
    <x v="13"/>
    <n v="0"/>
    <n v="0"/>
    <n v="0"/>
    <n v="125"/>
    <x v="0"/>
    <x v="0"/>
    <x v="1"/>
    <x v="1"/>
  </r>
  <r>
    <x v="1"/>
    <n v="0"/>
    <x v="1"/>
    <n v="0"/>
    <x v="1"/>
    <d v="1899-12-30T00:00:00"/>
    <n v="0"/>
    <x v="1"/>
    <x v="1"/>
    <n v="0"/>
    <n v="0"/>
    <n v="0"/>
    <n v="0"/>
    <n v="0"/>
    <n v="0"/>
    <x v="8"/>
    <x v="9"/>
    <x v="8"/>
    <x v="9"/>
    <x v="0"/>
    <x v="8"/>
    <s v=""/>
    <x v="8"/>
    <s v=""/>
    <x v="8"/>
    <s v=""/>
    <s v=""/>
    <s v=""/>
    <n v="125"/>
    <x v="0"/>
    <x v="0"/>
    <x v="1"/>
    <x v="5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9"/>
    <x v="1"/>
    <x v="1"/>
    <x v="9"/>
    <n v="6.5"/>
    <x v="9"/>
    <n v="9.1"/>
    <x v="9"/>
    <n v="7.63"/>
    <n v="0"/>
    <n v="0"/>
    <n v="125"/>
    <x v="0"/>
    <x v="0"/>
    <x v="1"/>
    <x v="1"/>
  </r>
  <r>
    <x v="9"/>
    <n v="88"/>
    <x v="9"/>
    <s v="M55"/>
    <x v="3"/>
    <d v="1966-02-05T00:00:00"/>
    <n v="0"/>
    <x v="9"/>
    <x v="4"/>
    <n v="-55"/>
    <n v="55"/>
    <n v="-58"/>
    <n v="75"/>
    <n v="-78"/>
    <n v="78"/>
    <x v="9"/>
    <x v="10"/>
    <x v="9"/>
    <x v="10"/>
    <x v="5"/>
    <x v="14"/>
    <n v="130"/>
    <x v="14"/>
    <n v="112.00166683990118"/>
    <x v="14"/>
    <n v="92.000000000000028"/>
    <n v="334.00166683990119"/>
    <n v="789.28781486371315"/>
    <n v="59"/>
    <x v="0"/>
    <x v="0"/>
    <x v="1"/>
    <x v="8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8"/>
    <x v="1"/>
    <x v="1"/>
    <x v="15"/>
    <n v="0"/>
    <x v="15"/>
    <n v="0"/>
    <x v="15"/>
    <n v="0"/>
    <n v="0"/>
    <n v="0"/>
    <n v="125"/>
    <x v="0"/>
    <x v="0"/>
    <x v="1"/>
    <x v="1"/>
  </r>
  <r>
    <x v="1"/>
    <n v="0"/>
    <x v="1"/>
    <n v="0"/>
    <x v="1"/>
    <n v="0"/>
    <n v="0"/>
    <x v="1"/>
    <x v="1"/>
    <n v="0"/>
    <n v="0"/>
    <n v="0"/>
    <n v="0"/>
    <n v="0"/>
    <n v="0"/>
    <x v="8"/>
    <x v="9"/>
    <x v="8"/>
    <x v="9"/>
    <x v="0"/>
    <x v="8"/>
    <s v=""/>
    <x v="8"/>
    <s v=""/>
    <x v="8"/>
    <s v=""/>
    <s v=""/>
    <s v=""/>
    <n v="125"/>
    <x v="0"/>
    <x v="0"/>
    <x v="1"/>
    <x v="5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8"/>
    <x v="1"/>
    <x v="1"/>
    <x v="9"/>
    <n v="0"/>
    <x v="9"/>
    <n v="0"/>
    <x v="9"/>
    <n v="0"/>
    <n v="0"/>
    <n v="0"/>
    <n v="125"/>
    <x v="0"/>
    <x v="0"/>
    <x v="1"/>
    <x v="1"/>
  </r>
  <r>
    <x v="1"/>
    <n v="0"/>
    <x v="1"/>
    <n v="0"/>
    <x v="1"/>
    <n v="0"/>
    <n v="0"/>
    <x v="1"/>
    <x v="1"/>
    <n v="0"/>
    <n v="0"/>
    <n v="0"/>
    <n v="0"/>
    <n v="0"/>
    <n v="0"/>
    <x v="8"/>
    <x v="9"/>
    <x v="8"/>
    <x v="9"/>
    <x v="0"/>
    <x v="8"/>
    <s v=""/>
    <x v="8"/>
    <s v=""/>
    <x v="8"/>
    <s v=""/>
    <s v=""/>
    <s v=""/>
    <n v="125"/>
    <x v="0"/>
    <x v="0"/>
    <x v="1"/>
    <x v="5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10"/>
    <x v="1"/>
    <x v="1"/>
    <x v="9"/>
    <n v="0"/>
    <x v="9"/>
    <n v="0"/>
    <x v="9"/>
    <n v="0"/>
    <n v="0"/>
    <n v="0"/>
    <n v="125"/>
    <x v="0"/>
    <x v="0"/>
    <x v="1"/>
    <x v="1"/>
  </r>
  <r>
    <x v="10"/>
    <s v="69"/>
    <x v="10"/>
    <s v="UK"/>
    <x v="4"/>
    <d v="2013-11-06T00:00:00"/>
    <n v="0"/>
    <x v="10"/>
    <x v="3"/>
    <n v="23"/>
    <n v="25"/>
    <n v="27"/>
    <n v="32"/>
    <n v="34"/>
    <n v="36"/>
    <x v="10"/>
    <x v="11"/>
    <x v="11"/>
    <x v="11"/>
    <x v="0"/>
    <x v="16"/>
    <n v="81"/>
    <x v="16"/>
    <n v="87.836101027088816"/>
    <x v="16"/>
    <n v="12.000000000000028"/>
    <n v="180.83610102708886"/>
    <n v="276.39069124022467"/>
    <n v="11"/>
    <x v="1"/>
    <x v="1"/>
    <x v="3"/>
    <x v="9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12"/>
    <x v="1"/>
    <x v="1"/>
    <x v="17"/>
    <n v="87.836101027088816"/>
    <x v="17"/>
    <n v="180.83610102708886"/>
    <x v="17"/>
    <n v="0"/>
    <n v="0"/>
    <n v="0"/>
    <n v="0"/>
    <x v="1"/>
    <x v="0"/>
    <x v="1"/>
    <x v="1"/>
  </r>
  <r>
    <x v="11"/>
    <s v="44"/>
    <x v="11"/>
    <s v="UK"/>
    <x v="4"/>
    <d v="2013-07-02T00:00:00"/>
    <n v="0"/>
    <x v="11"/>
    <x v="5"/>
    <n v="15"/>
    <n v="18"/>
    <n v="20"/>
    <n v="21"/>
    <n v="24"/>
    <n v="-26"/>
    <x v="11"/>
    <x v="12"/>
    <x v="12"/>
    <x v="12"/>
    <x v="0"/>
    <x v="18"/>
    <n v="97.6"/>
    <x v="18"/>
    <n v="156.15217432083526"/>
    <x v="18"/>
    <n v="72.000000000000028"/>
    <n v="325.75217432083525"/>
    <n v="425.348994125177"/>
    <n v="11"/>
    <x v="1"/>
    <x v="1"/>
    <x v="3"/>
    <x v="10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13"/>
    <x v="1"/>
    <x v="1"/>
    <x v="19"/>
    <n v="156.15217432083526"/>
    <x v="19"/>
    <n v="325.75217432083525"/>
    <x v="19"/>
    <n v="0"/>
    <n v="0"/>
    <n v="0"/>
    <n v="0"/>
    <x v="1"/>
    <x v="0"/>
    <x v="1"/>
    <x v="1"/>
  </r>
  <r>
    <x v="12"/>
    <s v="56"/>
    <x v="12"/>
    <s v="UM"/>
    <x v="4"/>
    <d v="2013-12-24T00:00:00"/>
    <n v="0"/>
    <x v="12"/>
    <x v="3"/>
    <n v="20"/>
    <n v="23"/>
    <n v="25"/>
    <n v="27"/>
    <n v="30"/>
    <n v="-32"/>
    <x v="12"/>
    <x v="13"/>
    <x v="13"/>
    <x v="13"/>
    <x v="0"/>
    <x v="20"/>
    <n v="112.8"/>
    <x v="20"/>
    <n v="169.02519261403816"/>
    <x v="20"/>
    <n v="84.000000000000028"/>
    <n v="365.8251926140382"/>
    <n v="506.50189769003464"/>
    <n v="11"/>
    <x v="1"/>
    <x v="0"/>
    <x v="3"/>
    <x v="11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14"/>
    <x v="1"/>
    <x v="1"/>
    <x v="21"/>
    <n v="169.02519261403816"/>
    <x v="21"/>
    <n v="365.8251926140382"/>
    <x v="21"/>
    <n v="0"/>
    <n v="0"/>
    <n v="0"/>
    <n v="0"/>
    <x v="1"/>
    <x v="0"/>
    <x v="1"/>
    <x v="1"/>
  </r>
  <r>
    <x v="13"/>
    <s v="56"/>
    <x v="13"/>
    <s v="UM"/>
    <x v="4"/>
    <d v="2013-10-18T00:00:00"/>
    <n v="0"/>
    <x v="13"/>
    <x v="3"/>
    <n v="-15"/>
    <n v="15"/>
    <n v="-18"/>
    <n v="17"/>
    <n v="19"/>
    <n v="20"/>
    <x v="13"/>
    <x v="14"/>
    <x v="14"/>
    <x v="14"/>
    <x v="0"/>
    <x v="22"/>
    <n v="104"/>
    <x v="22"/>
    <n v="145.75538836785259"/>
    <x v="22"/>
    <n v="60"/>
    <n v="309.75538836785256"/>
    <n v="420.65622734339263"/>
    <n v="11"/>
    <x v="1"/>
    <x v="0"/>
    <x v="3"/>
    <x v="12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15"/>
    <x v="1"/>
    <x v="1"/>
    <x v="23"/>
    <n v="145.75538836785259"/>
    <x v="23"/>
    <n v="309.75538836785256"/>
    <x v="23"/>
    <n v="0"/>
    <n v="0"/>
    <n v="0"/>
    <n v="0"/>
    <x v="1"/>
    <x v="0"/>
    <x v="1"/>
    <x v="1"/>
  </r>
  <r>
    <x v="14"/>
    <s v="56"/>
    <x v="14"/>
    <s v="UM"/>
    <x v="4"/>
    <d v="2013-05-21T00:00:00"/>
    <n v="0"/>
    <x v="14"/>
    <x v="5"/>
    <n v="12"/>
    <n v="15"/>
    <n v="18"/>
    <n v="18"/>
    <n v="-21"/>
    <n v="21"/>
    <x v="14"/>
    <x v="15"/>
    <x v="15"/>
    <x v="15"/>
    <x v="0"/>
    <x v="24"/>
    <n v="82"/>
    <x v="24"/>
    <n v="65.64884232838439"/>
    <x v="24"/>
    <n v="3.9999999999999858"/>
    <n v="151.64884232838438"/>
    <n v="229.82608968126959"/>
    <n v="12"/>
    <x v="1"/>
    <x v="0"/>
    <x v="3"/>
    <x v="13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16"/>
    <x v="1"/>
    <x v="1"/>
    <x v="25"/>
    <n v="65.64884232838439"/>
    <x v="25"/>
    <n v="151.64884232838438"/>
    <x v="25"/>
    <n v="0"/>
    <n v="0"/>
    <n v="0"/>
    <n v="0"/>
    <x v="1"/>
    <x v="0"/>
    <x v="1"/>
    <x v="1"/>
  </r>
  <r>
    <x v="15"/>
    <s v="56"/>
    <x v="15"/>
    <s v="UM"/>
    <x v="4"/>
    <d v="2013-06-30T00:00:00"/>
    <n v="0"/>
    <x v="15"/>
    <x v="5"/>
    <n v="15"/>
    <n v="-18"/>
    <n v="18"/>
    <n v="28"/>
    <n v="31"/>
    <n v="-35"/>
    <x v="14"/>
    <x v="16"/>
    <x v="16"/>
    <x v="16"/>
    <x v="0"/>
    <x v="26"/>
    <n v="102.2"/>
    <x v="22"/>
    <n v="125.63505324053268"/>
    <x v="22"/>
    <n v="60"/>
    <n v="287.83505324053272"/>
    <n v="388.61733332980037"/>
    <n v="11"/>
    <x v="1"/>
    <x v="0"/>
    <x v="3"/>
    <x v="14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17"/>
    <x v="1"/>
    <x v="1"/>
    <x v="27"/>
    <n v="125.63505324053268"/>
    <x v="23"/>
    <n v="287.83505324053272"/>
    <x v="26"/>
    <n v="0"/>
    <n v="0"/>
    <n v="0"/>
    <n v="0"/>
    <x v="1"/>
    <x v="0"/>
    <x v="1"/>
    <x v="1"/>
  </r>
  <r>
    <x v="16"/>
    <s v="63"/>
    <x v="16"/>
    <s v="UK"/>
    <x v="5"/>
    <d v="2012-10-18T00:00:00"/>
    <n v="0"/>
    <x v="16"/>
    <x v="0"/>
    <n v="-30"/>
    <n v="30"/>
    <n v="-33"/>
    <n v="-37"/>
    <n v="-37"/>
    <n v="37"/>
    <x v="15"/>
    <x v="17"/>
    <x v="17"/>
    <x v="17"/>
    <x v="0"/>
    <x v="28"/>
    <n v="101.6"/>
    <x v="26"/>
    <n v="119.474417685296"/>
    <x v="27"/>
    <n v="68.000000000000043"/>
    <n v="289.07441768529605"/>
    <n v="394.77040377727894"/>
    <n v="12"/>
    <x v="1"/>
    <x v="1"/>
    <x v="4"/>
    <x v="15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18"/>
    <x v="1"/>
    <x v="1"/>
    <x v="29"/>
    <n v="119.474417685296"/>
    <x v="27"/>
    <n v="289.07441768529605"/>
    <x v="28"/>
    <n v="0"/>
    <n v="0"/>
    <n v="0"/>
    <n v="0"/>
    <x v="1"/>
    <x v="0"/>
    <x v="1"/>
    <x v="1"/>
  </r>
  <r>
    <x v="17"/>
    <s v="53"/>
    <x v="17"/>
    <s v="UK"/>
    <x v="5"/>
    <d v="2012-03-08T00:00:00"/>
    <n v="0"/>
    <x v="17"/>
    <x v="5"/>
    <n v="22"/>
    <n v="-25"/>
    <n v="25"/>
    <n v="31"/>
    <n v="34"/>
    <n v="-37"/>
    <x v="12"/>
    <x v="18"/>
    <x v="18"/>
    <x v="18"/>
    <x v="0"/>
    <x v="30"/>
    <n v="102"/>
    <x v="28"/>
    <n v="130.99796141939848"/>
    <x v="29"/>
    <n v="43.999999999999986"/>
    <n v="276.99796141939845"/>
    <n v="384.90930655611044"/>
    <n v="13"/>
    <x v="1"/>
    <x v="1"/>
    <x v="4"/>
    <x v="16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19"/>
    <x v="1"/>
    <x v="1"/>
    <x v="31"/>
    <n v="130.99796141939848"/>
    <x v="29"/>
    <n v="276.99796141939845"/>
    <x v="30"/>
    <n v="0"/>
    <n v="0"/>
    <n v="0"/>
    <n v="0"/>
    <x v="1"/>
    <x v="0"/>
    <x v="1"/>
    <x v="1"/>
  </r>
  <r>
    <x v="18"/>
    <s v="56"/>
    <x v="18"/>
    <s v="UM"/>
    <x v="5"/>
    <d v="2011-06-04T00:00:00"/>
    <n v="0"/>
    <x v="18"/>
    <x v="2"/>
    <n v="30"/>
    <n v="33"/>
    <n v="34"/>
    <n v="37"/>
    <n v="41"/>
    <n v="42"/>
    <x v="16"/>
    <x v="19"/>
    <x v="19"/>
    <x v="19"/>
    <x v="0"/>
    <x v="32"/>
    <n v="120.8"/>
    <x v="30"/>
    <n v="139.03074838674397"/>
    <x v="31"/>
    <n v="100"/>
    <n v="359.83074838674395"/>
    <n v="538.41672377929399"/>
    <n v="14"/>
    <x v="1"/>
    <x v="0"/>
    <x v="4"/>
    <x v="17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20"/>
    <x v="1"/>
    <x v="1"/>
    <x v="33"/>
    <n v="139.03074838674397"/>
    <x v="31"/>
    <n v="359.83074838674395"/>
    <x v="32"/>
    <n v="0"/>
    <n v="0"/>
    <n v="0"/>
    <n v="0"/>
    <x v="1"/>
    <x v="0"/>
    <x v="1"/>
    <x v="1"/>
  </r>
  <r>
    <x v="19"/>
    <n v="56"/>
    <x v="19"/>
    <s v="UM"/>
    <x v="5"/>
    <d v="2012-10-17T00:00:00"/>
    <n v="0"/>
    <x v="19"/>
    <x v="0"/>
    <n v="18"/>
    <n v="22"/>
    <n v="-26"/>
    <n v="25"/>
    <n v="28"/>
    <n v="30"/>
    <x v="17"/>
    <x v="13"/>
    <x v="20"/>
    <x v="20"/>
    <x v="0"/>
    <x v="34"/>
    <n v="112.6"/>
    <x v="32"/>
    <n v="166.40299874987485"/>
    <x v="33"/>
    <n v="68.000000000000043"/>
    <n v="347.00299874987491"/>
    <n v="481.67935571475419"/>
    <n v="12"/>
    <x v="1"/>
    <x v="0"/>
    <x v="4"/>
    <x v="18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8"/>
    <x v="1"/>
    <x v="1"/>
    <x v="35"/>
    <n v="166.40299874987485"/>
    <x v="27"/>
    <n v="347.00299874987491"/>
    <x v="34"/>
    <n v="0"/>
    <n v="0"/>
    <n v="0"/>
    <n v="0"/>
    <x v="1"/>
    <x v="0"/>
    <x v="1"/>
    <x v="1"/>
  </r>
  <r>
    <x v="1"/>
    <n v="0"/>
    <x v="1"/>
    <n v="0"/>
    <x v="1"/>
    <n v="0"/>
    <n v="0"/>
    <x v="1"/>
    <x v="1"/>
    <n v="0"/>
    <n v="0"/>
    <n v="0"/>
    <n v="0"/>
    <n v="0"/>
    <n v="0"/>
    <x v="8"/>
    <x v="9"/>
    <x v="8"/>
    <x v="9"/>
    <x v="0"/>
    <x v="8"/>
    <n v="0"/>
    <x v="8"/>
    <n v="0"/>
    <x v="8"/>
    <n v="0"/>
    <n v="0"/>
    <n v="45829"/>
    <b v="0"/>
    <x v="1"/>
    <x v="0"/>
    <x v="1"/>
    <x v="19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8"/>
    <x v="1"/>
    <x v="1"/>
    <x v="9"/>
    <s v=""/>
    <x v="9"/>
    <s v=""/>
    <x v="9"/>
    <n v="0"/>
    <n v="0"/>
    <n v="0"/>
    <n v="0"/>
    <x v="1"/>
    <x v="0"/>
    <x v="1"/>
    <x v="1"/>
  </r>
  <r>
    <x v="1"/>
    <n v="0"/>
    <x v="1"/>
    <n v="0"/>
    <x v="1"/>
    <n v="0"/>
    <n v="0"/>
    <x v="20"/>
    <x v="1"/>
    <n v="0"/>
    <n v="0"/>
    <n v="0"/>
    <n v="0"/>
    <n v="0"/>
    <n v="0"/>
    <x v="8"/>
    <x v="9"/>
    <x v="8"/>
    <x v="9"/>
    <x v="0"/>
    <x v="8"/>
    <n v="0"/>
    <x v="8"/>
    <n v="0"/>
    <x v="8"/>
    <n v="0"/>
    <n v="0"/>
    <n v="45829"/>
    <b v="0"/>
    <x v="1"/>
    <x v="0"/>
    <x v="1"/>
    <x v="19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10"/>
    <x v="1"/>
    <x v="1"/>
    <x v="9"/>
    <s v=""/>
    <x v="9"/>
    <s v=""/>
    <x v="9"/>
    <n v="0"/>
    <n v="0"/>
    <n v="0"/>
    <n v="0"/>
    <x v="1"/>
    <x v="0"/>
    <x v="1"/>
    <x v="1"/>
  </r>
  <r>
    <x v="20"/>
    <s v="63"/>
    <x v="20"/>
    <s v="UK"/>
    <x v="6"/>
    <d v="2009-04-24T00:00:00"/>
    <n v="0"/>
    <x v="21"/>
    <x v="3"/>
    <n v="54"/>
    <n v="56"/>
    <n v="58"/>
    <n v="67"/>
    <n v="70"/>
    <n v="-72"/>
    <x v="18"/>
    <x v="20"/>
    <x v="21"/>
    <x v="21"/>
    <x v="0"/>
    <x v="36"/>
    <n v="136.6"/>
    <x v="33"/>
    <n v="152.22205489266796"/>
    <x v="35"/>
    <n v="120"/>
    <n v="408.82205489266795"/>
    <n v="618.09293472202694"/>
    <n v="16"/>
    <x v="2"/>
    <x v="1"/>
    <x v="5"/>
    <x v="20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22"/>
    <x v="1"/>
    <x v="1"/>
    <x v="37"/>
    <n v="152.22205489266796"/>
    <x v="34"/>
    <n v="408.82205489266795"/>
    <x v="36"/>
    <n v="0"/>
    <n v="0"/>
    <n v="0"/>
    <n v="0"/>
    <x v="2"/>
    <x v="0"/>
    <x v="1"/>
    <x v="1"/>
  </r>
  <r>
    <x v="21"/>
    <s v="69"/>
    <x v="21"/>
    <s v="UK"/>
    <x v="7"/>
    <d v="2008-06-20T00:00:00"/>
    <n v="0"/>
    <x v="22"/>
    <x v="3"/>
    <n v="-59"/>
    <n v="-59"/>
    <n v="59"/>
    <n v="72"/>
    <n v="76"/>
    <n v="-78"/>
    <x v="19"/>
    <x v="21"/>
    <x v="23"/>
    <x v="22"/>
    <x v="0"/>
    <x v="38"/>
    <n v="126.19999999999999"/>
    <x v="35"/>
    <n v="115.76222587387547"/>
    <x v="37"/>
    <n v="100"/>
    <n v="341.96222587387547"/>
    <n v="546.82566497899961"/>
    <n v="17"/>
    <x v="2"/>
    <x v="1"/>
    <x v="6"/>
    <x v="21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24"/>
    <x v="1"/>
    <x v="1"/>
    <x v="39"/>
    <n v="115.76222587387547"/>
    <x v="31"/>
    <n v="341.96222587387547"/>
    <x v="38"/>
    <n v="0"/>
    <n v="0"/>
    <n v="0"/>
    <n v="0"/>
    <x v="2"/>
    <x v="0"/>
    <x v="1"/>
    <x v="1"/>
  </r>
  <r>
    <x v="1"/>
    <n v="0"/>
    <x v="1"/>
    <n v="0"/>
    <x v="1"/>
    <d v="1899-12-30T00:00:00"/>
    <n v="0"/>
    <x v="1"/>
    <x v="1"/>
    <n v="0"/>
    <n v="0"/>
    <n v="0"/>
    <n v="0"/>
    <n v="0"/>
    <n v="0"/>
    <x v="8"/>
    <x v="9"/>
    <x v="8"/>
    <x v="9"/>
    <x v="0"/>
    <x v="8"/>
    <s v=""/>
    <x v="8"/>
    <s v=""/>
    <x v="8"/>
    <s v=""/>
    <s v=""/>
    <s v=""/>
    <n v="125"/>
    <x v="2"/>
    <x v="0"/>
    <x v="1"/>
    <x v="5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8"/>
    <x v="1"/>
    <x v="1"/>
    <x v="9"/>
    <s v=""/>
    <x v="9"/>
    <s v=""/>
    <x v="9"/>
    <n v="0"/>
    <n v="0"/>
    <n v="0"/>
    <n v="0"/>
    <x v="2"/>
    <x v="0"/>
    <x v="1"/>
    <x v="1"/>
  </r>
  <r>
    <x v="22"/>
    <s v="63"/>
    <x v="22"/>
    <s v="SK"/>
    <x v="2"/>
    <d v="2001-11-18T00:00:00"/>
    <n v="0"/>
    <x v="23"/>
    <x v="0"/>
    <n v="48"/>
    <n v="52"/>
    <n v="57"/>
    <n v="69"/>
    <n v="74"/>
    <n v="77"/>
    <x v="20"/>
    <x v="22"/>
    <x v="25"/>
    <x v="23"/>
    <x v="0"/>
    <x v="40"/>
    <n v="138.4"/>
    <x v="36"/>
    <n v="155.77029660626366"/>
    <x v="39"/>
    <n v="124.00000000000003"/>
    <n v="418.17029660626372"/>
    <n v="635.71435150915306"/>
    <n v="23"/>
    <x v="2"/>
    <x v="1"/>
    <x v="2"/>
    <x v="22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26"/>
    <x v="1"/>
    <x v="1"/>
    <x v="41"/>
    <n v="155.77029660626366"/>
    <x v="37"/>
    <n v="418.17029660626372"/>
    <x v="40"/>
    <n v="0"/>
    <n v="0"/>
    <n v="0"/>
    <n v="0"/>
    <x v="2"/>
    <x v="0"/>
    <x v="1"/>
    <x v="1"/>
  </r>
  <r>
    <x v="23"/>
    <s v="77"/>
    <x v="23"/>
    <s v="K40"/>
    <x v="3"/>
    <d v="1982-02-18T00:00:00"/>
    <n v="0"/>
    <x v="24"/>
    <x v="3"/>
    <n v="52"/>
    <n v="56"/>
    <n v="60"/>
    <n v="73"/>
    <n v="-77"/>
    <n v="78"/>
    <x v="21"/>
    <x v="10"/>
    <x v="27"/>
    <x v="24"/>
    <x v="6"/>
    <x v="42"/>
    <n v="122.6"/>
    <x v="38"/>
    <n v="108.7877389492087"/>
    <x v="41"/>
    <n v="92.000000000000028"/>
    <n v="323.38773894920871"/>
    <n v="620.02915035807314"/>
    <n v="43"/>
    <x v="2"/>
    <x v="1"/>
    <x v="1"/>
    <x v="23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28"/>
    <x v="1"/>
    <x v="1"/>
    <x v="43"/>
    <n v="108.7877389492087"/>
    <x v="39"/>
    <n v="323.38773894920871"/>
    <x v="42"/>
    <n v="0"/>
    <n v="0"/>
    <n v="0"/>
    <n v="0"/>
    <x v="2"/>
    <x v="0"/>
    <x v="1"/>
    <x v="1"/>
  </r>
  <r>
    <x v="24"/>
    <s v="63"/>
    <x v="24"/>
    <s v="K40"/>
    <x v="3"/>
    <d v="1983-08-01T00:00:00"/>
    <n v="0"/>
    <x v="25"/>
    <x v="4"/>
    <n v="50"/>
    <n v="53"/>
    <n v="56"/>
    <n v="70"/>
    <n v="-74"/>
    <n v="-74"/>
    <x v="22"/>
    <x v="20"/>
    <x v="29"/>
    <x v="25"/>
    <x v="7"/>
    <x v="44"/>
    <n v="132"/>
    <x v="40"/>
    <n v="140.73243630739429"/>
    <x v="43"/>
    <n v="112.00000000000003"/>
    <n v="384.73243630739432"/>
    <n v="683.31425499011618"/>
    <n v="41"/>
    <x v="2"/>
    <x v="1"/>
    <x v="1"/>
    <x v="24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30"/>
    <x v="1"/>
    <x v="1"/>
    <x v="45"/>
    <n v="140.73243630739429"/>
    <x v="41"/>
    <n v="384.73243630739432"/>
    <x v="44"/>
    <n v="0"/>
    <n v="0"/>
    <n v="0"/>
    <n v="0"/>
    <x v="2"/>
    <x v="0"/>
    <x v="1"/>
    <x v="1"/>
  </r>
  <r>
    <x v="25"/>
    <s v="+86"/>
    <x v="25"/>
    <s v="K45"/>
    <x v="3"/>
    <d v="1978-05-10T00:00:00"/>
    <n v="0"/>
    <x v="26"/>
    <x v="0"/>
    <n v="35"/>
    <n v="39"/>
    <n v="-42"/>
    <n v="40"/>
    <n v="45"/>
    <n v="50"/>
    <x v="23"/>
    <x v="23"/>
    <x v="31"/>
    <x v="26"/>
    <x v="8"/>
    <x v="8"/>
    <s v=""/>
    <x v="8"/>
    <s v=""/>
    <x v="8"/>
    <s v=""/>
    <s v=""/>
    <n v="0"/>
    <n v="47"/>
    <x v="2"/>
    <x v="1"/>
    <x v="1"/>
    <x v="1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32"/>
    <x v="1"/>
    <x v="1"/>
    <x v="9"/>
    <s v=""/>
    <x v="9"/>
    <s v=""/>
    <x v="8"/>
    <n v="0"/>
    <n v="0"/>
    <n v="0"/>
    <n v="0"/>
    <x v="2"/>
    <x v="0"/>
    <x v="1"/>
    <x v="1"/>
  </r>
  <r>
    <x v="26"/>
    <s v="69"/>
    <x v="26"/>
    <s v="K45"/>
    <x v="3"/>
    <d v="1977-03-19T00:00:00"/>
    <n v="0"/>
    <x v="27"/>
    <x v="5"/>
    <n v="17"/>
    <n v="19"/>
    <n v="21"/>
    <n v="20"/>
    <n v="23"/>
    <n v="26"/>
    <x v="24"/>
    <x v="24"/>
    <x v="33"/>
    <x v="27"/>
    <x v="9"/>
    <x v="46"/>
    <n v="99.2"/>
    <x v="42"/>
    <n v="90.361013625085931"/>
    <x v="45"/>
    <n v="20"/>
    <n v="209.56101362508593"/>
    <n v="360.61422039479038"/>
    <n v="48"/>
    <x v="2"/>
    <x v="1"/>
    <x v="1"/>
    <x v="25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34"/>
    <x v="1"/>
    <x v="1"/>
    <x v="47"/>
    <n v="90.361013625085931"/>
    <x v="43"/>
    <n v="209.56101362508593"/>
    <x v="46"/>
    <n v="0"/>
    <n v="0"/>
    <n v="0"/>
    <n v="0"/>
    <x v="2"/>
    <x v="0"/>
    <x v="1"/>
    <x v="1"/>
  </r>
  <r>
    <x v="27"/>
    <s v="86"/>
    <x v="27"/>
    <s v="K45"/>
    <x v="3"/>
    <d v="1976-09-09T00:00:00"/>
    <n v="0"/>
    <x v="28"/>
    <x v="0"/>
    <n v="37"/>
    <n v="40"/>
    <n v="-43"/>
    <n v="48"/>
    <n v="-53"/>
    <n v="-53"/>
    <x v="25"/>
    <x v="25"/>
    <x v="35"/>
    <x v="28"/>
    <x v="10"/>
    <x v="48"/>
    <n v="99"/>
    <x v="44"/>
    <n v="93.340680464180082"/>
    <x v="47"/>
    <n v="16.000000000000014"/>
    <n v="208.34068046418008"/>
    <n v="430.97238594841997"/>
    <n v="48"/>
    <x v="2"/>
    <x v="1"/>
    <x v="1"/>
    <x v="26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36"/>
    <x v="1"/>
    <x v="1"/>
    <x v="49"/>
    <n v="93.340680464180082"/>
    <x v="45"/>
    <n v="208.34068046418008"/>
    <x v="48"/>
    <n v="0"/>
    <n v="0"/>
    <n v="0"/>
    <n v="0"/>
    <x v="2"/>
    <x v="0"/>
    <x v="1"/>
    <x v="1"/>
  </r>
  <r>
    <x v="28"/>
    <n v="77"/>
    <x v="28"/>
    <s v="K50"/>
    <x v="3"/>
    <d v="1975-04-19T00:00:00"/>
    <n v="0"/>
    <x v="29"/>
    <x v="0"/>
    <n v="40"/>
    <n v="43"/>
    <n v="-46"/>
    <n v="58"/>
    <n v="62"/>
    <n v="65"/>
    <x v="26"/>
    <x v="26"/>
    <x v="37"/>
    <x v="29"/>
    <x v="11"/>
    <x v="50"/>
    <n v="97.2"/>
    <x v="46"/>
    <n v="119.11719946758784"/>
    <x v="49"/>
    <n v="0"/>
    <n v="216.31719946758784"/>
    <n v="495.32472462783079"/>
    <n v="50"/>
    <x v="2"/>
    <x v="1"/>
    <x v="1"/>
    <x v="27"/>
  </r>
  <r>
    <x v="1"/>
    <n v="0"/>
    <x v="1"/>
    <n v="0"/>
    <x v="1"/>
    <n v="0"/>
    <n v="0"/>
    <x v="20"/>
    <x v="1"/>
    <n v="0"/>
    <n v="0"/>
    <n v="0"/>
    <n v="0"/>
    <n v="0"/>
    <n v="0"/>
    <x v="1"/>
    <x v="1"/>
    <x v="38"/>
    <x v="1"/>
    <x v="1"/>
    <x v="51"/>
    <n v="119.11719946758784"/>
    <x v="8"/>
    <n v="216.31719946758784"/>
    <x v="50"/>
    <n v="0"/>
    <n v="0"/>
    <n v="0"/>
    <n v="0"/>
    <x v="2"/>
    <x v="0"/>
    <x v="1"/>
    <x v="1"/>
  </r>
  <r>
    <x v="1"/>
    <n v="0"/>
    <x v="1"/>
    <n v="0"/>
    <x v="1"/>
    <n v="0"/>
    <n v="0"/>
    <x v="1"/>
    <x v="1"/>
    <n v="0"/>
    <n v="0"/>
    <n v="0"/>
    <n v="0"/>
    <n v="0"/>
    <n v="0"/>
    <x v="8"/>
    <x v="9"/>
    <x v="8"/>
    <x v="9"/>
    <x v="0"/>
    <x v="8"/>
    <n v="0"/>
    <x v="8"/>
    <n v="0"/>
    <x v="8"/>
    <n v="0"/>
    <n v="0"/>
    <n v="45829"/>
    <b v="0"/>
    <x v="2"/>
    <x v="0"/>
    <x v="1"/>
    <x v="19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8"/>
    <x v="1"/>
    <x v="1"/>
    <x v="9"/>
    <s v=""/>
    <x v="9"/>
    <s v=""/>
    <x v="9"/>
    <n v="0"/>
    <n v="0"/>
    <n v="0"/>
    <n v="0"/>
    <x v="2"/>
    <x v="0"/>
    <x v="1"/>
    <x v="1"/>
  </r>
  <r>
    <x v="1"/>
    <n v="0"/>
    <x v="1"/>
    <n v="0"/>
    <x v="1"/>
    <n v="0"/>
    <n v="0"/>
    <x v="20"/>
    <x v="1"/>
    <n v="0"/>
    <n v="0"/>
    <n v="0"/>
    <n v="0"/>
    <n v="0"/>
    <n v="0"/>
    <x v="8"/>
    <x v="9"/>
    <x v="8"/>
    <x v="9"/>
    <x v="0"/>
    <x v="8"/>
    <n v="0"/>
    <x v="8"/>
    <n v="0"/>
    <x v="8"/>
    <n v="0"/>
    <n v="0"/>
    <n v="45829"/>
    <b v="0"/>
    <x v="2"/>
    <x v="0"/>
    <x v="1"/>
    <x v="19"/>
  </r>
  <r>
    <x v="1"/>
    <n v="0"/>
    <x v="1"/>
    <n v="0"/>
    <x v="1"/>
    <n v="0"/>
    <n v="0"/>
    <x v="1"/>
    <x v="1"/>
    <n v="0"/>
    <n v="0"/>
    <n v="0"/>
    <n v="0"/>
    <n v="0"/>
    <n v="0"/>
    <x v="1"/>
    <x v="1"/>
    <x v="8"/>
    <x v="1"/>
    <x v="1"/>
    <x v="9"/>
    <s v=""/>
    <x v="9"/>
    <s v=""/>
    <x v="9"/>
    <n v="0"/>
    <n v="0"/>
    <n v="0"/>
    <n v="0"/>
    <x v="2"/>
    <x v="0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CA1CC9-A65F-479B-967A-B7AA4AABEB36}" name="PivotTable7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compact="0" compactData="0" multipleFieldFilters="0">
  <location ref="A5:K24" firstHeaderRow="0" firstDataRow="1" firstDataCol="6" rowPageCount="3" colPageCount="1"/>
  <pivotFields count="33">
    <pivotField axis="axisPage" compact="0" outline="0" multipleItemSelectionAllowed="1" showAll="0">
      <items count="44">
        <item h="1" x="1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m="1" x="29"/>
        <item m="1" x="30"/>
        <item x="22"/>
        <item x="23"/>
        <item x="24"/>
        <item x="25"/>
        <item x="26"/>
        <item x="27"/>
        <item x="28"/>
        <item x="2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2" outline="0" showAll="0" defaultSubtotal="0">
      <items count="40">
        <item x="1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x="0"/>
        <item x="2"/>
        <item x="3"/>
        <item m="1" x="29"/>
        <item x="5"/>
        <item x="6"/>
        <item x="7"/>
        <item x="8"/>
        <item x="9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4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2"/>
        <item x="0"/>
        <item x="7"/>
        <item x="6"/>
        <item x="5"/>
        <item x="4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">
        <item x="1"/>
        <item x="20"/>
        <item x="2"/>
        <item x="23"/>
        <item x="24"/>
        <item x="28"/>
        <item x="13"/>
        <item x="3"/>
        <item x="6"/>
        <item x="22"/>
        <item x="9"/>
        <item x="14"/>
        <item x="19"/>
        <item x="10"/>
        <item x="21"/>
        <item x="26"/>
        <item x="17"/>
        <item x="16"/>
        <item x="29"/>
        <item x="25"/>
        <item x="11"/>
        <item x="12"/>
        <item x="4"/>
        <item x="0"/>
        <item x="5"/>
        <item x="27"/>
        <item x="8"/>
        <item x="7"/>
        <item x="18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1"/>
        <item x="0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sortType="ascending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numFmtId="1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7">
        <item x="3"/>
        <item x="4"/>
        <item x="5"/>
        <item x="6"/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85">
        <item x="19"/>
        <item x="6"/>
        <item m="1" x="32"/>
        <item x="7"/>
        <item m="1" x="33"/>
        <item m="1" x="64"/>
        <item x="8"/>
        <item m="1" x="34"/>
        <item m="1" x="63"/>
        <item x="24"/>
        <item m="1" x="84"/>
        <item m="1" x="49"/>
        <item m="1" x="62"/>
        <item m="1" x="83"/>
        <item m="1" x="82"/>
        <item x="23"/>
        <item m="1" x="48"/>
        <item m="1" x="61"/>
        <item m="1" x="81"/>
        <item m="1" x="80"/>
        <item m="1" x="79"/>
        <item m="1" x="60"/>
        <item x="27"/>
        <item x="26"/>
        <item m="1" x="51"/>
        <item x="25"/>
        <item m="1" x="50"/>
        <item x="1"/>
        <item m="1" x="54"/>
        <item x="4"/>
        <item m="1" x="31"/>
        <item x="3"/>
        <item m="1" x="30"/>
        <item x="22"/>
        <item m="1" x="47"/>
        <item m="1" x="59"/>
        <item m="1" x="58"/>
        <item m="1" x="57"/>
        <item m="1" x="78"/>
        <item x="0"/>
        <item m="1" x="28"/>
        <item x="2"/>
        <item m="1" x="53"/>
        <item m="1" x="29"/>
        <item m="1" x="56"/>
        <item m="1" x="55"/>
        <item x="21"/>
        <item m="1" x="46"/>
        <item m="1" x="77"/>
        <item m="1" x="76"/>
        <item x="20"/>
        <item m="1" x="45"/>
        <item m="1" x="75"/>
        <item m="1" x="74"/>
        <item x="17"/>
        <item m="1" x="43"/>
        <item m="1" x="73"/>
        <item m="1" x="72"/>
        <item x="18"/>
        <item m="1" x="71"/>
        <item m="1" x="44"/>
        <item x="15"/>
        <item m="1" x="41"/>
        <item x="16"/>
        <item m="1" x="42"/>
        <item x="11"/>
        <item m="1" x="37"/>
        <item m="1" x="70"/>
        <item m="1" x="69"/>
        <item m="1" x="68"/>
        <item m="1" x="67"/>
        <item x="10"/>
        <item x="12"/>
        <item m="1" x="66"/>
        <item m="1" x="36"/>
        <item m="1" x="38"/>
        <item m="1" x="65"/>
        <item x="14"/>
        <item m="1" x="40"/>
        <item m="1" x="52"/>
        <item x="9"/>
        <item m="1" x="35"/>
        <item x="13"/>
        <item m="1" x="39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1"/>
    <field x="32"/>
    <field x="4"/>
    <field x="2"/>
    <field x="7"/>
    <field x="8"/>
  </rowFields>
  <rowItems count="19">
    <i>
      <x/>
      <x v="71"/>
      <x v="5"/>
      <x v="21"/>
      <x v="20"/>
      <x v="5"/>
    </i>
    <i r="1">
      <x v="80"/>
      <x v="5"/>
      <x v="20"/>
      <x v="13"/>
      <x v="3"/>
    </i>
    <i t="blank">
      <x/>
    </i>
    <i>
      <x v="1"/>
      <x v="61"/>
      <x v="4"/>
      <x v="25"/>
      <x v="17"/>
      <x v="1"/>
    </i>
    <i r="1">
      <x v="63"/>
      <x v="4"/>
      <x v="26"/>
      <x v="16"/>
      <x v="5"/>
    </i>
    <i t="blank">
      <x v="1"/>
    </i>
    <i>
      <x v="2"/>
      <x v="50"/>
      <x v="3"/>
      <x v="29"/>
      <x v="14"/>
      <x v="3"/>
    </i>
    <i t="blank">
      <x v="2"/>
    </i>
    <i>
      <x v="3"/>
      <x v="46"/>
      <x v="2"/>
      <x v="30"/>
      <x v="9"/>
      <x v="3"/>
    </i>
    <i t="blank">
      <x v="3"/>
    </i>
    <i>
      <x v="5"/>
      <x v="33"/>
      <x/>
      <x v="31"/>
      <x v="3"/>
      <x v="1"/>
    </i>
    <i t="blank">
      <x v="5"/>
    </i>
    <i>
      <x v="6"/>
      <x v="9"/>
      <x v="6"/>
      <x v="33"/>
      <x v="19"/>
      <x v="4"/>
    </i>
    <i r="1">
      <x v="15"/>
      <x v="6"/>
      <x v="32"/>
      <x v="4"/>
      <x v="3"/>
    </i>
    <i r="1">
      <x v="22"/>
      <x v="6"/>
      <x v="37"/>
      <x v="18"/>
      <x v="1"/>
    </i>
    <i r="1">
      <x v="23"/>
      <x v="6"/>
      <x v="36"/>
      <x v="5"/>
      <x v="1"/>
    </i>
    <i r="1">
      <x v="25"/>
      <x v="6"/>
      <x v="35"/>
      <x v="25"/>
      <x v="5"/>
    </i>
    <i r="1">
      <x v="27"/>
      <x v="6"/>
      <x v="34"/>
      <x v="15"/>
      <x v="1"/>
    </i>
    <i t="blank">
      <x v="6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0" hier="-1"/>
    <pageField fld="29" hier="-1"/>
    <pageField fld="30" item="0" hier="-1"/>
  </pageFields>
  <dataFields count="5">
    <dataField name="∑ 3-Kamp" fld="26" baseField="8" baseItem="1" numFmtId="2"/>
    <dataField name="∑ 3-HoppPoeng" fld="21" baseField="8" baseItem="1" numFmtId="2"/>
    <dataField name="∑ KulePoeng" fld="23" baseField="8" baseItem="1" numFmtId="2"/>
    <dataField name="∑ 40mPoeng" fld="25" baseField="8" baseItem="1" numFmtId="2"/>
    <dataField name="∑ 5-kamp" fld="27" baseField="8" baseItem="1" numFmtId="4"/>
  </dataFields>
  <formats count="26">
    <format dxfId="206">
      <pivotArea field="0" type="button" dataOnly="0" labelOnly="1" outline="0" axis="axisPage" fieldPosition="0"/>
    </format>
    <format dxfId="205">
      <pivotArea field="29" type="button" dataOnly="0" labelOnly="1" outline="0" axis="axisPage" fieldPosition="1"/>
    </format>
    <format dxfId="204">
      <pivotArea outline="0" fieldPosition="0">
        <references count="1">
          <reference field="4294967294" count="1">
            <x v="1"/>
          </reference>
        </references>
      </pivotArea>
    </format>
    <format dxfId="203">
      <pivotArea outline="0" fieldPosition="0">
        <references count="1">
          <reference field="4294967294" count="1">
            <x v="2"/>
          </reference>
        </references>
      </pivotArea>
    </format>
    <format dxfId="202">
      <pivotArea outline="0" fieldPosition="0">
        <references count="1">
          <reference field="4294967294" count="1">
            <x v="3"/>
          </reference>
        </references>
      </pivotArea>
    </format>
    <format dxfId="201">
      <pivotArea outline="0" fieldPosition="0">
        <references count="1">
          <reference field="4294967294" count="1">
            <x v="0"/>
          </reference>
        </references>
      </pivotArea>
    </format>
    <format dxfId="200">
      <pivotArea outline="0" fieldPosition="0">
        <references count="1">
          <reference field="4294967294" count="1">
            <x v="4"/>
          </reference>
        </references>
      </pivotArea>
    </format>
    <format dxfId="199">
      <pivotArea field="30" type="button" dataOnly="0" labelOnly="1" outline="0" axis="axisPage" fieldPosition="2"/>
    </format>
    <format dxfId="198">
      <pivotArea outline="0" fieldPosition="0">
        <references count="6">
          <reference field="2" count="1" selected="0">
            <x v="37"/>
          </reference>
          <reference field="4" count="1" selected="0">
            <x v="6"/>
          </reference>
          <reference field="7" count="1" selected="0">
            <x v="18"/>
          </reference>
          <reference field="8" count="1" selected="0">
            <x v="1"/>
          </reference>
          <reference field="31" count="1" selected="0">
            <x v="6"/>
          </reference>
          <reference field="32" count="1" selected="0">
            <x v="22"/>
          </reference>
        </references>
      </pivotArea>
    </format>
    <format dxfId="197">
      <pivotArea dataOnly="0" labelOnly="1" outline="0" offset="IV3" fieldPosition="0">
        <references count="1">
          <reference field="31" count="1">
            <x v="6"/>
          </reference>
        </references>
      </pivotArea>
    </format>
    <format dxfId="196">
      <pivotArea dataOnly="0" labelOnly="1" outline="0" fieldPosition="0">
        <references count="2">
          <reference field="31" count="1" selected="0">
            <x v="6"/>
          </reference>
          <reference field="32" count="1">
            <x v="22"/>
          </reference>
        </references>
      </pivotArea>
    </format>
    <format dxfId="195">
      <pivotArea dataOnly="0" labelOnly="1" outline="0" fieldPosition="0">
        <references count="4">
          <reference field="2" count="1">
            <x v="37"/>
          </reference>
          <reference field="4" count="1" selected="0">
            <x v="6"/>
          </reference>
          <reference field="31" count="1" selected="0">
            <x v="6"/>
          </reference>
          <reference field="32" count="1" selected="0">
            <x v="22"/>
          </reference>
        </references>
      </pivotArea>
    </format>
    <format dxfId="194">
      <pivotArea dataOnly="0" labelOnly="1" outline="0" fieldPosition="0">
        <references count="5">
          <reference field="2" count="1" selected="0">
            <x v="37"/>
          </reference>
          <reference field="4" count="1" selected="0">
            <x v="6"/>
          </reference>
          <reference field="7" count="1">
            <x v="18"/>
          </reference>
          <reference field="31" count="1" selected="0">
            <x v="6"/>
          </reference>
          <reference field="32" count="1" selected="0">
            <x v="22"/>
          </reference>
        </references>
      </pivotArea>
    </format>
    <format dxfId="193">
      <pivotArea dataOnly="0" labelOnly="1" outline="0" fieldPosition="0">
        <references count="6">
          <reference field="2" count="1" selected="0">
            <x v="37"/>
          </reference>
          <reference field="4" count="1" selected="0">
            <x v="6"/>
          </reference>
          <reference field="7" count="1" selected="0">
            <x v="18"/>
          </reference>
          <reference field="8" count="1">
            <x v="1"/>
          </reference>
          <reference field="31" count="1" selected="0">
            <x v="6"/>
          </reference>
          <reference field="32" count="1" selected="0">
            <x v="22"/>
          </reference>
        </references>
      </pivotArea>
    </format>
    <format dxfId="192">
      <pivotArea dataOnly="0" labelOnly="1" outline="0" offset="IV4" fieldPosition="0">
        <references count="1">
          <reference field="31" count="1">
            <x v="6"/>
          </reference>
        </references>
      </pivotArea>
    </format>
    <format dxfId="191">
      <pivotArea dataOnly="0" labelOnly="1" outline="0" fieldPosition="0">
        <references count="2">
          <reference field="31" count="1" selected="0">
            <x v="6"/>
          </reference>
          <reference field="32" count="1">
            <x v="24"/>
          </reference>
        </references>
      </pivotArea>
    </format>
    <format dxfId="190">
      <pivotArea outline="0" fieldPosition="0">
        <references count="6">
          <reference field="2" count="1" selected="0">
            <x v="36"/>
          </reference>
          <reference field="4" count="1" selected="0">
            <x v="6"/>
          </reference>
          <reference field="7" count="1" selected="0">
            <x v="5"/>
          </reference>
          <reference field="8" count="1" selected="0">
            <x v="1"/>
          </reference>
          <reference field="31" count="1" selected="0">
            <x v="6"/>
          </reference>
          <reference field="32" count="1" selected="0">
            <x v="24"/>
          </reference>
        </references>
      </pivotArea>
    </format>
    <format dxfId="189">
      <pivotArea dataOnly="0" labelOnly="1" outline="0" fieldPosition="0">
        <references count="4">
          <reference field="2" count="1">
            <x v="36"/>
          </reference>
          <reference field="4" count="1" selected="0">
            <x v="6"/>
          </reference>
          <reference field="31" count="1" selected="0">
            <x v="6"/>
          </reference>
          <reference field="32" count="1" selected="0">
            <x v="24"/>
          </reference>
        </references>
      </pivotArea>
    </format>
    <format dxfId="188">
      <pivotArea dataOnly="0" labelOnly="1" outline="0" fieldPosition="0">
        <references count="5">
          <reference field="2" count="1" selected="0">
            <x v="36"/>
          </reference>
          <reference field="4" count="1" selected="0">
            <x v="6"/>
          </reference>
          <reference field="7" count="1">
            <x v="5"/>
          </reference>
          <reference field="31" count="1" selected="0">
            <x v="6"/>
          </reference>
          <reference field="32" count="1" selected="0">
            <x v="24"/>
          </reference>
        </references>
      </pivotArea>
    </format>
    <format dxfId="187">
      <pivotArea dataOnly="0" labelOnly="1" outline="0" fieldPosition="0">
        <references count="6">
          <reference field="2" count="1" selected="0">
            <x v="36"/>
          </reference>
          <reference field="4" count="1" selected="0">
            <x v="6"/>
          </reference>
          <reference field="7" count="1" selected="0">
            <x v="5"/>
          </reference>
          <reference field="8" count="1">
            <x v="1"/>
          </reference>
          <reference field="31" count="1" selected="0">
            <x v="6"/>
          </reference>
          <reference field="32" count="1" selected="0">
            <x v="24"/>
          </reference>
        </references>
      </pivotArea>
    </format>
    <format dxfId="186">
      <pivotArea dataOnly="0" labelOnly="1" outline="0" offset="IV3:IV4" fieldPosition="0">
        <references count="3">
          <reference field="4" count="1">
            <x v="6"/>
          </reference>
          <reference field="31" count="1" selected="0">
            <x v="6"/>
          </reference>
          <reference field="32" count="1" selected="0">
            <x v="11"/>
          </reference>
        </references>
      </pivotArea>
    </format>
    <format dxfId="185">
      <pivotArea dataOnly="0" labelOnly="1" outline="0" offset="IV3" fieldPosition="0">
        <references count="3">
          <reference field="4" count="1">
            <x v="6"/>
          </reference>
          <reference field="31" count="1" selected="0">
            <x v="6"/>
          </reference>
          <reference field="32" count="1" selected="0">
            <x v="9"/>
          </reference>
        </references>
      </pivotArea>
    </format>
    <format dxfId="184">
      <pivotArea dataOnly="0" labelOnly="1" outline="0" fieldPosition="0">
        <references count="2">
          <reference field="31" count="1" selected="0">
            <x v="6"/>
          </reference>
          <reference field="32" count="1">
            <x v="23"/>
          </reference>
        </references>
      </pivotArea>
    </format>
    <format dxfId="183">
      <pivotArea dataOnly="0" labelOnly="1" outline="0" offset="IV4" fieldPosition="0">
        <references count="3">
          <reference field="4" count="1">
            <x v="6"/>
          </reference>
          <reference field="31" count="1" selected="0">
            <x v="6"/>
          </reference>
          <reference field="32" count="1" selected="0">
            <x v="9"/>
          </reference>
        </references>
      </pivotArea>
    </format>
    <format dxfId="182">
      <pivotArea dataOnly="0" outline="0" fieldPosition="0">
        <references count="4">
          <reference field="2" count="1">
            <x v="36"/>
          </reference>
          <reference field="7" count="0" defaultSubtotal="1" sumSubtotal="1" countASubtotal="1" avgSubtotal="1" maxSubtotal="1" minSubtotal="1" productSubtotal="1" countSubtotal="1" stdDevSubtotal="1" stdDevPSubtotal="1" varSubtotal="1" varPSubtotal="1"/>
          <reference field="8" count="0" defaultSubtotal="1" sumSubtotal="1" countASubtotal="1" avgSubtotal="1" maxSubtotal="1" minSubtotal="1" productSubtotal="1" countSubtotal="1" stdDevSubtotal="1" stdDevPSubtotal="1" varSubtotal="1" varPSubtotal="1"/>
          <reference field="30" count="1" selected="0">
            <x v="0"/>
          </reference>
        </references>
      </pivotArea>
    </format>
    <format dxfId="181">
      <pivotArea dataOnly="0" labelOnly="1" outline="0" fieldPosition="0">
        <references count="1">
          <reference field="3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D292A4-DB05-4D12-8463-24EFD9E243EA}" name="PivotTable7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compact="0" compactData="0" multipleFieldFilters="0">
  <location ref="A5:P25" firstHeaderRow="0" firstDataRow="1" firstDataCol="14" rowPageCount="3" colPageCount="1"/>
  <pivotFields count="33">
    <pivotField axis="axisPage" compact="0" outline="0" multipleItemSelectionAllowed="1" showAll="0">
      <items count="44">
        <item h="1" x="1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m="1" x="29"/>
        <item m="1" x="30"/>
        <item x="22"/>
        <item x="23"/>
        <item x="24"/>
        <item x="25"/>
        <item x="26"/>
        <item x="27"/>
        <item x="28"/>
        <item x="2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2" outline="0" showAll="0" defaultSubtotal="0">
      <items count="40">
        <item x="1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x="0"/>
        <item x="2"/>
        <item x="3"/>
        <item m="1" x="29"/>
        <item x="5"/>
        <item x="6"/>
        <item x="7"/>
        <item x="8"/>
        <item x="9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4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2"/>
        <item x="0"/>
        <item x="7"/>
        <item x="6"/>
        <item x="5"/>
        <item x="4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">
        <item x="1"/>
        <item x="20"/>
        <item x="2"/>
        <item x="23"/>
        <item x="24"/>
        <item x="28"/>
        <item x="13"/>
        <item x="3"/>
        <item x="6"/>
        <item x="22"/>
        <item x="9"/>
        <item x="14"/>
        <item x="19"/>
        <item x="10"/>
        <item x="21"/>
        <item x="26"/>
        <item x="17"/>
        <item x="16"/>
        <item x="29"/>
        <item x="25"/>
        <item x="11"/>
        <item x="12"/>
        <item x="4"/>
        <item x="0"/>
        <item x="5"/>
        <item x="27"/>
        <item x="8"/>
        <item x="7"/>
        <item x="18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1"/>
        <item x="0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1"/>
        <item x="8"/>
        <item x="0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2">
        <item x="1"/>
        <item x="9"/>
        <item x="4"/>
        <item m="1" x="31"/>
        <item x="6"/>
        <item x="7"/>
        <item x="8"/>
        <item x="10"/>
        <item x="0"/>
        <item m="1" x="27"/>
        <item x="3"/>
        <item x="5"/>
        <item x="11"/>
        <item x="12"/>
        <item x="13"/>
        <item x="14"/>
        <item x="15"/>
        <item x="16"/>
        <item x="17"/>
        <item x="18"/>
        <item x="19"/>
        <item x="20"/>
        <item m="1" x="30"/>
        <item m="1" x="28"/>
        <item m="1" x="29"/>
        <item x="23"/>
        <item x="24"/>
        <item x="25"/>
        <item x="26"/>
        <item x="21"/>
        <item x="22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5">
        <item x="10"/>
        <item x="8"/>
        <item x="3"/>
        <item m="1" x="44"/>
        <item x="5"/>
        <item x="6"/>
        <item x="7"/>
        <item x="9"/>
        <item x="0"/>
        <item m="1" x="39"/>
        <item x="2"/>
        <item x="4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m="1" x="40"/>
        <item m="1" x="43"/>
        <item m="1" x="41"/>
        <item m="1" x="42"/>
        <item x="29"/>
        <item x="30"/>
        <item x="31"/>
        <item x="32"/>
        <item x="33"/>
        <item x="34"/>
        <item x="35"/>
        <item x="36"/>
        <item x="37"/>
        <item x="38"/>
        <item x="23"/>
        <item x="24"/>
        <item x="25"/>
        <item x="26"/>
        <item x="27"/>
        <item x="28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7">
        <item x="1"/>
        <item x="9"/>
        <item m="1" x="32"/>
        <item m="1" x="36"/>
        <item x="6"/>
        <item x="7"/>
        <item x="8"/>
        <item x="10"/>
        <item x="0"/>
        <item m="1" x="31"/>
        <item x="3"/>
        <item x="5"/>
        <item x="11"/>
        <item x="12"/>
        <item m="1" x="30"/>
        <item x="14"/>
        <item x="15"/>
        <item x="16"/>
        <item x="17"/>
        <item x="18"/>
        <item x="19"/>
        <item x="20"/>
        <item x="21"/>
        <item m="1" x="35"/>
        <item m="1" x="33"/>
        <item m="1" x="34"/>
        <item x="25"/>
        <item x="26"/>
        <item x="27"/>
        <item x="28"/>
        <item x="29"/>
        <item x="22"/>
        <item x="23"/>
        <item x="24"/>
        <item x="2"/>
        <item x="4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1"/>
        <item x="0"/>
        <item x="2"/>
        <item x="3"/>
        <item x="4"/>
        <item x="5"/>
        <item m="1" x="12"/>
        <item x="7"/>
        <item x="8"/>
        <item x="9"/>
        <item x="10"/>
        <item x="11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2">
        <item x="8"/>
        <item x="9"/>
        <item x="0"/>
        <item x="1"/>
        <item x="2"/>
        <item x="3"/>
        <item x="4"/>
        <item x="5"/>
        <item x="6"/>
        <item x="7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4">
        <item x="8"/>
        <item x="9"/>
        <item x="0"/>
        <item x="1"/>
        <item x="2"/>
        <item x="3"/>
        <item x="4"/>
        <item x="5"/>
        <item x="6"/>
        <item m="1" x="73"/>
        <item x="10"/>
        <item x="11"/>
        <item x="12"/>
        <item x="13"/>
        <item x="14"/>
        <item x="15"/>
        <item m="1" x="47"/>
        <item x="25"/>
        <item m="1" x="48"/>
        <item m="1" x="49"/>
        <item m="1" x="50"/>
        <item m="1" x="51"/>
        <item m="1" x="52"/>
        <item m="1" x="53"/>
        <item m="1" x="54"/>
        <item m="1" x="55"/>
        <item x="23"/>
        <item m="1" x="56"/>
        <item m="1" x="57"/>
        <item x="39"/>
        <item m="1" x="58"/>
        <item m="1" x="59"/>
        <item m="1" x="60"/>
        <item m="1" x="61"/>
        <item m="1" x="62"/>
        <item m="1" x="63"/>
        <item m="1" x="64"/>
        <item m="1" x="65"/>
        <item m="1" x="66"/>
        <item x="21"/>
        <item m="1" x="67"/>
        <item m="1" x="68"/>
        <item m="1" x="69"/>
        <item x="17"/>
        <item m="1" x="70"/>
        <item m="1" x="71"/>
        <item m="1" x="72"/>
        <item x="7"/>
        <item x="16"/>
        <item x="18"/>
        <item x="19"/>
        <item x="20"/>
        <item x="22"/>
        <item x="24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97">
        <item x="8"/>
        <item x="9"/>
        <item m="1" x="51"/>
        <item m="1" x="52"/>
        <item m="1" x="53"/>
        <item m="1" x="54"/>
        <item m="1" x="55"/>
        <item x="11"/>
        <item m="1" x="56"/>
        <item x="3"/>
        <item m="1" x="57"/>
        <item m="1" x="58"/>
        <item x="14"/>
        <item x="15"/>
        <item m="1" x="59"/>
        <item m="1" x="60"/>
        <item m="1" x="61"/>
        <item m="1" x="62"/>
        <item m="1" x="63"/>
        <item m="1" x="64"/>
        <item m="1" x="65"/>
        <item m="1" x="95"/>
        <item m="1" x="67"/>
        <item m="1" x="68"/>
        <item m="1" x="69"/>
        <item m="1" x="70"/>
        <item m="1" x="71"/>
        <item m="1" x="72"/>
        <item m="1" x="73"/>
        <item m="1" x="74"/>
        <item m="1" x="75"/>
        <item m="1" x="76"/>
        <item m="1" x="77"/>
        <item m="1" x="78"/>
        <item m="1" x="79"/>
        <item m="1" x="80"/>
        <item m="1" x="82"/>
        <item m="1" x="84"/>
        <item m="1" x="86"/>
        <item m="1" x="88"/>
        <item m="1" x="90"/>
        <item m="1" x="92"/>
        <item m="1" x="94"/>
        <item m="1" x="81"/>
        <item m="1" x="83"/>
        <item m="1" x="85"/>
        <item m="1" x="87"/>
        <item m="1" x="89"/>
        <item m="1" x="91"/>
        <item m="1" x="93"/>
        <item x="50"/>
        <item m="1" x="66"/>
        <item x="0"/>
        <item x="1"/>
        <item x="2"/>
        <item x="4"/>
        <item x="5"/>
        <item x="6"/>
        <item x="7"/>
        <item x="10"/>
        <item x="12"/>
        <item x="13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sortType="ascending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numFmtId="1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7">
        <item x="3"/>
        <item x="4"/>
        <item x="5"/>
        <item x="6"/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85">
        <item x="19"/>
        <item x="6"/>
        <item m="1" x="32"/>
        <item x="7"/>
        <item m="1" x="33"/>
        <item m="1" x="64"/>
        <item x="8"/>
        <item m="1" x="34"/>
        <item m="1" x="63"/>
        <item x="24"/>
        <item m="1" x="84"/>
        <item m="1" x="49"/>
        <item m="1" x="62"/>
        <item m="1" x="83"/>
        <item m="1" x="82"/>
        <item x="23"/>
        <item m="1" x="48"/>
        <item m="1" x="61"/>
        <item m="1" x="81"/>
        <item m="1" x="80"/>
        <item m="1" x="79"/>
        <item m="1" x="60"/>
        <item x="27"/>
        <item x="26"/>
        <item m="1" x="51"/>
        <item x="25"/>
        <item m="1" x="50"/>
        <item x="1"/>
        <item m="1" x="54"/>
        <item x="4"/>
        <item m="1" x="31"/>
        <item x="3"/>
        <item m="1" x="30"/>
        <item x="22"/>
        <item m="1" x="47"/>
        <item m="1" x="59"/>
        <item m="1" x="58"/>
        <item m="1" x="57"/>
        <item m="1" x="78"/>
        <item x="0"/>
        <item m="1" x="28"/>
        <item x="2"/>
        <item m="1" x="53"/>
        <item m="1" x="29"/>
        <item m="1" x="56"/>
        <item m="1" x="55"/>
        <item x="21"/>
        <item m="1" x="46"/>
        <item m="1" x="77"/>
        <item m="1" x="76"/>
        <item x="20"/>
        <item m="1" x="45"/>
        <item m="1" x="75"/>
        <item m="1" x="74"/>
        <item x="17"/>
        <item m="1" x="43"/>
        <item m="1" x="73"/>
        <item m="1" x="72"/>
        <item x="18"/>
        <item m="1" x="71"/>
        <item m="1" x="44"/>
        <item x="15"/>
        <item m="1" x="41"/>
        <item x="16"/>
        <item m="1" x="42"/>
        <item x="11"/>
        <item m="1" x="37"/>
        <item m="1" x="70"/>
        <item m="1" x="69"/>
        <item m="1" x="68"/>
        <item m="1" x="67"/>
        <item x="10"/>
        <item x="12"/>
        <item m="1" x="66"/>
        <item m="1" x="36"/>
        <item m="1" x="38"/>
        <item m="1" x="65"/>
        <item x="14"/>
        <item m="1" x="40"/>
        <item m="1" x="52"/>
        <item x="9"/>
        <item m="1" x="35"/>
        <item x="13"/>
        <item m="1" x="39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4">
    <field x="31"/>
    <field x="32"/>
    <field x="4"/>
    <field x="2"/>
    <field x="7"/>
    <field x="8"/>
    <field x="15"/>
    <field x="16"/>
    <field x="17"/>
    <field x="18"/>
    <field x="19"/>
    <field x="20"/>
    <field x="22"/>
    <field x="24"/>
  </rowFields>
  <rowItems count="20">
    <i>
      <x/>
      <x v="65"/>
      <x v="5"/>
      <x v="39"/>
      <x v="21"/>
      <x v="3"/>
      <x v="12"/>
      <x v="14"/>
      <x v="14"/>
      <x v="36"/>
      <x v="1"/>
      <x v="20"/>
      <x v="51"/>
      <x v="66"/>
    </i>
    <i r="1">
      <x v="72"/>
      <x v="5"/>
      <x v="22"/>
      <x v="6"/>
      <x v="3"/>
      <x v="13"/>
      <x v="15"/>
      <x v="15"/>
      <x v="15"/>
      <x v="1"/>
      <x v="22"/>
      <x v="52"/>
      <x v="68"/>
    </i>
    <i r="1">
      <x v="77"/>
      <x v="5"/>
      <x v="24"/>
      <x v="29"/>
      <x v="5"/>
      <x v="14"/>
      <x v="17"/>
      <x v="17"/>
      <x v="17"/>
      <x v="1"/>
      <x v="26"/>
      <x v="52"/>
      <x v="68"/>
    </i>
    <i r="1">
      <x v="82"/>
      <x v="5"/>
      <x v="23"/>
      <x v="11"/>
      <x v="5"/>
      <x v="14"/>
      <x v="16"/>
      <x v="16"/>
      <x v="16"/>
      <x v="1"/>
      <x v="24"/>
      <x v="53"/>
      <x v="70"/>
    </i>
    <i t="blank">
      <x/>
    </i>
    <i>
      <x v="1"/>
      <x v="54"/>
      <x v="4"/>
      <x v="27"/>
      <x v="28"/>
      <x v="2"/>
      <x v="16"/>
      <x v="20"/>
      <x v="20"/>
      <x v="20"/>
      <x v="1"/>
      <x v="32"/>
      <x v="58"/>
      <x v="77"/>
    </i>
    <i r="1">
      <x v="58"/>
      <x v="4"/>
      <x v="28"/>
      <x v="12"/>
      <x v="1"/>
      <x v="17"/>
      <x v="14"/>
      <x v="21"/>
      <x v="21"/>
      <x v="1"/>
      <x v="34"/>
      <x v="60"/>
      <x v="79"/>
    </i>
    <i t="blank">
      <x v="1"/>
    </i>
    <i>
      <x v="4"/>
      <x v="39"/>
      <x v="1"/>
      <x v="11"/>
      <x v="23"/>
      <x v="1"/>
      <x v="2"/>
      <x v="8"/>
      <x v="8"/>
      <x v="8"/>
      <x v="1"/>
      <x v="2"/>
      <x v="2"/>
      <x v="52"/>
    </i>
    <i r="1">
      <x v="41"/>
      <x v="1"/>
      <x v="12"/>
      <x v="2"/>
      <x v="2"/>
      <x v="3"/>
      <x v="31"/>
      <x v="44"/>
      <x v="34"/>
      <x v="1"/>
      <x v="4"/>
      <x v="4"/>
      <x v="54"/>
    </i>
    <i t="blank">
      <x v="4"/>
    </i>
    <i>
      <x v="5"/>
      <x v="29"/>
      <x/>
      <x v="38"/>
      <x v="22"/>
      <x v="1"/>
      <x v="4"/>
      <x v="2"/>
      <x v="2"/>
      <x v="35"/>
      <x v="1"/>
      <x v="8"/>
      <x v="8"/>
      <x v="57"/>
    </i>
    <i r="1">
      <x v="31"/>
      <x/>
      <x v="13"/>
      <x v="7"/>
      <x v="3"/>
      <x v="2"/>
      <x v="10"/>
      <x v="10"/>
      <x v="10"/>
      <x v="1"/>
      <x v="6"/>
      <x v="6"/>
      <x v="55"/>
    </i>
    <i r="1">
      <x v="84"/>
      <x/>
      <x v="15"/>
      <x v="24"/>
      <x v="3"/>
      <x v="5"/>
      <x v="11"/>
      <x v="11"/>
      <x v="11"/>
      <x v="1"/>
      <x/>
      <x/>
      <x/>
    </i>
    <i t="blank">
      <x v="5"/>
    </i>
    <i>
      <x v="6"/>
      <x v="1"/>
      <x v="6"/>
      <x v="16"/>
      <x v="8"/>
      <x v="1"/>
      <x v="6"/>
      <x v="4"/>
      <x v="4"/>
      <x v="4"/>
      <x v="2"/>
      <x v="10"/>
      <x v="10"/>
      <x v="57"/>
    </i>
    <i r="1">
      <x v="3"/>
      <x v="6"/>
      <x v="17"/>
      <x v="27"/>
      <x v="4"/>
      <x v="7"/>
      <x v="5"/>
      <x v="5"/>
      <x v="5"/>
      <x v="3"/>
      <x v="12"/>
      <x v="12"/>
      <x v="59"/>
    </i>
    <i r="1">
      <x v="6"/>
      <x v="6"/>
      <x v="19"/>
      <x v="10"/>
      <x v="4"/>
      <x v="9"/>
      <x v="7"/>
      <x v="7"/>
      <x v="7"/>
      <x v="5"/>
      <x v="14"/>
      <x v="14"/>
      <x v="12"/>
    </i>
    <i r="1">
      <x v="27"/>
      <x v="6"/>
      <x v="18"/>
      <x v="26"/>
      <x v="1"/>
      <x v="8"/>
      <x v="6"/>
      <x v="6"/>
      <x v="6"/>
      <x v="4"/>
      <x/>
      <x/>
      <x v="60"/>
    </i>
    <i t="blank">
      <x v="6"/>
    </i>
  </rowItems>
  <colFields count="1">
    <field x="-2"/>
  </colFields>
  <colItems count="2">
    <i>
      <x/>
    </i>
    <i i="1">
      <x v="1"/>
    </i>
  </colItems>
  <pageFields count="3">
    <pageField fld="0" hier="-1"/>
    <pageField fld="29" hier="-1"/>
    <pageField fld="30" item="1" hier="-1"/>
  </pageFields>
  <dataFields count="2">
    <dataField name="∑ 3-Kamp" fld="26" baseField="8" baseItem="1" numFmtId="2"/>
    <dataField name="∑ 5-kamp" fld="27" baseField="8" baseItem="1" numFmtId="4"/>
  </dataFields>
  <formats count="91">
    <format dxfId="180">
      <pivotArea field="0" type="button" dataOnly="0" labelOnly="1" outline="0" axis="axisPage" fieldPosition="0"/>
    </format>
    <format dxfId="179">
      <pivotArea field="29" type="button" dataOnly="0" labelOnly="1" outline="0" axis="axisPage" fieldPosition="1"/>
    </format>
    <format dxfId="178">
      <pivotArea outline="0" fieldPosition="0">
        <references count="1">
          <reference field="4294967294" count="1">
            <x v="0"/>
          </reference>
        </references>
      </pivotArea>
    </format>
    <format dxfId="177">
      <pivotArea outline="0" fieldPosition="0">
        <references count="1">
          <reference field="4294967294" count="1">
            <x v="1"/>
          </reference>
        </references>
      </pivotArea>
    </format>
    <format dxfId="176">
      <pivotArea field="30" type="button" dataOnly="0" labelOnly="1" outline="0" axis="axisPage" fieldPosition="2"/>
    </format>
    <format dxfId="175">
      <pivotArea dataOnly="0" labelOnly="1" outline="0" fieldPosition="0">
        <references count="11">
          <reference field="2" count="1" selected="0">
            <x v="27"/>
          </reference>
          <reference field="4" count="1" selected="0">
            <x v="4"/>
          </reference>
          <reference field="7" count="1" selected="0">
            <x v="28"/>
          </reference>
          <reference field="8" count="1" selected="0">
            <x v="2"/>
          </reference>
          <reference field="15" count="1" selected="0">
            <x v="1"/>
          </reference>
          <reference field="16" count="1" selected="0">
            <x v="1"/>
          </reference>
          <reference field="17" count="1" selected="0">
            <x v="1"/>
          </reference>
          <reference field="18" count="1" selected="0">
            <x v="1"/>
          </reference>
          <reference field="19" count="1">
            <x v="1"/>
          </reference>
          <reference field="31" count="1" selected="0">
            <x v="1"/>
          </reference>
          <reference field="32" count="1" selected="0">
            <x v="84"/>
          </reference>
        </references>
      </pivotArea>
    </format>
    <format dxfId="174">
      <pivotArea dataOnly="0" labelOnly="1" outline="0" fieldPosition="0">
        <references count="11">
          <reference field="2" count="1" selected="0">
            <x v="11"/>
          </reference>
          <reference field="4" count="1" selected="0">
            <x v="1"/>
          </reference>
          <reference field="7" count="1" selected="0">
            <x v="23"/>
          </reference>
          <reference field="8" count="1" selected="0">
            <x v="1"/>
          </reference>
          <reference field="15" count="1" selected="0">
            <x v="2"/>
          </reference>
          <reference field="16" count="1" selected="0">
            <x v="8"/>
          </reference>
          <reference field="17" count="1" selected="0">
            <x v="8"/>
          </reference>
          <reference field="18" count="1" selected="0">
            <x v="8"/>
          </reference>
          <reference field="19" count="1">
            <x v="1"/>
          </reference>
          <reference field="31" count="1" selected="0">
            <x v="4"/>
          </reference>
          <reference field="32" count="1" selected="0">
            <x v="84"/>
          </reference>
        </references>
      </pivotArea>
    </format>
    <format dxfId="173">
      <pivotArea dataOnly="0" labelOnly="1" outline="0" fieldPosition="0">
        <references count="11">
          <reference field="2" count="1" selected="0">
            <x v="13"/>
          </reference>
          <reference field="4" count="1" selected="0">
            <x v="0"/>
          </reference>
          <reference field="7" count="1" selected="0">
            <x v="7"/>
          </reference>
          <reference field="8" count="1" selected="0">
            <x v="3"/>
          </reference>
          <reference field="15" count="1" selected="0">
            <x v="2"/>
          </reference>
          <reference field="16" count="1" selected="0">
            <x v="10"/>
          </reference>
          <reference field="17" count="1" selected="0">
            <x v="10"/>
          </reference>
          <reference field="18" count="1" selected="0">
            <x v="10"/>
          </reference>
          <reference field="19" count="1">
            <x v="1"/>
          </reference>
          <reference field="31" count="1" selected="0">
            <x v="5"/>
          </reference>
          <reference field="32" count="1" selected="0">
            <x v="84"/>
          </reference>
        </references>
      </pivotArea>
    </format>
    <format dxfId="172">
      <pivotArea dataOnly="0" labelOnly="1" outline="0" fieldPosition="0">
        <references count="11">
          <reference field="2" count="1" selected="0">
            <x v="16"/>
          </reference>
          <reference field="4" count="1" selected="0">
            <x v="6"/>
          </reference>
          <reference field="7" count="1" selected="0">
            <x v="8"/>
          </reference>
          <reference field="8" count="1" selected="0">
            <x v="1"/>
          </reference>
          <reference field="15" count="1" selected="0">
            <x v="6"/>
          </reference>
          <reference field="16" count="1" selected="0">
            <x v="4"/>
          </reference>
          <reference field="17" count="1" selected="0">
            <x v="4"/>
          </reference>
          <reference field="18" count="1" selected="0">
            <x v="4"/>
          </reference>
          <reference field="19" count="1">
            <x v="2"/>
          </reference>
          <reference field="31" count="1" selected="0">
            <x v="6"/>
          </reference>
          <reference field="32" count="1" selected="0">
            <x v="27"/>
          </reference>
        </references>
      </pivotArea>
    </format>
    <format dxfId="171">
      <pivotArea dataOnly="0" labelOnly="1" outline="0" fieldPosition="0">
        <references count="11">
          <reference field="2" count="1" selected="0">
            <x v="17"/>
          </reference>
          <reference field="4" count="1" selected="0">
            <x v="6"/>
          </reference>
          <reference field="7" count="1" selected="0">
            <x v="27"/>
          </reference>
          <reference field="8" count="1" selected="0">
            <x v="4"/>
          </reference>
          <reference field="15" count="1" selected="0">
            <x v="7"/>
          </reference>
          <reference field="16" count="1" selected="0">
            <x v="5"/>
          </reference>
          <reference field="17" count="1" selected="0">
            <x v="5"/>
          </reference>
          <reference field="18" count="1" selected="0">
            <x v="5"/>
          </reference>
          <reference field="19" count="1">
            <x v="3"/>
          </reference>
          <reference field="31" count="1" selected="0">
            <x v="6"/>
          </reference>
          <reference field="32" count="1" selected="0">
            <x v="27"/>
          </reference>
        </references>
      </pivotArea>
    </format>
    <format dxfId="170">
      <pivotArea dataOnly="0" labelOnly="1" outline="0" fieldPosition="0">
        <references count="11">
          <reference field="2" count="1" selected="0">
            <x v="19"/>
          </reference>
          <reference field="4" count="1" selected="0">
            <x v="6"/>
          </reference>
          <reference field="7" count="1" selected="0">
            <x v="10"/>
          </reference>
          <reference field="8" count="1" selected="0">
            <x v="4"/>
          </reference>
          <reference field="15" count="1" selected="0">
            <x v="9"/>
          </reference>
          <reference field="16" count="1" selected="0">
            <x v="7"/>
          </reference>
          <reference field="17" count="1" selected="0">
            <x v="7"/>
          </reference>
          <reference field="18" count="1" selected="0">
            <x v="7"/>
          </reference>
          <reference field="19" count="1">
            <x v="5"/>
          </reference>
          <reference field="31" count="1" selected="0">
            <x v="6"/>
          </reference>
          <reference field="32" count="1" selected="0">
            <x v="27"/>
          </reference>
        </references>
      </pivotArea>
    </format>
    <format dxfId="169">
      <pivotArea outline="0" fieldPosition="0">
        <references count="14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 selected="0">
            <x v="36"/>
          </reference>
          <reference field="19" count="1" selected="0">
            <x v="1"/>
          </reference>
          <reference field="20" count="1" selected="0">
            <x v="20"/>
          </reference>
          <reference field="22" count="1" selected="0">
            <x v="20"/>
          </reference>
          <reference field="24" count="1" selected="0">
            <x v="20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68">
      <pivotArea dataOnly="0" labelOnly="1" outline="0" offset="IV1" fieldPosition="0">
        <references count="3">
          <reference field="4" count="1">
            <x v="5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67">
      <pivotArea dataOnly="0" labelOnly="1" outline="0" fieldPosition="0">
        <references count="4">
          <reference field="2" count="1">
            <x v="39"/>
          </reference>
          <reference field="4" count="1" selected="0">
            <x v="5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66">
      <pivotArea dataOnly="0" labelOnly="1" outline="0" fieldPosition="0">
        <references count="5">
          <reference field="2" count="1" selected="0">
            <x v="39"/>
          </reference>
          <reference field="4" count="1" selected="0">
            <x v="5"/>
          </reference>
          <reference field="7" count="1">
            <x v="21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65">
      <pivotArea dataOnly="0" labelOnly="1" outline="0" offset="IV1" fieldPosition="0">
        <references count="6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>
            <x v="3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64">
      <pivotArea dataOnly="0" labelOnly="1" outline="0" fieldPosition="0">
        <references count="7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>
            <x v="12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63">
      <pivotArea dataOnly="0" labelOnly="1" outline="0" fieldPosition="0">
        <references count="8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>
            <x v="14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62">
      <pivotArea dataOnly="0" labelOnly="1" outline="0" fieldPosition="0">
        <references count="9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>
            <x v="14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61">
      <pivotArea dataOnly="0" labelOnly="1" outline="0" fieldPosition="0">
        <references count="10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>
            <x v="36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60">
      <pivotArea dataOnly="0" labelOnly="1" outline="0" offset="IV1" fieldPosition="0">
        <references count="11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 selected="0">
            <x v="36"/>
          </reference>
          <reference field="19" count="1">
            <x v="1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59">
      <pivotArea dataOnly="0" labelOnly="1" outline="0" fieldPosition="0">
        <references count="12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 selected="0">
            <x v="36"/>
          </reference>
          <reference field="19" count="1" selected="0">
            <x v="1"/>
          </reference>
          <reference field="20" count="1">
            <x v="20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58">
      <pivotArea dataOnly="0" labelOnly="1" outline="0" fieldPosition="0">
        <references count="13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 selected="0">
            <x v="36"/>
          </reference>
          <reference field="19" count="1" selected="0">
            <x v="1"/>
          </reference>
          <reference field="20" count="1" selected="0">
            <x v="20"/>
          </reference>
          <reference field="22" count="1">
            <x v="20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57">
      <pivotArea dataOnly="0" labelOnly="1" outline="0" fieldPosition="0">
        <references count="14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 selected="0">
            <x v="36"/>
          </reference>
          <reference field="19" count="1" selected="0">
            <x v="1"/>
          </reference>
          <reference field="20" count="1" selected="0">
            <x v="20"/>
          </reference>
          <reference field="22" count="1" selected="0">
            <x v="20"/>
          </reference>
          <reference field="24" count="1">
            <x v="20"/>
          </reference>
          <reference field="31" count="1" selected="0">
            <x v="0"/>
          </reference>
          <reference field="32" count="1" selected="0">
            <x v="66"/>
          </reference>
        </references>
      </pivotArea>
    </format>
    <format dxfId="156">
      <pivotArea outline="0" fieldPosition="0">
        <references count="14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 selected="0">
            <x v="36"/>
          </reference>
          <reference field="19" count="1" selected="0">
            <x v="1"/>
          </reference>
          <reference field="20" count="1" selected="0">
            <x v="20"/>
          </reference>
          <reference field="22" count="1" selected="0">
            <x v="51"/>
          </reference>
          <reference field="24" count="1" selected="0">
            <x v="66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55">
      <pivotArea dataOnly="0" labelOnly="1" outline="0" offset="IV1" fieldPosition="0">
        <references count="3">
          <reference field="4" count="1">
            <x v="5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54">
      <pivotArea dataOnly="0" labelOnly="1" outline="0" fieldPosition="0">
        <references count="4">
          <reference field="2" count="1">
            <x v="39"/>
          </reference>
          <reference field="4" count="1" selected="0">
            <x v="5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53">
      <pivotArea dataOnly="0" labelOnly="1" outline="0" fieldPosition="0">
        <references count="5">
          <reference field="2" count="1" selected="0">
            <x v="39"/>
          </reference>
          <reference field="4" count="1" selected="0">
            <x v="5"/>
          </reference>
          <reference field="7" count="1">
            <x v="21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52">
      <pivotArea dataOnly="0" labelOnly="1" outline="0" offset="IV1" fieldPosition="0">
        <references count="6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>
            <x v="3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51">
      <pivotArea dataOnly="0" labelOnly="1" outline="0" fieldPosition="0">
        <references count="7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>
            <x v="12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50">
      <pivotArea dataOnly="0" labelOnly="1" outline="0" fieldPosition="0">
        <references count="8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>
            <x v="14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49">
      <pivotArea dataOnly="0" labelOnly="1" outline="0" fieldPosition="0">
        <references count="9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>
            <x v="14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48">
      <pivotArea dataOnly="0" labelOnly="1" outline="0" fieldPosition="0">
        <references count="10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>
            <x v="36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47">
      <pivotArea dataOnly="0" labelOnly="1" outline="0" offset="IV1" fieldPosition="0">
        <references count="11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 selected="0">
            <x v="36"/>
          </reference>
          <reference field="19" count="1">
            <x v="1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46">
      <pivotArea dataOnly="0" labelOnly="1" outline="0" fieldPosition="0">
        <references count="12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 selected="0">
            <x v="36"/>
          </reference>
          <reference field="19" count="1" selected="0">
            <x v="1"/>
          </reference>
          <reference field="20" count="1">
            <x v="20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45">
      <pivotArea dataOnly="0" labelOnly="1" outline="0" fieldPosition="0">
        <references count="13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 selected="0">
            <x v="36"/>
          </reference>
          <reference field="19" count="1" selected="0">
            <x v="1"/>
          </reference>
          <reference field="20" count="1" selected="0">
            <x v="20"/>
          </reference>
          <reference field="22" count="1">
            <x v="51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44">
      <pivotArea dataOnly="0" labelOnly="1" outline="0" fieldPosition="0">
        <references count="14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 selected="0">
            <x v="36"/>
          </reference>
          <reference field="19" count="1" selected="0">
            <x v="1"/>
          </reference>
          <reference field="20" count="1" selected="0">
            <x v="20"/>
          </reference>
          <reference field="22" count="1" selected="0">
            <x v="51"/>
          </reference>
          <reference field="24" count="1">
            <x v="66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43">
      <pivotArea dataOnly="0" labelOnly="1" outline="0" fieldPosition="0">
        <references count="11">
          <reference field="2" count="1" selected="0">
            <x v="39"/>
          </reference>
          <reference field="4" count="1" selected="0">
            <x v="5"/>
          </reference>
          <reference field="7" count="1" selected="0">
            <x v="21"/>
          </reference>
          <reference field="8" count="1" selected="0">
            <x v="3"/>
          </reference>
          <reference field="15" count="1" selected="0">
            <x v="12"/>
          </reference>
          <reference field="16" count="1" selected="0">
            <x v="14"/>
          </reference>
          <reference field="17" count="1" selected="0">
            <x v="14"/>
          </reference>
          <reference field="18" count="1" selected="0">
            <x v="36"/>
          </reference>
          <reference field="19" count="1">
            <x v="1"/>
          </reference>
          <reference field="31" count="1" selected="0">
            <x v="0"/>
          </reference>
          <reference field="32" count="1" selected="0">
            <x v="65"/>
          </reference>
        </references>
      </pivotArea>
    </format>
    <format dxfId="142">
      <pivotArea dataOnly="0" labelOnly="1" outline="0" fieldPosition="0">
        <references count="11">
          <reference field="2" count="1" selected="0">
            <x v="27"/>
          </reference>
          <reference field="4" count="1" selected="0">
            <x v="4"/>
          </reference>
          <reference field="7" count="1" selected="0">
            <x v="28"/>
          </reference>
          <reference field="8" count="1" selected="0">
            <x v="2"/>
          </reference>
          <reference field="15" count="1" selected="0">
            <x v="16"/>
          </reference>
          <reference field="16" count="1" selected="0">
            <x v="20"/>
          </reference>
          <reference field="17" count="1" selected="0">
            <x v="20"/>
          </reference>
          <reference field="18" count="1" selected="0">
            <x v="20"/>
          </reference>
          <reference field="19" count="1">
            <x v="1"/>
          </reference>
          <reference field="31" count="1" selected="0">
            <x v="1"/>
          </reference>
          <reference field="32" count="1" selected="0">
            <x v="54"/>
          </reference>
        </references>
      </pivotArea>
    </format>
    <format dxfId="141">
      <pivotArea dataOnly="0" labelOnly="1" outline="0" fieldPosition="0">
        <references count="11">
          <reference field="2" count="1" selected="0">
            <x v="11"/>
          </reference>
          <reference field="4" count="1" selected="0">
            <x v="1"/>
          </reference>
          <reference field="7" count="1" selected="0">
            <x v="23"/>
          </reference>
          <reference field="8" count="1" selected="0">
            <x v="1"/>
          </reference>
          <reference field="15" count="1" selected="0">
            <x v="2"/>
          </reference>
          <reference field="16" count="1" selected="0">
            <x v="8"/>
          </reference>
          <reference field="17" count="1" selected="0">
            <x v="8"/>
          </reference>
          <reference field="18" count="1" selected="0">
            <x v="8"/>
          </reference>
          <reference field="19" count="1">
            <x v="1"/>
          </reference>
          <reference field="31" count="1" selected="0">
            <x v="4"/>
          </reference>
          <reference field="32" count="1" selected="0">
            <x v="39"/>
          </reference>
        </references>
      </pivotArea>
    </format>
    <format dxfId="140">
      <pivotArea dataOnly="0" labelOnly="1" outline="0" fieldPosition="0">
        <references count="11">
          <reference field="2" count="1" selected="0">
            <x v="38"/>
          </reference>
          <reference field="4" count="1" selected="0">
            <x v="0"/>
          </reference>
          <reference field="7" count="1" selected="0">
            <x v="22"/>
          </reference>
          <reference field="8" count="1" selected="0">
            <x v="1"/>
          </reference>
          <reference field="15" count="1" selected="0">
            <x v="4"/>
          </reference>
          <reference field="16" count="1" selected="0">
            <x v="2"/>
          </reference>
          <reference field="17" count="1" selected="0">
            <x v="2"/>
          </reference>
          <reference field="18" count="1" selected="0">
            <x v="35"/>
          </reference>
          <reference field="19" count="1">
            <x v="1"/>
          </reference>
          <reference field="31" count="1" selected="0">
            <x v="5"/>
          </reference>
          <reference field="32" count="1" selected="0">
            <x v="29"/>
          </reference>
        </references>
      </pivotArea>
    </format>
    <format dxfId="139">
      <pivotArea dataOnly="0" labelOnly="1" outline="0" fieldPosition="0">
        <references count="11">
          <reference field="2" count="1" selected="0">
            <x v="16"/>
          </reference>
          <reference field="4" count="1" selected="0">
            <x v="6"/>
          </reference>
          <reference field="7" count="1" selected="0">
            <x v="8"/>
          </reference>
          <reference field="8" count="1" selected="0">
            <x v="1"/>
          </reference>
          <reference field="15" count="1" selected="0">
            <x v="6"/>
          </reference>
          <reference field="16" count="1" selected="0">
            <x v="4"/>
          </reference>
          <reference field="17" count="1" selected="0">
            <x v="4"/>
          </reference>
          <reference field="18" count="1" selected="0">
            <x v="4"/>
          </reference>
          <reference field="19" count="1">
            <x v="2"/>
          </reference>
          <reference field="31" count="1" selected="0">
            <x v="6"/>
          </reference>
          <reference field="32" count="1" selected="0">
            <x v="1"/>
          </reference>
        </references>
      </pivotArea>
    </format>
    <format dxfId="138">
      <pivotArea dataOnly="0" labelOnly="1" outline="0" fieldPosition="0">
        <references count="11">
          <reference field="2" count="1" selected="0">
            <x v="17"/>
          </reference>
          <reference field="4" count="1" selected="0">
            <x v="6"/>
          </reference>
          <reference field="7" count="1" selected="0">
            <x v="27"/>
          </reference>
          <reference field="8" count="1" selected="0">
            <x v="4"/>
          </reference>
          <reference field="15" count="1" selected="0">
            <x v="7"/>
          </reference>
          <reference field="16" count="1" selected="0">
            <x v="5"/>
          </reference>
          <reference field="17" count="1" selected="0">
            <x v="5"/>
          </reference>
          <reference field="18" count="1" selected="0">
            <x v="5"/>
          </reference>
          <reference field="19" count="1">
            <x v="3"/>
          </reference>
          <reference field="31" count="1" selected="0">
            <x v="6"/>
          </reference>
          <reference field="32" count="1" selected="0">
            <x v="3"/>
          </reference>
        </references>
      </pivotArea>
    </format>
    <format dxfId="137">
      <pivotArea dataOnly="0" labelOnly="1" outline="0" fieldPosition="0">
        <references count="11">
          <reference field="2" count="1" selected="0">
            <x v="19"/>
          </reference>
          <reference field="4" count="1" selected="0">
            <x v="6"/>
          </reference>
          <reference field="7" count="1" selected="0">
            <x v="10"/>
          </reference>
          <reference field="8" count="1" selected="0">
            <x v="4"/>
          </reference>
          <reference field="15" count="1" selected="0">
            <x v="9"/>
          </reference>
          <reference field="16" count="1" selected="0">
            <x v="7"/>
          </reference>
          <reference field="17" count="1" selected="0">
            <x v="7"/>
          </reference>
          <reference field="18" count="1" selected="0">
            <x v="7"/>
          </reference>
          <reference field="19" count="1">
            <x v="5"/>
          </reference>
          <reference field="31" count="1" selected="0">
            <x v="6"/>
          </reference>
          <reference field="32" count="1" selected="0">
            <x v="6"/>
          </reference>
        </references>
      </pivotArea>
    </format>
    <format dxfId="136">
      <pivotArea dataOnly="0" labelOnly="1" outline="0" fieldPosition="0">
        <references count="11">
          <reference field="2" count="1" selected="0">
            <x v="18"/>
          </reference>
          <reference field="4" count="1" selected="0">
            <x v="6"/>
          </reference>
          <reference field="7" count="1" selected="0">
            <x v="26"/>
          </reference>
          <reference field="8" count="1" selected="0">
            <x v="1"/>
          </reference>
          <reference field="15" count="1" selected="0">
            <x v="8"/>
          </reference>
          <reference field="16" count="1" selected="0">
            <x v="6"/>
          </reference>
          <reference field="17" count="1" selected="0">
            <x v="6"/>
          </reference>
          <reference field="18" count="1" selected="0">
            <x v="6"/>
          </reference>
          <reference field="19" count="1">
            <x v="4"/>
          </reference>
          <reference field="31" count="1" selected="0">
            <x v="6"/>
          </reference>
          <reference field="32" count="1" selected="0">
            <x v="27"/>
          </reference>
        </references>
      </pivotArea>
    </format>
    <format dxfId="135">
      <pivotArea outline="0" fieldPosition="0">
        <references count="14">
          <reference field="2" count="3" selected="0">
            <x v="22"/>
            <x v="23"/>
            <x v="24"/>
          </reference>
          <reference field="4" count="1" selected="0">
            <x v="5"/>
          </reference>
          <reference field="7" count="3" selected="0">
            <x v="6"/>
            <x v="11"/>
            <x v="29"/>
          </reference>
          <reference field="8" count="2" selected="0">
            <x v="3"/>
            <x v="5"/>
          </reference>
          <reference field="15" count="2" selected="0">
            <x v="13"/>
            <x v="14"/>
          </reference>
          <reference field="16" count="3" selected="0">
            <x v="15"/>
            <x v="16"/>
            <x v="17"/>
          </reference>
          <reference field="17" count="3" selected="0">
            <x v="15"/>
            <x v="16"/>
            <x v="17"/>
          </reference>
          <reference field="18" count="3" selected="0">
            <x v="15"/>
            <x v="16"/>
            <x v="17"/>
          </reference>
          <reference field="19" count="1" selected="0">
            <x v="1"/>
          </reference>
          <reference field="20" count="3" selected="0">
            <x v="22"/>
            <x v="24"/>
            <x v="26"/>
          </reference>
          <reference field="22" count="2" selected="0">
            <x v="52"/>
            <x v="53"/>
          </reference>
          <reference field="24" count="2" selected="0">
            <x v="68"/>
            <x v="70"/>
          </reference>
          <reference field="31" count="1" selected="0">
            <x v="0"/>
          </reference>
          <reference field="32" count="3" selected="0">
            <x v="72"/>
            <x v="77"/>
            <x v="82"/>
          </reference>
        </references>
      </pivotArea>
    </format>
    <format dxfId="134">
      <pivotArea outline="0" fieldPosition="0">
        <references count="1">
          <reference field="31" count="1" selected="0">
            <x v="0"/>
          </reference>
        </references>
      </pivotArea>
    </format>
    <format dxfId="133">
      <pivotArea outline="0" fieldPosition="0">
        <references count="1">
          <reference field="31" count="3" selected="0">
            <x v="1"/>
            <x v="4"/>
            <x v="5"/>
          </reference>
        </references>
      </pivotArea>
    </format>
    <format dxfId="132">
      <pivotArea outline="0" fieldPosition="0">
        <references count="14">
          <reference field="2" count="4" selected="0">
            <x v="16"/>
            <x v="17"/>
            <x v="18"/>
            <x v="19"/>
          </reference>
          <reference field="4" count="1" selected="0">
            <x v="6"/>
          </reference>
          <reference field="7" count="4" selected="0">
            <x v="8"/>
            <x v="10"/>
            <x v="26"/>
            <x v="27"/>
          </reference>
          <reference field="8" count="2" selected="0">
            <x v="1"/>
            <x v="4"/>
          </reference>
          <reference field="15" count="4" selected="0">
            <x v="6"/>
            <x v="7"/>
            <x v="8"/>
            <x v="9"/>
          </reference>
          <reference field="16" count="4" selected="0">
            <x v="4"/>
            <x v="5"/>
            <x v="6"/>
            <x v="7"/>
          </reference>
          <reference field="17" count="4" selected="0">
            <x v="4"/>
            <x v="5"/>
            <x v="6"/>
            <x v="7"/>
          </reference>
          <reference field="18" count="4" selected="0">
            <x v="4"/>
            <x v="5"/>
            <x v="6"/>
            <x v="7"/>
          </reference>
          <reference field="19" count="4" selected="0">
            <x v="2"/>
            <x v="3"/>
            <x v="4"/>
            <x v="5"/>
          </reference>
          <reference field="20" count="4" selected="0">
            <x v="0"/>
            <x v="10"/>
            <x v="12"/>
            <x v="14"/>
          </reference>
          <reference field="22" count="4" selected="0">
            <x v="0"/>
            <x v="10"/>
            <x v="12"/>
            <x v="14"/>
          </reference>
          <reference field="24" count="4" selected="0">
            <x v="12"/>
            <x v="57"/>
            <x v="59"/>
            <x v="60"/>
          </reference>
          <reference field="31" count="1" selected="0">
            <x v="6"/>
          </reference>
          <reference field="32" count="4" selected="0">
            <x v="1"/>
            <x v="3"/>
            <x v="6"/>
            <x v="27"/>
          </reference>
        </references>
      </pivotArea>
    </format>
    <format dxfId="131">
      <pivotArea dataOnly="0" labelOnly="1" outline="0" fieldPosition="0">
        <references count="12">
          <reference field="2" count="1" selected="0">
            <x v="22"/>
          </reference>
          <reference field="4" count="1" selected="0">
            <x v="5"/>
          </reference>
          <reference field="7" count="1" selected="0">
            <x v="6"/>
          </reference>
          <reference field="8" count="1" selected="0">
            <x v="3"/>
          </reference>
          <reference field="15" count="1" selected="0">
            <x v="13"/>
          </reference>
          <reference field="16" count="1" selected="0">
            <x v="15"/>
          </reference>
          <reference field="17" count="1" selected="0">
            <x v="15"/>
          </reference>
          <reference field="18" count="1" selected="0">
            <x v="15"/>
          </reference>
          <reference field="19" count="1" selected="0">
            <x v="1"/>
          </reference>
          <reference field="20" count="1">
            <x v="22"/>
          </reference>
          <reference field="31" count="1" selected="0">
            <x v="0"/>
          </reference>
          <reference field="32" count="1" selected="0">
            <x v="72"/>
          </reference>
        </references>
      </pivotArea>
    </format>
    <format dxfId="130">
      <pivotArea dataOnly="0" labelOnly="1" outline="0" fieldPosition="0">
        <references count="12">
          <reference field="2" count="1" selected="0">
            <x v="24"/>
          </reference>
          <reference field="4" count="1" selected="0">
            <x v="5"/>
          </reference>
          <reference field="7" count="1" selected="0">
            <x v="29"/>
          </reference>
          <reference field="8" count="1" selected="0">
            <x v="5"/>
          </reference>
          <reference field="15" count="1" selected="0">
            <x v="14"/>
          </reference>
          <reference field="16" count="1" selected="0">
            <x v="17"/>
          </reference>
          <reference field="17" count="1" selected="0">
            <x v="17"/>
          </reference>
          <reference field="18" count="1" selected="0">
            <x v="17"/>
          </reference>
          <reference field="19" count="1" selected="0">
            <x v="1"/>
          </reference>
          <reference field="20" count="1">
            <x v="26"/>
          </reference>
          <reference field="31" count="1" selected="0">
            <x v="0"/>
          </reference>
          <reference field="32" count="1" selected="0">
            <x v="77"/>
          </reference>
        </references>
      </pivotArea>
    </format>
    <format dxfId="129">
      <pivotArea dataOnly="0" labelOnly="1" outline="0" fieldPosition="0">
        <references count="12">
          <reference field="2" count="1" selected="0">
            <x v="23"/>
          </reference>
          <reference field="4" count="1" selected="0">
            <x v="5"/>
          </reference>
          <reference field="7" count="1" selected="0">
            <x v="11"/>
          </reference>
          <reference field="8" count="1" selected="0">
            <x v="5"/>
          </reference>
          <reference field="15" count="1" selected="0">
            <x v="14"/>
          </reference>
          <reference field="16" count="1" selected="0">
            <x v="16"/>
          </reference>
          <reference field="17" count="1" selected="0">
            <x v="16"/>
          </reference>
          <reference field="18" count="1" selected="0">
            <x v="16"/>
          </reference>
          <reference field="19" count="1" selected="0">
            <x v="1"/>
          </reference>
          <reference field="20" count="1">
            <x v="24"/>
          </reference>
          <reference field="31" count="1" selected="0">
            <x v="0"/>
          </reference>
          <reference field="32" count="1" selected="0">
            <x v="82"/>
          </reference>
        </references>
      </pivotArea>
    </format>
    <format dxfId="128">
      <pivotArea dataOnly="0" labelOnly="1" outline="0" fieldPosition="0">
        <references count="12">
          <reference field="2" count="1" selected="0">
            <x v="27"/>
          </reference>
          <reference field="4" count="1" selected="0">
            <x v="4"/>
          </reference>
          <reference field="7" count="1" selected="0">
            <x v="28"/>
          </reference>
          <reference field="8" count="1" selected="0">
            <x v="2"/>
          </reference>
          <reference field="15" count="1" selected="0">
            <x v="16"/>
          </reference>
          <reference field="16" count="1" selected="0">
            <x v="20"/>
          </reference>
          <reference field="17" count="1" selected="0">
            <x v="20"/>
          </reference>
          <reference field="18" count="1" selected="0">
            <x v="20"/>
          </reference>
          <reference field="19" count="1" selected="0">
            <x v="1"/>
          </reference>
          <reference field="20" count="1">
            <x v="32"/>
          </reference>
          <reference field="31" count="1" selected="0">
            <x v="1"/>
          </reference>
          <reference field="32" count="1" selected="0">
            <x v="54"/>
          </reference>
        </references>
      </pivotArea>
    </format>
    <format dxfId="127">
      <pivotArea dataOnly="0" labelOnly="1" outline="0" fieldPosition="0">
        <references count="12">
          <reference field="2" count="1" selected="0">
            <x v="28"/>
          </reference>
          <reference field="4" count="1" selected="0">
            <x v="4"/>
          </reference>
          <reference field="7" count="1" selected="0">
            <x v="12"/>
          </reference>
          <reference field="8" count="1" selected="0">
            <x v="1"/>
          </reference>
          <reference field="15" count="1" selected="0">
            <x v="17"/>
          </reference>
          <reference field="16" count="1" selected="0">
            <x v="14"/>
          </reference>
          <reference field="17" count="1" selected="0">
            <x v="21"/>
          </reference>
          <reference field="18" count="1" selected="0">
            <x v="21"/>
          </reference>
          <reference field="19" count="1" selected="0">
            <x v="1"/>
          </reference>
          <reference field="20" count="1">
            <x v="34"/>
          </reference>
          <reference field="31" count="1" selected="0">
            <x v="1"/>
          </reference>
          <reference field="32" count="1" selected="0">
            <x v="58"/>
          </reference>
        </references>
      </pivotArea>
    </format>
    <format dxfId="126">
      <pivotArea dataOnly="0" labelOnly="1" outline="0" fieldPosition="0">
        <references count="12">
          <reference field="2" count="1" selected="0">
            <x v="11"/>
          </reference>
          <reference field="4" count="1" selected="0">
            <x v="1"/>
          </reference>
          <reference field="7" count="1" selected="0">
            <x v="23"/>
          </reference>
          <reference field="8" count="1" selected="0">
            <x v="1"/>
          </reference>
          <reference field="15" count="1" selected="0">
            <x v="2"/>
          </reference>
          <reference field="16" count="1" selected="0">
            <x v="8"/>
          </reference>
          <reference field="17" count="1" selected="0">
            <x v="8"/>
          </reference>
          <reference field="18" count="1" selected="0">
            <x v="8"/>
          </reference>
          <reference field="19" count="1" selected="0">
            <x v="1"/>
          </reference>
          <reference field="20" count="1">
            <x v="2"/>
          </reference>
          <reference field="31" count="1" selected="0">
            <x v="4"/>
          </reference>
          <reference field="32" count="1" selected="0">
            <x v="39"/>
          </reference>
        </references>
      </pivotArea>
    </format>
    <format dxfId="125">
      <pivotArea dataOnly="0" labelOnly="1" outline="0" fieldPosition="0">
        <references count="12">
          <reference field="2" count="1" selected="0">
            <x v="12"/>
          </reference>
          <reference field="4" count="1" selected="0">
            <x v="1"/>
          </reference>
          <reference field="7" count="1" selected="0">
            <x v="2"/>
          </reference>
          <reference field="8" count="1" selected="0">
            <x v="2"/>
          </reference>
          <reference field="15" count="1" selected="0">
            <x v="3"/>
          </reference>
          <reference field="16" count="1" selected="0">
            <x v="31"/>
          </reference>
          <reference field="17" count="1" selected="0">
            <x v="44"/>
          </reference>
          <reference field="18" count="1" selected="0">
            <x v="34"/>
          </reference>
          <reference field="19" count="1" selected="0">
            <x v="1"/>
          </reference>
          <reference field="20" count="1">
            <x v="4"/>
          </reference>
          <reference field="31" count="1" selected="0">
            <x v="4"/>
          </reference>
          <reference field="32" count="1" selected="0">
            <x v="41"/>
          </reference>
        </references>
      </pivotArea>
    </format>
    <format dxfId="124">
      <pivotArea dataOnly="0" labelOnly="1" outline="0" fieldPosition="0">
        <references count="12">
          <reference field="2" count="1" selected="0">
            <x v="38"/>
          </reference>
          <reference field="4" count="1" selected="0">
            <x v="0"/>
          </reference>
          <reference field="7" count="1" selected="0">
            <x v="22"/>
          </reference>
          <reference field="8" count="1" selected="0">
            <x v="1"/>
          </reference>
          <reference field="15" count="1" selected="0">
            <x v="4"/>
          </reference>
          <reference field="16" count="1" selected="0">
            <x v="2"/>
          </reference>
          <reference field="17" count="1" selected="0">
            <x v="2"/>
          </reference>
          <reference field="18" count="1" selected="0">
            <x v="35"/>
          </reference>
          <reference field="19" count="1" selected="0">
            <x v="1"/>
          </reference>
          <reference field="20" count="1">
            <x v="8"/>
          </reference>
          <reference field="31" count="1" selected="0">
            <x v="5"/>
          </reference>
          <reference field="32" count="1" selected="0">
            <x v="29"/>
          </reference>
        </references>
      </pivotArea>
    </format>
    <format dxfId="123">
      <pivotArea dataOnly="0" labelOnly="1" outline="0" fieldPosition="0">
        <references count="12">
          <reference field="2" count="1" selected="0">
            <x v="13"/>
          </reference>
          <reference field="4" count="1" selected="0">
            <x v="0"/>
          </reference>
          <reference field="7" count="1" selected="0">
            <x v="7"/>
          </reference>
          <reference field="8" count="1" selected="0">
            <x v="3"/>
          </reference>
          <reference field="15" count="1" selected="0">
            <x v="2"/>
          </reference>
          <reference field="16" count="1" selected="0">
            <x v="10"/>
          </reference>
          <reference field="17" count="1" selected="0">
            <x v="10"/>
          </reference>
          <reference field="18" count="1" selected="0">
            <x v="10"/>
          </reference>
          <reference field="19" count="1" selected="0">
            <x v="1"/>
          </reference>
          <reference field="20" count="1">
            <x v="6"/>
          </reference>
          <reference field="31" count="1" selected="0">
            <x v="5"/>
          </reference>
          <reference field="32" count="1" selected="0">
            <x v="31"/>
          </reference>
        </references>
      </pivotArea>
    </format>
    <format dxfId="122">
      <pivotArea dataOnly="0" labelOnly="1" outline="0" fieldPosition="0">
        <references count="12">
          <reference field="2" count="1" selected="0">
            <x v="15"/>
          </reference>
          <reference field="4" count="1" selected="0">
            <x v="0"/>
          </reference>
          <reference field="7" count="1" selected="0">
            <x v="24"/>
          </reference>
          <reference field="8" count="1" selected="0">
            <x v="3"/>
          </reference>
          <reference field="15" count="1" selected="0">
            <x v="5"/>
          </reference>
          <reference field="16" count="1" selected="0">
            <x v="11"/>
          </reference>
          <reference field="17" count="1" selected="0">
            <x v="11"/>
          </reference>
          <reference field="18" count="1" selected="0">
            <x v="11"/>
          </reference>
          <reference field="19" count="1" selected="0">
            <x v="1"/>
          </reference>
          <reference field="20" count="1">
            <x v="0"/>
          </reference>
          <reference field="31" count="1" selected="0">
            <x v="5"/>
          </reference>
          <reference field="32" count="1" selected="0">
            <x v="84"/>
          </reference>
        </references>
      </pivotArea>
    </format>
    <format dxfId="121">
      <pivotArea dataOnly="0" labelOnly="1" outline="0" fieldPosition="0">
        <references count="12">
          <reference field="2" count="1" selected="0">
            <x v="16"/>
          </reference>
          <reference field="4" count="1" selected="0">
            <x v="6"/>
          </reference>
          <reference field="7" count="1" selected="0">
            <x v="8"/>
          </reference>
          <reference field="8" count="1" selected="0">
            <x v="1"/>
          </reference>
          <reference field="15" count="1" selected="0">
            <x v="6"/>
          </reference>
          <reference field="16" count="1" selected="0">
            <x v="4"/>
          </reference>
          <reference field="17" count="1" selected="0">
            <x v="4"/>
          </reference>
          <reference field="18" count="1" selected="0">
            <x v="4"/>
          </reference>
          <reference field="19" count="1" selected="0">
            <x v="2"/>
          </reference>
          <reference field="20" count="1">
            <x v="10"/>
          </reference>
          <reference field="31" count="1" selected="0">
            <x v="6"/>
          </reference>
          <reference field="32" count="1" selected="0">
            <x v="1"/>
          </reference>
        </references>
      </pivotArea>
    </format>
    <format dxfId="120">
      <pivotArea dataOnly="0" labelOnly="1" outline="0" fieldPosition="0">
        <references count="12">
          <reference field="2" count="1" selected="0">
            <x v="17"/>
          </reference>
          <reference field="4" count="1" selected="0">
            <x v="6"/>
          </reference>
          <reference field="7" count="1" selected="0">
            <x v="27"/>
          </reference>
          <reference field="8" count="1" selected="0">
            <x v="4"/>
          </reference>
          <reference field="15" count="1" selected="0">
            <x v="7"/>
          </reference>
          <reference field="16" count="1" selected="0">
            <x v="5"/>
          </reference>
          <reference field="17" count="1" selected="0">
            <x v="5"/>
          </reference>
          <reference field="18" count="1" selected="0">
            <x v="5"/>
          </reference>
          <reference field="19" count="1" selected="0">
            <x v="3"/>
          </reference>
          <reference field="20" count="1">
            <x v="12"/>
          </reference>
          <reference field="31" count="1" selected="0">
            <x v="6"/>
          </reference>
          <reference field="32" count="1" selected="0">
            <x v="3"/>
          </reference>
        </references>
      </pivotArea>
    </format>
    <format dxfId="119">
      <pivotArea dataOnly="0" labelOnly="1" outline="0" fieldPosition="0">
        <references count="12">
          <reference field="2" count="1" selected="0">
            <x v="19"/>
          </reference>
          <reference field="4" count="1" selected="0">
            <x v="6"/>
          </reference>
          <reference field="7" count="1" selected="0">
            <x v="10"/>
          </reference>
          <reference field="8" count="1" selected="0">
            <x v="4"/>
          </reference>
          <reference field="15" count="1" selected="0">
            <x v="9"/>
          </reference>
          <reference field="16" count="1" selected="0">
            <x v="7"/>
          </reference>
          <reference field="17" count="1" selected="0">
            <x v="7"/>
          </reference>
          <reference field="18" count="1" selected="0">
            <x v="7"/>
          </reference>
          <reference field="19" count="1" selected="0">
            <x v="5"/>
          </reference>
          <reference field="20" count="1">
            <x v="14"/>
          </reference>
          <reference field="31" count="1" selected="0">
            <x v="6"/>
          </reference>
          <reference field="32" count="1" selected="0">
            <x v="6"/>
          </reference>
        </references>
      </pivotArea>
    </format>
    <format dxfId="118">
      <pivotArea dataOnly="0" labelOnly="1" outline="0" fieldPosition="0">
        <references count="12">
          <reference field="2" count="1" selected="0">
            <x v="18"/>
          </reference>
          <reference field="4" count="1" selected="0">
            <x v="6"/>
          </reference>
          <reference field="7" count="1" selected="0">
            <x v="26"/>
          </reference>
          <reference field="8" count="1" selected="0">
            <x v="1"/>
          </reference>
          <reference field="15" count="1" selected="0">
            <x v="8"/>
          </reference>
          <reference field="16" count="1" selected="0">
            <x v="6"/>
          </reference>
          <reference field="17" count="1" selected="0">
            <x v="6"/>
          </reference>
          <reference field="18" count="1" selected="0">
            <x v="6"/>
          </reference>
          <reference field="19" count="1" selected="0">
            <x v="4"/>
          </reference>
          <reference field="20" count="1">
            <x v="0"/>
          </reference>
          <reference field="31" count="1" selected="0">
            <x v="6"/>
          </reference>
          <reference field="32" count="1" selected="0">
            <x v="27"/>
          </reference>
        </references>
      </pivotArea>
    </format>
    <format dxfId="117">
      <pivotArea dataOnly="0" labelOnly="1" outline="0" fieldPosition="0">
        <references count="13">
          <reference field="2" count="1" selected="0">
            <x v="22"/>
          </reference>
          <reference field="4" count="1" selected="0">
            <x v="5"/>
          </reference>
          <reference field="7" count="1" selected="0">
            <x v="6"/>
          </reference>
          <reference field="8" count="1" selected="0">
            <x v="3"/>
          </reference>
          <reference field="15" count="1" selected="0">
            <x v="13"/>
          </reference>
          <reference field="16" count="1" selected="0">
            <x v="15"/>
          </reference>
          <reference field="17" count="1" selected="0">
            <x v="15"/>
          </reference>
          <reference field="18" count="1" selected="0">
            <x v="15"/>
          </reference>
          <reference field="19" count="1" selected="0">
            <x v="1"/>
          </reference>
          <reference field="20" count="1" selected="0">
            <x v="22"/>
          </reference>
          <reference field="22" count="1">
            <x v="52"/>
          </reference>
          <reference field="31" count="1" selected="0">
            <x v="0"/>
          </reference>
          <reference field="32" count="1" selected="0">
            <x v="72"/>
          </reference>
        </references>
      </pivotArea>
    </format>
    <format dxfId="116">
      <pivotArea dataOnly="0" labelOnly="1" outline="0" fieldPosition="0">
        <references count="13">
          <reference field="2" count="1" selected="0">
            <x v="23"/>
          </reference>
          <reference field="4" count="1" selected="0">
            <x v="5"/>
          </reference>
          <reference field="7" count="1" selected="0">
            <x v="11"/>
          </reference>
          <reference field="8" count="1" selected="0">
            <x v="5"/>
          </reference>
          <reference field="15" count="1" selected="0">
            <x v="14"/>
          </reference>
          <reference field="16" count="1" selected="0">
            <x v="16"/>
          </reference>
          <reference field="17" count="1" selected="0">
            <x v="16"/>
          </reference>
          <reference field="18" count="1" selected="0">
            <x v="16"/>
          </reference>
          <reference field="19" count="1" selected="0">
            <x v="1"/>
          </reference>
          <reference field="20" count="1" selected="0">
            <x v="24"/>
          </reference>
          <reference field="22" count="1">
            <x v="53"/>
          </reference>
          <reference field="31" count="1" selected="0">
            <x v="0"/>
          </reference>
          <reference field="32" count="1" selected="0">
            <x v="82"/>
          </reference>
        </references>
      </pivotArea>
    </format>
    <format dxfId="115">
      <pivotArea dataOnly="0" labelOnly="1" outline="0" fieldPosition="0">
        <references count="13">
          <reference field="2" count="1" selected="0">
            <x v="27"/>
          </reference>
          <reference field="4" count="1" selected="0">
            <x v="4"/>
          </reference>
          <reference field="7" count="1" selected="0">
            <x v="28"/>
          </reference>
          <reference field="8" count="1" selected="0">
            <x v="2"/>
          </reference>
          <reference field="15" count="1" selected="0">
            <x v="16"/>
          </reference>
          <reference field="16" count="1" selected="0">
            <x v="20"/>
          </reference>
          <reference field="17" count="1" selected="0">
            <x v="20"/>
          </reference>
          <reference field="18" count="1" selected="0">
            <x v="20"/>
          </reference>
          <reference field="19" count="1" selected="0">
            <x v="1"/>
          </reference>
          <reference field="20" count="1" selected="0">
            <x v="32"/>
          </reference>
          <reference field="22" count="1">
            <x v="58"/>
          </reference>
          <reference field="31" count="1" selected="0">
            <x v="1"/>
          </reference>
          <reference field="32" count="1" selected="0">
            <x v="54"/>
          </reference>
        </references>
      </pivotArea>
    </format>
    <format dxfId="114">
      <pivotArea dataOnly="0" labelOnly="1" outline="0" fieldPosition="0">
        <references count="13">
          <reference field="2" count="1" selected="0">
            <x v="28"/>
          </reference>
          <reference field="4" count="1" selected="0">
            <x v="4"/>
          </reference>
          <reference field="7" count="1" selected="0">
            <x v="12"/>
          </reference>
          <reference field="8" count="1" selected="0">
            <x v="1"/>
          </reference>
          <reference field="15" count="1" selected="0">
            <x v="17"/>
          </reference>
          <reference field="16" count="1" selected="0">
            <x v="14"/>
          </reference>
          <reference field="17" count="1" selected="0">
            <x v="21"/>
          </reference>
          <reference field="18" count="1" selected="0">
            <x v="21"/>
          </reference>
          <reference field="19" count="1" selected="0">
            <x v="1"/>
          </reference>
          <reference field="20" count="1" selected="0">
            <x v="34"/>
          </reference>
          <reference field="22" count="1">
            <x v="60"/>
          </reference>
          <reference field="31" count="1" selected="0">
            <x v="1"/>
          </reference>
          <reference field="32" count="1" selected="0">
            <x v="58"/>
          </reference>
        </references>
      </pivotArea>
    </format>
    <format dxfId="113">
      <pivotArea dataOnly="0" labelOnly="1" outline="0" fieldPosition="0">
        <references count="13">
          <reference field="2" count="1" selected="0">
            <x v="11"/>
          </reference>
          <reference field="4" count="1" selected="0">
            <x v="1"/>
          </reference>
          <reference field="7" count="1" selected="0">
            <x v="23"/>
          </reference>
          <reference field="8" count="1" selected="0">
            <x v="1"/>
          </reference>
          <reference field="15" count="1" selected="0">
            <x v="2"/>
          </reference>
          <reference field="16" count="1" selected="0">
            <x v="8"/>
          </reference>
          <reference field="17" count="1" selected="0">
            <x v="8"/>
          </reference>
          <reference field="18" count="1" selected="0">
            <x v="8"/>
          </reference>
          <reference field="19" count="1" selected="0">
            <x v="1"/>
          </reference>
          <reference field="20" count="1" selected="0">
            <x v="2"/>
          </reference>
          <reference field="22" count="1">
            <x v="2"/>
          </reference>
          <reference field="31" count="1" selected="0">
            <x v="4"/>
          </reference>
          <reference field="32" count="1" selected="0">
            <x v="39"/>
          </reference>
        </references>
      </pivotArea>
    </format>
    <format dxfId="112">
      <pivotArea dataOnly="0" labelOnly="1" outline="0" fieldPosition="0">
        <references count="13">
          <reference field="2" count="1" selected="0">
            <x v="12"/>
          </reference>
          <reference field="4" count="1" selected="0">
            <x v="1"/>
          </reference>
          <reference field="7" count="1" selected="0">
            <x v="2"/>
          </reference>
          <reference field="8" count="1" selected="0">
            <x v="2"/>
          </reference>
          <reference field="15" count="1" selected="0">
            <x v="3"/>
          </reference>
          <reference field="16" count="1" selected="0">
            <x v="31"/>
          </reference>
          <reference field="17" count="1" selected="0">
            <x v="44"/>
          </reference>
          <reference field="18" count="1" selected="0">
            <x v="34"/>
          </reference>
          <reference field="19" count="1" selected="0">
            <x v="1"/>
          </reference>
          <reference field="20" count="1" selected="0">
            <x v="4"/>
          </reference>
          <reference field="22" count="1">
            <x v="4"/>
          </reference>
          <reference field="31" count="1" selected="0">
            <x v="4"/>
          </reference>
          <reference field="32" count="1" selected="0">
            <x v="41"/>
          </reference>
        </references>
      </pivotArea>
    </format>
    <format dxfId="111">
      <pivotArea dataOnly="0" labelOnly="1" outline="0" fieldPosition="0">
        <references count="13">
          <reference field="2" count="1" selected="0">
            <x v="38"/>
          </reference>
          <reference field="4" count="1" selected="0">
            <x v="0"/>
          </reference>
          <reference field="7" count="1" selected="0">
            <x v="22"/>
          </reference>
          <reference field="8" count="1" selected="0">
            <x v="1"/>
          </reference>
          <reference field="15" count="1" selected="0">
            <x v="4"/>
          </reference>
          <reference field="16" count="1" selected="0">
            <x v="2"/>
          </reference>
          <reference field="17" count="1" selected="0">
            <x v="2"/>
          </reference>
          <reference field="18" count="1" selected="0">
            <x v="35"/>
          </reference>
          <reference field="19" count="1" selected="0">
            <x v="1"/>
          </reference>
          <reference field="20" count="1" selected="0">
            <x v="8"/>
          </reference>
          <reference field="22" count="1">
            <x v="8"/>
          </reference>
          <reference field="31" count="1" selected="0">
            <x v="5"/>
          </reference>
          <reference field="32" count="1" selected="0">
            <x v="29"/>
          </reference>
        </references>
      </pivotArea>
    </format>
    <format dxfId="110">
      <pivotArea dataOnly="0" labelOnly="1" outline="0" fieldPosition="0">
        <references count="13">
          <reference field="2" count="1" selected="0">
            <x v="13"/>
          </reference>
          <reference field="4" count="1" selected="0">
            <x v="0"/>
          </reference>
          <reference field="7" count="1" selected="0">
            <x v="7"/>
          </reference>
          <reference field="8" count="1" selected="0">
            <x v="3"/>
          </reference>
          <reference field="15" count="1" selected="0">
            <x v="2"/>
          </reference>
          <reference field="16" count="1" selected="0">
            <x v="10"/>
          </reference>
          <reference field="17" count="1" selected="0">
            <x v="10"/>
          </reference>
          <reference field="18" count="1" selected="0">
            <x v="10"/>
          </reference>
          <reference field="19" count="1" selected="0">
            <x v="1"/>
          </reference>
          <reference field="20" count="1" selected="0">
            <x v="6"/>
          </reference>
          <reference field="22" count="1">
            <x v="6"/>
          </reference>
          <reference field="31" count="1" selected="0">
            <x v="5"/>
          </reference>
          <reference field="32" count="1" selected="0">
            <x v="31"/>
          </reference>
        </references>
      </pivotArea>
    </format>
    <format dxfId="109">
      <pivotArea dataOnly="0" labelOnly="1" outline="0" fieldPosition="0">
        <references count="13">
          <reference field="2" count="1" selected="0">
            <x v="15"/>
          </reference>
          <reference field="4" count="1" selected="0">
            <x v="0"/>
          </reference>
          <reference field="7" count="1" selected="0">
            <x v="24"/>
          </reference>
          <reference field="8" count="1" selected="0">
            <x v="3"/>
          </reference>
          <reference field="15" count="1" selected="0">
            <x v="5"/>
          </reference>
          <reference field="16" count="1" selected="0">
            <x v="11"/>
          </reference>
          <reference field="17" count="1" selected="0">
            <x v="11"/>
          </reference>
          <reference field="18" count="1" selected="0">
            <x v="11"/>
          </reference>
          <reference field="19" count="1" selected="0">
            <x v="1"/>
          </reference>
          <reference field="20" count="1" selected="0">
            <x v="0"/>
          </reference>
          <reference field="22" count="1">
            <x v="0"/>
          </reference>
          <reference field="31" count="1" selected="0">
            <x v="5"/>
          </reference>
          <reference field="32" count="1" selected="0">
            <x v="84"/>
          </reference>
        </references>
      </pivotArea>
    </format>
    <format dxfId="108">
      <pivotArea dataOnly="0" labelOnly="1" outline="0" fieldPosition="0">
        <references count="13">
          <reference field="2" count="1" selected="0">
            <x v="16"/>
          </reference>
          <reference field="4" count="1" selected="0">
            <x v="6"/>
          </reference>
          <reference field="7" count="1" selected="0">
            <x v="8"/>
          </reference>
          <reference field="8" count="1" selected="0">
            <x v="1"/>
          </reference>
          <reference field="15" count="1" selected="0">
            <x v="6"/>
          </reference>
          <reference field="16" count="1" selected="0">
            <x v="4"/>
          </reference>
          <reference field="17" count="1" selected="0">
            <x v="4"/>
          </reference>
          <reference field="18" count="1" selected="0">
            <x v="4"/>
          </reference>
          <reference field="19" count="1" selected="0">
            <x v="2"/>
          </reference>
          <reference field="20" count="1" selected="0">
            <x v="10"/>
          </reference>
          <reference field="22" count="1">
            <x v="10"/>
          </reference>
          <reference field="31" count="1" selected="0">
            <x v="6"/>
          </reference>
          <reference field="32" count="1" selected="0">
            <x v="1"/>
          </reference>
        </references>
      </pivotArea>
    </format>
    <format dxfId="107">
      <pivotArea dataOnly="0" labelOnly="1" outline="0" fieldPosition="0">
        <references count="13">
          <reference field="2" count="1" selected="0">
            <x v="17"/>
          </reference>
          <reference field="4" count="1" selected="0">
            <x v="6"/>
          </reference>
          <reference field="7" count="1" selected="0">
            <x v="27"/>
          </reference>
          <reference field="8" count="1" selected="0">
            <x v="4"/>
          </reference>
          <reference field="15" count="1" selected="0">
            <x v="7"/>
          </reference>
          <reference field="16" count="1" selected="0">
            <x v="5"/>
          </reference>
          <reference field="17" count="1" selected="0">
            <x v="5"/>
          </reference>
          <reference field="18" count="1" selected="0">
            <x v="5"/>
          </reference>
          <reference field="19" count="1" selected="0">
            <x v="3"/>
          </reference>
          <reference field="20" count="1" selected="0">
            <x v="12"/>
          </reference>
          <reference field="22" count="1">
            <x v="12"/>
          </reference>
          <reference field="31" count="1" selected="0">
            <x v="6"/>
          </reference>
          <reference field="32" count="1" selected="0">
            <x v="3"/>
          </reference>
        </references>
      </pivotArea>
    </format>
    <format dxfId="106">
      <pivotArea dataOnly="0" labelOnly="1" outline="0" fieldPosition="0">
        <references count="13">
          <reference field="2" count="1" selected="0">
            <x v="19"/>
          </reference>
          <reference field="4" count="1" selected="0">
            <x v="6"/>
          </reference>
          <reference field="7" count="1" selected="0">
            <x v="10"/>
          </reference>
          <reference field="8" count="1" selected="0">
            <x v="4"/>
          </reference>
          <reference field="15" count="1" selected="0">
            <x v="9"/>
          </reference>
          <reference field="16" count="1" selected="0">
            <x v="7"/>
          </reference>
          <reference field="17" count="1" selected="0">
            <x v="7"/>
          </reference>
          <reference field="18" count="1" selected="0">
            <x v="7"/>
          </reference>
          <reference field="19" count="1" selected="0">
            <x v="5"/>
          </reference>
          <reference field="20" count="1" selected="0">
            <x v="14"/>
          </reference>
          <reference field="22" count="1">
            <x v="14"/>
          </reference>
          <reference field="31" count="1" selected="0">
            <x v="6"/>
          </reference>
          <reference field="32" count="1" selected="0">
            <x v="6"/>
          </reference>
        </references>
      </pivotArea>
    </format>
    <format dxfId="105">
      <pivotArea dataOnly="0" labelOnly="1" outline="0" fieldPosition="0">
        <references count="13">
          <reference field="2" count="1" selected="0">
            <x v="18"/>
          </reference>
          <reference field="4" count="1" selected="0">
            <x v="6"/>
          </reference>
          <reference field="7" count="1" selected="0">
            <x v="26"/>
          </reference>
          <reference field="8" count="1" selected="0">
            <x v="1"/>
          </reference>
          <reference field="15" count="1" selected="0">
            <x v="8"/>
          </reference>
          <reference field="16" count="1" selected="0">
            <x v="6"/>
          </reference>
          <reference field="17" count="1" selected="0">
            <x v="6"/>
          </reference>
          <reference field="18" count="1" selected="0">
            <x v="6"/>
          </reference>
          <reference field="19" count="1" selected="0">
            <x v="4"/>
          </reference>
          <reference field="20" count="1" selected="0">
            <x v="0"/>
          </reference>
          <reference field="22" count="1">
            <x v="0"/>
          </reference>
          <reference field="31" count="1" selected="0">
            <x v="6"/>
          </reference>
          <reference field="32" count="1" selected="0">
            <x v="27"/>
          </reference>
        </references>
      </pivotArea>
    </format>
    <format dxfId="104">
      <pivotArea dataOnly="0" labelOnly="1" outline="0" fieldPosition="0">
        <references count="14">
          <reference field="2" count="1" selected="0">
            <x v="22"/>
          </reference>
          <reference field="4" count="1" selected="0">
            <x v="5"/>
          </reference>
          <reference field="7" count="1" selected="0">
            <x v="6"/>
          </reference>
          <reference field="8" count="1" selected="0">
            <x v="3"/>
          </reference>
          <reference field="15" count="1" selected="0">
            <x v="13"/>
          </reference>
          <reference field="16" count="1" selected="0">
            <x v="15"/>
          </reference>
          <reference field="17" count="1" selected="0">
            <x v="15"/>
          </reference>
          <reference field="18" count="1" selected="0">
            <x v="15"/>
          </reference>
          <reference field="19" count="1" selected="0">
            <x v="1"/>
          </reference>
          <reference field="20" count="1" selected="0">
            <x v="22"/>
          </reference>
          <reference field="22" count="1" selected="0">
            <x v="52"/>
          </reference>
          <reference field="24" count="1">
            <x v="68"/>
          </reference>
          <reference field="31" count="1" selected="0">
            <x v="0"/>
          </reference>
          <reference field="32" count="1" selected="0">
            <x v="72"/>
          </reference>
        </references>
      </pivotArea>
    </format>
    <format dxfId="103">
      <pivotArea dataOnly="0" labelOnly="1" outline="0" fieldPosition="0">
        <references count="14">
          <reference field="2" count="1" selected="0">
            <x v="24"/>
          </reference>
          <reference field="4" count="1" selected="0">
            <x v="5"/>
          </reference>
          <reference field="7" count="1" selected="0">
            <x v="29"/>
          </reference>
          <reference field="8" count="1" selected="0">
            <x v="5"/>
          </reference>
          <reference field="15" count="1" selected="0">
            <x v="14"/>
          </reference>
          <reference field="16" count="1" selected="0">
            <x v="17"/>
          </reference>
          <reference field="17" count="1" selected="0">
            <x v="17"/>
          </reference>
          <reference field="18" count="1" selected="0">
            <x v="17"/>
          </reference>
          <reference field="19" count="1" selected="0">
            <x v="1"/>
          </reference>
          <reference field="20" count="1" selected="0">
            <x v="26"/>
          </reference>
          <reference field="22" count="1" selected="0">
            <x v="52"/>
          </reference>
          <reference field="24" count="1">
            <x v="68"/>
          </reference>
          <reference field="31" count="1" selected="0">
            <x v="0"/>
          </reference>
          <reference field="32" count="1" selected="0">
            <x v="77"/>
          </reference>
        </references>
      </pivotArea>
    </format>
    <format dxfId="102">
      <pivotArea dataOnly="0" labelOnly="1" outline="0" fieldPosition="0">
        <references count="14">
          <reference field="2" count="1" selected="0">
            <x v="23"/>
          </reference>
          <reference field="4" count="1" selected="0">
            <x v="5"/>
          </reference>
          <reference field="7" count="1" selected="0">
            <x v="11"/>
          </reference>
          <reference field="8" count="1" selected="0">
            <x v="5"/>
          </reference>
          <reference field="15" count="1" selected="0">
            <x v="14"/>
          </reference>
          <reference field="16" count="1" selected="0">
            <x v="16"/>
          </reference>
          <reference field="17" count="1" selected="0">
            <x v="16"/>
          </reference>
          <reference field="18" count="1" selected="0">
            <x v="16"/>
          </reference>
          <reference field="19" count="1" selected="0">
            <x v="1"/>
          </reference>
          <reference field="20" count="1" selected="0">
            <x v="24"/>
          </reference>
          <reference field="22" count="1" selected="0">
            <x v="53"/>
          </reference>
          <reference field="24" count="1">
            <x v="70"/>
          </reference>
          <reference field="31" count="1" selected="0">
            <x v="0"/>
          </reference>
          <reference field="32" count="1" selected="0">
            <x v="82"/>
          </reference>
        </references>
      </pivotArea>
    </format>
    <format dxfId="101">
      <pivotArea dataOnly="0" labelOnly="1" outline="0" fieldPosition="0">
        <references count="14">
          <reference field="2" count="1" selected="0">
            <x v="27"/>
          </reference>
          <reference field="4" count="1" selected="0">
            <x v="4"/>
          </reference>
          <reference field="7" count="1" selected="0">
            <x v="28"/>
          </reference>
          <reference field="8" count="1" selected="0">
            <x v="2"/>
          </reference>
          <reference field="15" count="1" selected="0">
            <x v="16"/>
          </reference>
          <reference field="16" count="1" selected="0">
            <x v="20"/>
          </reference>
          <reference field="17" count="1" selected="0">
            <x v="20"/>
          </reference>
          <reference field="18" count="1" selected="0">
            <x v="20"/>
          </reference>
          <reference field="19" count="1" selected="0">
            <x v="1"/>
          </reference>
          <reference field="20" count="1" selected="0">
            <x v="32"/>
          </reference>
          <reference field="22" count="1" selected="0">
            <x v="58"/>
          </reference>
          <reference field="24" count="1">
            <x v="77"/>
          </reference>
          <reference field="31" count="1" selected="0">
            <x v="1"/>
          </reference>
          <reference field="32" count="1" selected="0">
            <x v="54"/>
          </reference>
        </references>
      </pivotArea>
    </format>
    <format dxfId="100">
      <pivotArea dataOnly="0" labelOnly="1" outline="0" fieldPosition="0">
        <references count="14">
          <reference field="2" count="1" selected="0">
            <x v="28"/>
          </reference>
          <reference field="4" count="1" selected="0">
            <x v="4"/>
          </reference>
          <reference field="7" count="1" selected="0">
            <x v="12"/>
          </reference>
          <reference field="8" count="1" selected="0">
            <x v="1"/>
          </reference>
          <reference field="15" count="1" selected="0">
            <x v="17"/>
          </reference>
          <reference field="16" count="1" selected="0">
            <x v="14"/>
          </reference>
          <reference field="17" count="1" selected="0">
            <x v="21"/>
          </reference>
          <reference field="18" count="1" selected="0">
            <x v="21"/>
          </reference>
          <reference field="19" count="1" selected="0">
            <x v="1"/>
          </reference>
          <reference field="20" count="1" selected="0">
            <x v="34"/>
          </reference>
          <reference field="22" count="1" selected="0">
            <x v="60"/>
          </reference>
          <reference field="24" count="1">
            <x v="79"/>
          </reference>
          <reference field="31" count="1" selected="0">
            <x v="1"/>
          </reference>
          <reference field="32" count="1" selected="0">
            <x v="58"/>
          </reference>
        </references>
      </pivotArea>
    </format>
    <format dxfId="99">
      <pivotArea dataOnly="0" labelOnly="1" outline="0" fieldPosition="0">
        <references count="14">
          <reference field="2" count="1" selected="0">
            <x v="11"/>
          </reference>
          <reference field="4" count="1" selected="0">
            <x v="1"/>
          </reference>
          <reference field="7" count="1" selected="0">
            <x v="23"/>
          </reference>
          <reference field="8" count="1" selected="0">
            <x v="1"/>
          </reference>
          <reference field="15" count="1" selected="0">
            <x v="2"/>
          </reference>
          <reference field="16" count="1" selected="0">
            <x v="8"/>
          </reference>
          <reference field="17" count="1" selected="0">
            <x v="8"/>
          </reference>
          <reference field="18" count="1" selected="0">
            <x v="8"/>
          </reference>
          <reference field="19" count="1" selected="0">
            <x v="1"/>
          </reference>
          <reference field="20" count="1" selected="0">
            <x v="2"/>
          </reference>
          <reference field="22" count="1" selected="0">
            <x v="2"/>
          </reference>
          <reference field="24" count="1">
            <x v="52"/>
          </reference>
          <reference field="31" count="1" selected="0">
            <x v="4"/>
          </reference>
          <reference field="32" count="1" selected="0">
            <x v="39"/>
          </reference>
        </references>
      </pivotArea>
    </format>
    <format dxfId="98">
      <pivotArea dataOnly="0" labelOnly="1" outline="0" fieldPosition="0">
        <references count="14">
          <reference field="2" count="1" selected="0">
            <x v="12"/>
          </reference>
          <reference field="4" count="1" selected="0">
            <x v="1"/>
          </reference>
          <reference field="7" count="1" selected="0">
            <x v="2"/>
          </reference>
          <reference field="8" count="1" selected="0">
            <x v="2"/>
          </reference>
          <reference field="15" count="1" selected="0">
            <x v="3"/>
          </reference>
          <reference field="16" count="1" selected="0">
            <x v="31"/>
          </reference>
          <reference field="17" count="1" selected="0">
            <x v="44"/>
          </reference>
          <reference field="18" count="1" selected="0">
            <x v="34"/>
          </reference>
          <reference field="19" count="1" selected="0">
            <x v="1"/>
          </reference>
          <reference field="20" count="1" selected="0">
            <x v="4"/>
          </reference>
          <reference field="22" count="1" selected="0">
            <x v="4"/>
          </reference>
          <reference field="24" count="1">
            <x v="54"/>
          </reference>
          <reference field="31" count="1" selected="0">
            <x v="4"/>
          </reference>
          <reference field="32" count="1" selected="0">
            <x v="41"/>
          </reference>
        </references>
      </pivotArea>
    </format>
    <format dxfId="97">
      <pivotArea dataOnly="0" labelOnly="1" outline="0" fieldPosition="0">
        <references count="14">
          <reference field="2" count="1" selected="0">
            <x v="38"/>
          </reference>
          <reference field="4" count="1" selected="0">
            <x v="0"/>
          </reference>
          <reference field="7" count="1" selected="0">
            <x v="22"/>
          </reference>
          <reference field="8" count="1" selected="0">
            <x v="1"/>
          </reference>
          <reference field="15" count="1" selected="0">
            <x v="4"/>
          </reference>
          <reference field="16" count="1" selected="0">
            <x v="2"/>
          </reference>
          <reference field="17" count="1" selected="0">
            <x v="2"/>
          </reference>
          <reference field="18" count="1" selected="0">
            <x v="35"/>
          </reference>
          <reference field="19" count="1" selected="0">
            <x v="1"/>
          </reference>
          <reference field="20" count="1" selected="0">
            <x v="8"/>
          </reference>
          <reference field="22" count="1" selected="0">
            <x v="8"/>
          </reference>
          <reference field="24" count="1">
            <x v="57"/>
          </reference>
          <reference field="31" count="1" selected="0">
            <x v="5"/>
          </reference>
          <reference field="32" count="1" selected="0">
            <x v="29"/>
          </reference>
        </references>
      </pivotArea>
    </format>
    <format dxfId="96">
      <pivotArea dataOnly="0" labelOnly="1" outline="0" fieldPosition="0">
        <references count="14">
          <reference field="2" count="1" selected="0">
            <x v="13"/>
          </reference>
          <reference field="4" count="1" selected="0">
            <x v="0"/>
          </reference>
          <reference field="7" count="1" selected="0">
            <x v="7"/>
          </reference>
          <reference field="8" count="1" selected="0">
            <x v="3"/>
          </reference>
          <reference field="15" count="1" selected="0">
            <x v="2"/>
          </reference>
          <reference field="16" count="1" selected="0">
            <x v="10"/>
          </reference>
          <reference field="17" count="1" selected="0">
            <x v="10"/>
          </reference>
          <reference field="18" count="1" selected="0">
            <x v="10"/>
          </reference>
          <reference field="19" count="1" selected="0">
            <x v="1"/>
          </reference>
          <reference field="20" count="1" selected="0">
            <x v="6"/>
          </reference>
          <reference field="22" count="1" selected="0">
            <x v="6"/>
          </reference>
          <reference field="24" count="1">
            <x v="55"/>
          </reference>
          <reference field="31" count="1" selected="0">
            <x v="5"/>
          </reference>
          <reference field="32" count="1" selected="0">
            <x v="31"/>
          </reference>
        </references>
      </pivotArea>
    </format>
    <format dxfId="95">
      <pivotArea dataOnly="0" labelOnly="1" outline="0" fieldPosition="0">
        <references count="14">
          <reference field="2" count="1" selected="0">
            <x v="15"/>
          </reference>
          <reference field="4" count="1" selected="0">
            <x v="0"/>
          </reference>
          <reference field="7" count="1" selected="0">
            <x v="24"/>
          </reference>
          <reference field="8" count="1" selected="0">
            <x v="3"/>
          </reference>
          <reference field="15" count="1" selected="0">
            <x v="5"/>
          </reference>
          <reference field="16" count="1" selected="0">
            <x v="11"/>
          </reference>
          <reference field="17" count="1" selected="0">
            <x v="11"/>
          </reference>
          <reference field="18" count="1" selected="0">
            <x v="11"/>
          </reference>
          <reference field="19" count="1" selected="0">
            <x v="1"/>
          </reference>
          <reference field="20" count="1" selected="0">
            <x v="0"/>
          </reference>
          <reference field="22" count="1" selected="0">
            <x v="0"/>
          </reference>
          <reference field="24" count="1">
            <x v="0"/>
          </reference>
          <reference field="31" count="1" selected="0">
            <x v="5"/>
          </reference>
          <reference field="32" count="1" selected="0">
            <x v="84"/>
          </reference>
        </references>
      </pivotArea>
    </format>
    <format dxfId="94">
      <pivotArea dataOnly="0" labelOnly="1" outline="0" fieldPosition="0">
        <references count="14">
          <reference field="2" count="1" selected="0">
            <x v="16"/>
          </reference>
          <reference field="4" count="1" selected="0">
            <x v="6"/>
          </reference>
          <reference field="7" count="1" selected="0">
            <x v="8"/>
          </reference>
          <reference field="8" count="1" selected="0">
            <x v="1"/>
          </reference>
          <reference field="15" count="1" selected="0">
            <x v="6"/>
          </reference>
          <reference field="16" count="1" selected="0">
            <x v="4"/>
          </reference>
          <reference field="17" count="1" selected="0">
            <x v="4"/>
          </reference>
          <reference field="18" count="1" selected="0">
            <x v="4"/>
          </reference>
          <reference field="19" count="1" selected="0">
            <x v="2"/>
          </reference>
          <reference field="20" count="1" selected="0">
            <x v="10"/>
          </reference>
          <reference field="22" count="1" selected="0">
            <x v="10"/>
          </reference>
          <reference field="24" count="1">
            <x v="57"/>
          </reference>
          <reference field="31" count="1" selected="0">
            <x v="6"/>
          </reference>
          <reference field="32" count="1" selected="0">
            <x v="1"/>
          </reference>
        </references>
      </pivotArea>
    </format>
    <format dxfId="93">
      <pivotArea dataOnly="0" labelOnly="1" outline="0" fieldPosition="0">
        <references count="14">
          <reference field="2" count="1" selected="0">
            <x v="17"/>
          </reference>
          <reference field="4" count="1" selected="0">
            <x v="6"/>
          </reference>
          <reference field="7" count="1" selected="0">
            <x v="27"/>
          </reference>
          <reference field="8" count="1" selected="0">
            <x v="4"/>
          </reference>
          <reference field="15" count="1" selected="0">
            <x v="7"/>
          </reference>
          <reference field="16" count="1" selected="0">
            <x v="5"/>
          </reference>
          <reference field="17" count="1" selected="0">
            <x v="5"/>
          </reference>
          <reference field="18" count="1" selected="0">
            <x v="5"/>
          </reference>
          <reference field="19" count="1" selected="0">
            <x v="3"/>
          </reference>
          <reference field="20" count="1" selected="0">
            <x v="12"/>
          </reference>
          <reference field="22" count="1" selected="0">
            <x v="12"/>
          </reference>
          <reference field="24" count="1">
            <x v="59"/>
          </reference>
          <reference field="31" count="1" selected="0">
            <x v="6"/>
          </reference>
          <reference field="32" count="1" selected="0">
            <x v="3"/>
          </reference>
        </references>
      </pivotArea>
    </format>
    <format dxfId="92">
      <pivotArea dataOnly="0" labelOnly="1" outline="0" fieldPosition="0">
        <references count="14">
          <reference field="2" count="1" selected="0">
            <x v="19"/>
          </reference>
          <reference field="4" count="1" selected="0">
            <x v="6"/>
          </reference>
          <reference field="7" count="1" selected="0">
            <x v="10"/>
          </reference>
          <reference field="8" count="1" selected="0">
            <x v="4"/>
          </reference>
          <reference field="15" count="1" selected="0">
            <x v="9"/>
          </reference>
          <reference field="16" count="1" selected="0">
            <x v="7"/>
          </reference>
          <reference field="17" count="1" selected="0">
            <x v="7"/>
          </reference>
          <reference field="18" count="1" selected="0">
            <x v="7"/>
          </reference>
          <reference field="19" count="1" selected="0">
            <x v="5"/>
          </reference>
          <reference field="20" count="1" selected="0">
            <x v="14"/>
          </reference>
          <reference field="22" count="1" selected="0">
            <x v="14"/>
          </reference>
          <reference field="24" count="1">
            <x v="12"/>
          </reference>
          <reference field="31" count="1" selected="0">
            <x v="6"/>
          </reference>
          <reference field="32" count="1" selected="0">
            <x v="6"/>
          </reference>
        </references>
      </pivotArea>
    </format>
    <format dxfId="91">
      <pivotArea dataOnly="0" labelOnly="1" outline="0" fieldPosition="0">
        <references count="14">
          <reference field="2" count="1" selected="0">
            <x v="18"/>
          </reference>
          <reference field="4" count="1" selected="0">
            <x v="6"/>
          </reference>
          <reference field="7" count="1" selected="0">
            <x v="26"/>
          </reference>
          <reference field="8" count="1" selected="0">
            <x v="1"/>
          </reference>
          <reference field="15" count="1" selected="0">
            <x v="8"/>
          </reference>
          <reference field="16" count="1" selected="0">
            <x v="6"/>
          </reference>
          <reference field="17" count="1" selected="0">
            <x v="6"/>
          </reference>
          <reference field="18" count="1" selected="0">
            <x v="6"/>
          </reference>
          <reference field="19" count="1" selected="0">
            <x v="4"/>
          </reference>
          <reference field="20" count="1" selected="0">
            <x v="0"/>
          </reference>
          <reference field="22" count="1" selected="0">
            <x v="0"/>
          </reference>
          <reference field="24" count="1">
            <x v="60"/>
          </reference>
          <reference field="31" count="1" selected="0">
            <x v="6"/>
          </reference>
          <reference field="32" count="1" selected="0">
            <x v="27"/>
          </reference>
        </references>
      </pivotArea>
    </format>
    <format dxfId="90">
      <pivotArea dataOnly="0" labelOnly="1" outline="0" fieldPosition="0">
        <references count="1">
          <reference field="30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46FD60-30E9-4FA7-AAAC-B304E4996D72}" name="TblResultater" displayName="TblResultater" ref="B1:AH73" totalsRowShown="0" headerRowCellStyle="Normal" dataCellStyle="Normal" totalsRowCellStyle="Normal">
  <autoFilter ref="B1:AH73" xr:uid="{0A46FD60-30E9-4FA7-AAAC-B304E4996D72}"/>
  <tableColumns count="33">
    <tableColumn id="1" xr3:uid="{92907CBB-6C2B-45B4-ACB3-90AD0F6D5DB6}" name="NVF-ID" dataCellStyle="Normal" totalsRowCellStyle="Normal">
      <calculatedColumnFormula>'Pulje 1'!B9</calculatedColumnFormula>
    </tableColumn>
    <tableColumn id="2" xr3:uid="{4CF74FED-DC88-4D54-AFDC-09AAA53AE387}" name="Vektklasse" dataCellStyle="Normal" totalsRowCellStyle="Normal">
      <calculatedColumnFormula>'Pulje 1'!C9</calculatedColumnFormula>
    </tableColumn>
    <tableColumn id="3" xr3:uid="{F4034879-F7A8-4F18-9BA2-57D777A3BA03}" name="Kroppsvekt" dataCellStyle="Normal" totalsRowCellStyle="Normal">
      <calculatedColumnFormula>'Pulje 1'!D9</calculatedColumnFormula>
    </tableColumn>
    <tableColumn id="4" xr3:uid="{813C1A66-1FB1-4C29-939E-3DE6C6AD018C}" name="Kategori" dataCellStyle="Normal" totalsRowCellStyle="Normal">
      <calculatedColumnFormula>'Pulje 1'!E9</calculatedColumnFormula>
    </tableColumn>
    <tableColumn id="5" xr3:uid="{A129DC5F-9C41-43C8-B20C-A8F233DD0637}" name="Kategori5K" dataCellStyle="Normal" totalsRowCellStyle="Normal">
      <calculatedColumnFormula>'Pulje 1'!F9</calculatedColumnFormula>
    </tableColumn>
    <tableColumn id="6" xr3:uid="{0E416A46-79CD-49FC-B192-9736E0EFE03D}" name="FDato" dataCellStyle="Normal" totalsRowCellStyle="Normal">
      <calculatedColumnFormula>'Pulje 1'!G9</calculatedColumnFormula>
    </tableColumn>
    <tableColumn id="7" xr3:uid="{71ACE619-3D5F-4CBE-804E-813E9570A5D1}" name="St.Nr" dataCellStyle="Normal" totalsRowCellStyle="Normal">
      <calculatedColumnFormula>'Pulje 1'!H9</calculatedColumnFormula>
    </tableColumn>
    <tableColumn id="8" xr3:uid="{33AE0B0F-7C16-48D9-9348-815BDEB735E3}" name="Navn" dataCellStyle="Normal" totalsRowCellStyle="Normal">
      <calculatedColumnFormula>'Pulje 1'!I9</calculatedColumnFormula>
    </tableColumn>
    <tableColumn id="9" xr3:uid="{612A084E-6BB4-4AA4-8734-D2E5BECD851A}" name="Klubb" dataCellStyle="Normal" totalsRowCellStyle="Normal">
      <calculatedColumnFormula>'Pulje 1'!J9</calculatedColumnFormula>
    </tableColumn>
    <tableColumn id="10" xr3:uid="{A1184CF6-CCE4-40CE-A268-1A4AEFD70D7D}" name="Rykk1" dataCellStyle="Normal" totalsRowCellStyle="Normal">
      <calculatedColumnFormula>'Pulje 1'!K9</calculatedColumnFormula>
    </tableColumn>
    <tableColumn id="11" xr3:uid="{106A145E-E1F8-4205-A219-CDBBE2FBB9AD}" name="Rykk2" dataCellStyle="Normal" totalsRowCellStyle="Normal">
      <calculatedColumnFormula>'Pulje 1'!L9</calculatedColumnFormula>
    </tableColumn>
    <tableColumn id="12" xr3:uid="{A59B7C03-6773-458F-827F-A3D4B7AA595F}" name="Rykk3" dataCellStyle="Normal" totalsRowCellStyle="Normal">
      <calculatedColumnFormula>'Pulje 1'!M9</calculatedColumnFormula>
    </tableColumn>
    <tableColumn id="13" xr3:uid="{8BF05981-F4CF-489C-B645-912B7D29E3D8}" name="Støt1" dataCellStyle="Normal" totalsRowCellStyle="Normal">
      <calculatedColumnFormula>'Pulje 1'!N9</calculatedColumnFormula>
    </tableColumn>
    <tableColumn id="14" xr3:uid="{6C1455F1-8120-4663-B8E0-4B69A633AB28}" name="Støt2" dataCellStyle="Normal" totalsRowCellStyle="Normal">
      <calculatedColumnFormula>'Pulje 1'!O9</calculatedColumnFormula>
    </tableColumn>
    <tableColumn id="15" xr3:uid="{B8B80C93-07C3-42F2-ACD8-53B2FD2073C7}" name="Støt3" dataCellStyle="Normal" totalsRowCellStyle="Normal">
      <calculatedColumnFormula>'Pulje 1'!P9</calculatedColumnFormula>
    </tableColumn>
    <tableColumn id="16" xr3:uid="{BE23804B-469F-4124-ACD6-FFDB247DEAEC}" name="Brykk" dataCellStyle="Normal" totalsRowCellStyle="Normal">
      <calculatedColumnFormula>'Pulje 1'!Q9</calculatedColumnFormula>
    </tableColumn>
    <tableColumn id="17" xr3:uid="{F42B8788-DD7A-4CDB-B98E-30043262E9AD}" name="Bstøt" dataCellStyle="Normal" totalsRowCellStyle="Normal">
      <calculatedColumnFormula>'Pulje 1'!R9</calculatedColumnFormula>
    </tableColumn>
    <tableColumn id="18" xr3:uid="{954483EC-9804-45C3-B8F8-F9FF80FEE5BE}" name="SML" dataCellStyle="Normal" totalsRowCellStyle="Normal">
      <calculatedColumnFormula>'Pulje 1'!S10</calculatedColumnFormula>
    </tableColumn>
    <tableColumn id="19" xr3:uid="{C0205367-1393-4817-925F-2F507E4B9C92}" name="Poeng" dataDxfId="219" dataCellStyle="Normal" totalsRowCellStyle="Normal">
      <calculatedColumnFormula>'Pulje 1'!T9</calculatedColumnFormula>
    </tableColumn>
    <tableColumn id="20" xr3:uid="{02FC894C-C679-4246-90F1-3C9D1D3E4BE0}" name="VetPoeng" dataDxfId="218" dataCellStyle="Normal" totalsRowCellStyle="Normal">
      <calculatedColumnFormula>'Pulje 1'!U9</calculatedColumnFormula>
    </tableColumn>
    <tableColumn id="21" xr3:uid="{DFC01092-A437-40A8-B9C9-6B855175BAD0}" name="3-Hopp" dataDxfId="217" dataCellStyle="Normal" totalsRowCellStyle="Normal">
      <calculatedColumnFormula>'Pulje 1'!V9</calculatedColumnFormula>
    </tableColumn>
    <tableColumn id="22" xr3:uid="{9BF56653-2586-40EC-B4B0-021F7BC1D9A2}" name="3-HoppPoeng" dataDxfId="216" dataCellStyle="Normal" totalsRowCellStyle="Normal">
      <calculatedColumnFormula>'Pulje 1'!V10</calculatedColumnFormula>
    </tableColumn>
    <tableColumn id="23" xr3:uid="{7CD4E1B5-5F9E-459D-992F-3A42E828442E}" name="Kulekast" dataDxfId="215" dataCellStyle="Normal" totalsRowCellStyle="Normal">
      <calculatedColumnFormula>'Pulje 1'!W9</calculatedColumnFormula>
    </tableColumn>
    <tableColumn id="24" xr3:uid="{8EC2B0A6-D48E-44F3-9760-FF5CA05EF55A}" name="KulePoeng" dataDxfId="214" dataCellStyle="Normal" totalsRowCellStyle="Normal">
      <calculatedColumnFormula>'Pulje 1'!W10</calculatedColumnFormula>
    </tableColumn>
    <tableColumn id="25" xr3:uid="{47C4DD97-043F-4A78-B1D3-11ADDEDDF7E8}" name="40m" dataDxfId="213" dataCellStyle="Normal" totalsRowCellStyle="Normal">
      <calculatedColumnFormula>'Pulje 1'!X9</calculatedColumnFormula>
    </tableColumn>
    <tableColumn id="26" xr3:uid="{D3EC0D37-5F71-4A45-A8EC-FE2CD0236E50}" name="40mPoeng" dataDxfId="212" dataCellStyle="Normal" totalsRowCellStyle="Normal">
      <calculatedColumnFormula>'Pulje 1'!X10</calculatedColumnFormula>
    </tableColumn>
    <tableColumn id="27" xr3:uid="{97EA3623-0DD1-494C-9938-2315D41B5345}" name="3-Kamp" dataDxfId="211" dataCellStyle="Normal" totalsRowCellStyle="Normal">
      <calculatedColumnFormula>'Pulje 1'!Y10</calculatedColumnFormula>
    </tableColumn>
    <tableColumn id="28" xr3:uid="{A5C3D8CA-DD8A-446A-A301-D3BE2163E97F}" name="5-kamp" dataDxfId="210" dataCellStyle="Normal" totalsRowCellStyle="Normal">
      <calculatedColumnFormula>'Pulje 1'!Z10</calculatedColumnFormula>
    </tableColumn>
    <tableColumn id="29" xr3:uid="{3019EF4B-EB03-49A5-B12C-A20669324FA3}" name="Alder" dataCellStyle="Normal" totalsRowCellStyle="Normal">
      <calculatedColumnFormula>IF(ISBLANK(G2),"",DATEDIF(G2,StevneDato,"Y"))</calculatedColumnFormula>
    </tableColumn>
    <tableColumn id="30" xr3:uid="{FB45800B-5D83-4BD4-86FD-CF3FC0A27A42}" name="Pulje" dataCellStyle="Normal" totalsRowCellStyle="Normal"/>
    <tableColumn id="31" xr3:uid="{87261231-8DB6-4B3A-B0D2-995269605BD1}" name="Kjønn" dataDxfId="209" dataCellStyle="Normal" totalsRowCellStyle="Normal">
      <calculatedColumnFormula>IFERROR(IF(FIND("K",TblResultater[[#This Row],[Kategori]])&gt;0,"K"),"M")</calculatedColumnFormula>
    </tableColumn>
    <tableColumn id="32" xr3:uid="{395F4F98-AF2C-4A9F-97B9-FAB16536FE12}" name="SortKat" dataDxfId="208" dataCellStyle="Normal" totalsRowCellStyle="Normal">
      <calculatedColumnFormula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calculatedColumnFormula>
    </tableColumn>
    <tableColumn id="33" xr3:uid="{CBBE5C7D-3921-40B7-AFD6-F4DB68771211}" name="SortKP" dataDxfId="207" dataCellStyle="Normal" totalsRowCellStyle="Normal">
      <calculatedColumnFormula>IFERROR(TblResultater[[#This Row],[SortKat]]+TblResultater[[#This Row],[5-kamp]]/10000,)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Zeros="0" showOutlineSymbols="0" topLeftCell="A21" zoomScaleNormal="100" zoomScaleSheetLayoutView="75" zoomScalePageLayoutView="120" workbookViewId="0">
      <selection activeCell="G40" sqref="G40"/>
    </sheetView>
  </sheetViews>
  <sheetFormatPr defaultColWidth="9.140625" defaultRowHeight="12.75" x14ac:dyDescent="0.2"/>
  <cols>
    <col min="1" max="1" width="4.42578125" style="3" customWidth="1"/>
    <col min="2" max="2" width="10.140625" style="3" bestFit="1" customWidth="1"/>
    <col min="3" max="3" width="6.42578125" style="1" customWidth="1"/>
    <col min="4" max="4" width="8.5703125" style="1" customWidth="1"/>
    <col min="5" max="5" width="6.42578125" style="16" customWidth="1"/>
    <col min="6" max="6" width="6.85546875" style="16" customWidth="1"/>
    <col min="7" max="7" width="10.5703125" style="1" customWidth="1"/>
    <col min="8" max="8" width="3.85546875" style="1" customWidth="1"/>
    <col min="9" max="9" width="27.85546875" style="4" customWidth="1"/>
    <col min="10" max="10" width="21" style="4" customWidth="1"/>
    <col min="11" max="11" width="6.85546875" style="1" customWidth="1"/>
    <col min="12" max="12" width="6.85546875" style="18" customWidth="1"/>
    <col min="13" max="13" width="6.85546875" style="1" customWidth="1"/>
    <col min="14" max="14" width="8.85546875" style="1" customWidth="1"/>
    <col min="15" max="19" width="6.85546875" style="1" customWidth="1"/>
    <col min="20" max="20" width="8" style="17" customWidth="1"/>
    <col min="21" max="21" width="12.28515625" style="17" customWidth="1"/>
    <col min="22" max="23" width="8" style="17" customWidth="1"/>
    <col min="24" max="24" width="9" style="17" customWidth="1"/>
    <col min="25" max="25" width="8" style="17" customWidth="1"/>
    <col min="26" max="26" width="10.42578125" style="17" bestFit="1" customWidth="1"/>
    <col min="27" max="27" width="5.7109375" style="199" customWidth="1"/>
    <col min="28" max="28" width="10" style="17" customWidth="1"/>
    <col min="29" max="33" width="10" style="3" hidden="1" customWidth="1"/>
    <col min="34" max="35" width="10" style="2" hidden="1" customWidth="1"/>
    <col min="36" max="36" width="10" style="3" hidden="1" customWidth="1"/>
    <col min="37" max="37" width="10" style="3" customWidth="1"/>
    <col min="38" max="16384" width="9.140625" style="3"/>
  </cols>
  <sheetData>
    <row r="1" spans="1:36" customFormat="1" ht="18.95" customHeight="1" x14ac:dyDescent="0.2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AA1" s="194"/>
    </row>
    <row r="2" spans="1:36" customFormat="1" ht="75" customHeight="1" x14ac:dyDescent="0.8">
      <c r="A2" s="15"/>
      <c r="B2" s="15"/>
      <c r="C2" s="15"/>
      <c r="D2" s="15"/>
      <c r="E2" s="15"/>
      <c r="F2" s="15"/>
      <c r="G2" s="236" t="s">
        <v>58</v>
      </c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15"/>
      <c r="T2" s="15"/>
      <c r="U2" s="82" t="s">
        <v>59</v>
      </c>
      <c r="V2" s="15"/>
      <c r="W2" s="15"/>
      <c r="X2" s="15"/>
      <c r="Y2" s="15"/>
      <c r="AA2" s="194"/>
    </row>
    <row r="3" spans="1:36" customFormat="1" ht="27" x14ac:dyDescent="0.5">
      <c r="A3" s="15"/>
      <c r="B3" s="15"/>
      <c r="C3" s="15"/>
      <c r="D3" s="15"/>
      <c r="E3" s="83"/>
      <c r="F3" s="15"/>
      <c r="G3" s="237" t="s">
        <v>21</v>
      </c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84" t="s">
        <v>60</v>
      </c>
      <c r="T3" s="84"/>
      <c r="U3" s="84"/>
      <c r="V3" s="84"/>
      <c r="W3" s="84"/>
      <c r="X3" s="84"/>
      <c r="Y3" s="84"/>
      <c r="Z3" s="84"/>
      <c r="AA3" s="194"/>
    </row>
    <row r="4" spans="1:36" customFormat="1" x14ac:dyDescent="0.2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AA4" s="194"/>
    </row>
    <row r="5" spans="1:36" s="5" customFormat="1" ht="15.75" x14ac:dyDescent="0.25">
      <c r="C5" s="24" t="s">
        <v>16</v>
      </c>
      <c r="D5" s="257" t="s">
        <v>55</v>
      </c>
      <c r="E5" s="257"/>
      <c r="F5" s="257"/>
      <c r="G5" s="257"/>
      <c r="H5" s="257"/>
      <c r="I5" s="257"/>
      <c r="J5" s="24" t="s">
        <v>0</v>
      </c>
      <c r="K5" s="257" t="s">
        <v>84</v>
      </c>
      <c r="L5" s="257"/>
      <c r="M5" s="257"/>
      <c r="N5" s="257"/>
      <c r="O5" s="24" t="s">
        <v>1</v>
      </c>
      <c r="P5" s="256" t="s">
        <v>85</v>
      </c>
      <c r="Q5" s="256"/>
      <c r="R5" s="256"/>
      <c r="S5" s="256"/>
      <c r="T5" s="24" t="s">
        <v>2</v>
      </c>
      <c r="U5" s="271">
        <v>45829</v>
      </c>
      <c r="V5" s="271"/>
      <c r="W5" s="54"/>
      <c r="X5" s="54"/>
      <c r="Y5" s="54"/>
      <c r="Z5" s="25" t="s">
        <v>15</v>
      </c>
      <c r="AA5" s="198"/>
      <c r="AB5" s="26">
        <v>1</v>
      </c>
      <c r="AH5" s="35"/>
      <c r="AI5" s="35"/>
    </row>
    <row r="6" spans="1:36" x14ac:dyDescent="0.2">
      <c r="AG6" s="38" t="s">
        <v>27</v>
      </c>
      <c r="AH6" s="38" t="s">
        <v>27</v>
      </c>
      <c r="AI6" s="38" t="s">
        <v>27</v>
      </c>
      <c r="AJ6" s="217" t="s">
        <v>57</v>
      </c>
    </row>
    <row r="7" spans="1:36" s="1" customFormat="1" x14ac:dyDescent="0.2">
      <c r="B7" s="254" t="s">
        <v>33</v>
      </c>
      <c r="C7" s="258" t="s">
        <v>52</v>
      </c>
      <c r="D7" s="258" t="s">
        <v>51</v>
      </c>
      <c r="E7" s="260" t="s">
        <v>53</v>
      </c>
      <c r="F7" s="262" t="s">
        <v>61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69" t="s">
        <v>9</v>
      </c>
      <c r="V7" s="62" t="s">
        <v>44</v>
      </c>
      <c r="W7" s="62" t="s">
        <v>45</v>
      </c>
      <c r="X7" s="62" t="s">
        <v>46</v>
      </c>
      <c r="Y7" s="70" t="s">
        <v>47</v>
      </c>
      <c r="Z7" s="71" t="s">
        <v>43</v>
      </c>
      <c r="AA7" s="200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7"/>
    </row>
    <row r="8" spans="1:36" s="1" customFormat="1" x14ac:dyDescent="0.2">
      <c r="B8" s="255"/>
      <c r="C8" s="259"/>
      <c r="D8" s="259"/>
      <c r="E8" s="261"/>
      <c r="F8" s="263"/>
      <c r="G8" s="56" t="s">
        <v>14</v>
      </c>
      <c r="H8" s="56" t="s">
        <v>20</v>
      </c>
      <c r="I8" s="56"/>
      <c r="J8" s="56"/>
      <c r="K8" s="57">
        <v>1</v>
      </c>
      <c r="L8" s="57">
        <v>2</v>
      </c>
      <c r="M8" s="58">
        <v>3</v>
      </c>
      <c r="N8" s="58">
        <v>1</v>
      </c>
      <c r="O8" s="57">
        <v>2</v>
      </c>
      <c r="P8" s="58">
        <v>3</v>
      </c>
      <c r="Q8" s="59" t="s">
        <v>18</v>
      </c>
      <c r="R8" s="56"/>
      <c r="S8" s="56" t="s">
        <v>11</v>
      </c>
      <c r="T8" s="60"/>
      <c r="U8" s="61" t="s">
        <v>23</v>
      </c>
      <c r="V8" s="62" t="s">
        <v>9</v>
      </c>
      <c r="W8" s="62" t="s">
        <v>9</v>
      </c>
      <c r="X8" s="62" t="s">
        <v>9</v>
      </c>
      <c r="Y8" s="63" t="s">
        <v>48</v>
      </c>
      <c r="Z8" s="64" t="s">
        <v>49</v>
      </c>
      <c r="AA8" s="201"/>
      <c r="AB8" s="60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.100000000000001" customHeight="1" x14ac:dyDescent="0.2">
      <c r="B9" s="109">
        <v>2005008</v>
      </c>
      <c r="C9" s="166" t="s">
        <v>176</v>
      </c>
      <c r="D9" s="167">
        <v>72.64</v>
      </c>
      <c r="E9" s="166" t="s">
        <v>90</v>
      </c>
      <c r="F9" s="168" t="s">
        <v>91</v>
      </c>
      <c r="G9" s="169">
        <v>38415</v>
      </c>
      <c r="H9" s="170"/>
      <c r="I9" s="171" t="s">
        <v>92</v>
      </c>
      <c r="J9" s="172" t="s">
        <v>86</v>
      </c>
      <c r="K9" s="135">
        <v>115</v>
      </c>
      <c r="L9" s="136">
        <v>120</v>
      </c>
      <c r="M9" s="136">
        <v>-125</v>
      </c>
      <c r="N9" s="135">
        <v>-140</v>
      </c>
      <c r="O9" s="125">
        <v>140</v>
      </c>
      <c r="P9" s="125">
        <v>-152</v>
      </c>
      <c r="Q9" s="155">
        <f>IF(MAX(K9:M9)&gt;0,IF(MAX(K9:M9)&lt;0,0,TRUNC(MAX(K9:M9)/1)*1),"")</f>
        <v>120</v>
      </c>
      <c r="R9" s="156">
        <f>IF(MAX(N9:P9)&gt;0,IF(MAX(N9:P9)&lt;0,0,TRUNC(MAX(N9:P9)/1)*1),"")</f>
        <v>140</v>
      </c>
      <c r="S9" s="156">
        <f>IF(Q9="","",IF(R9="","",IF(SUM(Q9:R9)=0,"",SUM(Q9:R9))))</f>
        <v>260</v>
      </c>
      <c r="T9" s="157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351.54693450660056</v>
      </c>
      <c r="U9" s="158" t="str">
        <f>IF(AF9=1,T9*AI9,"")</f>
        <v/>
      </c>
      <c r="V9" s="130">
        <v>9.9</v>
      </c>
      <c r="W9" s="130">
        <v>11.6</v>
      </c>
      <c r="X9" s="130">
        <v>5.97</v>
      </c>
      <c r="Y9" s="128"/>
      <c r="Z9" s="131"/>
      <c r="AA9" s="170"/>
      <c r="AB9" s="132" t="s">
        <v>183</v>
      </c>
      <c r="AC9" s="67">
        <f>U5</f>
        <v>45829</v>
      </c>
      <c r="AD9" s="68" t="str">
        <f>IF(ISNUMBER(FIND("M",E9)),"m",IF(ISNUMBER(FIND("K",E9)),"k"))</f>
        <v>m</v>
      </c>
      <c r="AE9" s="66">
        <f>IF(OR(G9="",AC9=""),0,(YEAR(AC9)-YEAR(G9)))</f>
        <v>20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5">
        <f>IF(D9="","",IF(D9&gt;193.609,1,IF(D9&lt;32,10^(0.722762521*LOG10(32/193.609)^2),10^(0.722762521*LOG10(D9/193.609)^2))))</f>
        <v>1.3521035942561561</v>
      </c>
    </row>
    <row r="10" spans="1:36" s="8" customFormat="1" ht="20.100000000000001" customHeight="1" x14ac:dyDescent="0.2">
      <c r="B10" s="137"/>
      <c r="C10" s="137"/>
      <c r="D10" s="137"/>
      <c r="E10" s="137"/>
      <c r="F10" s="137"/>
      <c r="G10" s="137"/>
      <c r="H10" s="137"/>
      <c r="I10" s="137"/>
      <c r="J10" s="137"/>
      <c r="K10" s="218"/>
      <c r="L10" s="218"/>
      <c r="M10" s="218"/>
      <c r="N10" s="219"/>
      <c r="O10" s="219"/>
      <c r="P10" s="219"/>
      <c r="Q10" s="141"/>
      <c r="R10" s="138"/>
      <c r="S10" s="220">
        <f>IF(T9="","",T9*1.2)</f>
        <v>421.85632140792069</v>
      </c>
      <c r="T10" s="220"/>
      <c r="U10" s="138"/>
      <c r="V10" s="158">
        <f>IF(V9&gt;0,V9*20,"")</f>
        <v>198</v>
      </c>
      <c r="W10" s="158">
        <f>IF(W9="","",(W9*10)*AJ9)</f>
        <v>156.8440169337141</v>
      </c>
      <c r="X10" s="158">
        <f>IF(ROUNDUP(X9,1)&gt;0,IF((80+(8-ROUNDUP(X9,1))*40)&lt;0,0,80+(8-ROUNDUP(X9,1))*40),"")</f>
        <v>160</v>
      </c>
      <c r="Y10" s="157">
        <f>IF(SUM(V10,W10,X10)&gt;0,SUM(V10,W10,X10),"")</f>
        <v>514.8440169337141</v>
      </c>
      <c r="Z10" s="159">
        <f>IFERROR(IF(AE9&gt;34,(IF(OR(S10="",V10="",W10="",X10=""),"",SUM(S10,V10,W10,X10))*AI9),IF(OR(S10="",V10="",W10="",X10=""),"", SUM(S10,V10,W10,X10))),)</f>
        <v>936.70033834163473</v>
      </c>
      <c r="AA10" s="202">
        <v>1</v>
      </c>
      <c r="AB10" s="95"/>
      <c r="AC10" s="65"/>
      <c r="AD10" s="1"/>
      <c r="AE10" s="66"/>
      <c r="AF10" s="40"/>
      <c r="AH10" s="36"/>
      <c r="AI10" s="36"/>
      <c r="AJ10" s="85"/>
    </row>
    <row r="11" spans="1:36" s="8" customFormat="1" ht="20.100000000000001" customHeight="1" x14ac:dyDescent="0.2">
      <c r="B11" s="109">
        <v>2004016</v>
      </c>
      <c r="C11" s="96" t="s">
        <v>178</v>
      </c>
      <c r="D11" s="97">
        <v>106.33</v>
      </c>
      <c r="E11" s="96" t="s">
        <v>93</v>
      </c>
      <c r="F11" s="161" t="s">
        <v>91</v>
      </c>
      <c r="G11" s="162">
        <v>37993</v>
      </c>
      <c r="H11" s="163"/>
      <c r="I11" s="164" t="s">
        <v>94</v>
      </c>
      <c r="J11" s="98" t="s">
        <v>95</v>
      </c>
      <c r="K11" s="135">
        <v>123</v>
      </c>
      <c r="L11" s="136">
        <v>127</v>
      </c>
      <c r="M11" s="136">
        <v>-128</v>
      </c>
      <c r="N11" s="135">
        <v>145</v>
      </c>
      <c r="O11" s="100">
        <v>152</v>
      </c>
      <c r="P11" s="100">
        <v>-154</v>
      </c>
      <c r="Q11" s="155">
        <f>IF(MAX(K11:M11)&gt;0,IF(MAX(K11:M11)&lt;0,0,TRUNC(MAX(K11:M11)/1)*1),"")</f>
        <v>127</v>
      </c>
      <c r="R11" s="155">
        <f>IF(MAX(N11:P11)&gt;0,IF(MAX(N11:P11)&lt;0,0,TRUNC(MAX(N11:P11)/1)*1),"")</f>
        <v>152</v>
      </c>
      <c r="S11" s="156">
        <f>IF(Q11="","",IF(R11="","",IF(SUM(Q11:R11)=0,"",SUM(Q11:R11))))</f>
        <v>279</v>
      </c>
      <c r="T11" s="157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312.29452890558724</v>
      </c>
      <c r="U11" s="104" t="str">
        <f>IFERROR(IF(AF11=1,T11*AI11,""),)</f>
        <v/>
      </c>
      <c r="V11" s="105">
        <v>9.1999999999999993</v>
      </c>
      <c r="W11" s="105">
        <v>14</v>
      </c>
      <c r="X11" s="105">
        <v>6.25</v>
      </c>
      <c r="Y11" s="106"/>
      <c r="Z11" s="107"/>
      <c r="AA11" s="163"/>
      <c r="AB11" s="108"/>
      <c r="AC11" s="65">
        <f>U5</f>
        <v>45829</v>
      </c>
      <c r="AD11" s="68" t="str">
        <f>IF(ISNUMBER(FIND("M",E11)),"m",IF(ISNUMBER(FIND("K",E11)),"k"))</f>
        <v>m</v>
      </c>
      <c r="AE11" s="66">
        <f>IF(OR(G11="",AC11=""),0,(YEAR(AC11)-YEAR(G11)))</f>
        <v>21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5">
        <f>IF(D11="","",IF(D11&gt;193.609,1,IF(D11&lt;32,10^(0.722762521*LOG10(32/193.609)^2),10^(0.722762521*LOG10(D11/193.609)^2))))</f>
        <v>1.119335229052284</v>
      </c>
    </row>
    <row r="12" spans="1:36" s="8" customFormat="1" ht="20.100000000000001" customHeight="1" x14ac:dyDescent="0.2">
      <c r="B12" s="137"/>
      <c r="C12" s="137"/>
      <c r="D12" s="137"/>
      <c r="E12" s="137"/>
      <c r="F12" s="137"/>
      <c r="G12" s="137"/>
      <c r="H12" s="137"/>
      <c r="I12" s="137"/>
      <c r="J12" s="137"/>
      <c r="K12" s="218"/>
      <c r="L12" s="218"/>
      <c r="M12" s="218"/>
      <c r="N12" s="219"/>
      <c r="O12" s="219"/>
      <c r="P12" s="219"/>
      <c r="Q12" s="141"/>
      <c r="R12" s="138"/>
      <c r="S12" s="220">
        <f>IF(T11="","",T11*1.2)</f>
        <v>374.75343468670468</v>
      </c>
      <c r="T12" s="220"/>
      <c r="U12" s="143"/>
      <c r="V12" s="158">
        <f>IF(V11&gt;0,V11*20,"")</f>
        <v>184</v>
      </c>
      <c r="W12" s="158">
        <f>IF(W11="","",(W11*10)*AJ11)</f>
        <v>156.70693206731977</v>
      </c>
      <c r="X12" s="158">
        <f>IF(ROUNDUP(X11,1)&gt;0,IF((80+(8-ROUNDUP(X11,1))*40)&lt;0,0,80+(8-ROUNDUP(X11,1))*40),"")</f>
        <v>148</v>
      </c>
      <c r="Y12" s="158">
        <f>IF(SUM(V12,W12,X12)&gt;0,SUM(V12,W12,X12),"")</f>
        <v>488.70693206731977</v>
      </c>
      <c r="Z12" s="158">
        <f>IFERROR(IF(AE11&gt;34,(IF(OR(S12="",V12="",W12="",X12=""),"",SUM(S12,V12,W12,X12))*AI11),IF(OR(S12="",V12="",W12="",X12=""),"", SUM(S12,V12,W12,X12))),)</f>
        <v>863.46036675402434</v>
      </c>
      <c r="AA12" s="202">
        <v>2</v>
      </c>
      <c r="AB12" s="95"/>
      <c r="AC12" s="65"/>
      <c r="AD12" s="1"/>
      <c r="AE12" s="66"/>
      <c r="AF12" s="34"/>
      <c r="AH12" s="36"/>
      <c r="AI12" s="36"/>
      <c r="AJ12" s="85"/>
    </row>
    <row r="13" spans="1:36" s="8" customFormat="1" ht="20.100000000000001" customHeight="1" x14ac:dyDescent="0.2">
      <c r="B13" s="109" t="s">
        <v>96</v>
      </c>
      <c r="C13" s="161" t="s">
        <v>179</v>
      </c>
      <c r="D13" s="97">
        <v>126.51</v>
      </c>
      <c r="E13" s="96" t="s">
        <v>93</v>
      </c>
      <c r="F13" s="161" t="s">
        <v>97</v>
      </c>
      <c r="G13" s="162">
        <v>36620</v>
      </c>
      <c r="H13" s="163"/>
      <c r="I13" s="164" t="s">
        <v>98</v>
      </c>
      <c r="J13" s="98" t="s">
        <v>81</v>
      </c>
      <c r="K13" s="99">
        <v>-120</v>
      </c>
      <c r="L13" s="100">
        <v>120</v>
      </c>
      <c r="M13" s="100">
        <v>-126</v>
      </c>
      <c r="N13" s="99">
        <v>150</v>
      </c>
      <c r="O13" s="100">
        <v>155</v>
      </c>
      <c r="P13" s="100">
        <v>-160</v>
      </c>
      <c r="Q13" s="155">
        <f>IF(MAX(K13:M13)&gt;0,IF(MAX(K13:M13)&lt;0,0,TRUNC(MAX(K13:M13)/1)*1),"")</f>
        <v>120</v>
      </c>
      <c r="R13" s="155">
        <f>IF(MAX(N13:P13)&gt;0,IF(MAX(N13:P13)&lt;0,0,TRUNC(MAX(N13:P13)/1)*1),"")</f>
        <v>155</v>
      </c>
      <c r="S13" s="156">
        <f>IF(Q13="","",IF(R13="","",IF(SUM(Q13:R13)=0,"",SUM(Q13:R13))))</f>
        <v>275</v>
      </c>
      <c r="T13" s="157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291.08241461765903</v>
      </c>
      <c r="U13" s="104" t="str">
        <f>IFERROR(IF(AF13=1,T13*AI13,""),)</f>
        <v/>
      </c>
      <c r="V13" s="105">
        <v>7.9</v>
      </c>
      <c r="W13" s="105">
        <v>11.15</v>
      </c>
      <c r="X13" s="105">
        <v>6.59</v>
      </c>
      <c r="Y13" s="110"/>
      <c r="Z13" s="107"/>
      <c r="AA13" s="163"/>
      <c r="AB13" s="108"/>
      <c r="AC13" s="65">
        <f>U5</f>
        <v>45829</v>
      </c>
      <c r="AD13" s="68" t="str">
        <f>IF(ISNUMBER(FIND("M",E13)),"m",IF(ISNUMBER(FIND("K",E13)),"k"))</f>
        <v>m</v>
      </c>
      <c r="AE13" s="66">
        <f>IF(OR(G13="",AC13=""),0,(YEAR(AC13)-YEAR(G13)))</f>
        <v>25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5">
        <f>IF(D13="","",IF(D13&gt;193.609,1,IF(D13&lt;32,10^(0.722762521*LOG10(32/193.609)^2),10^(0.722762521*LOG10(D13/193.609)^2))))</f>
        <v>1.0584815077005783</v>
      </c>
    </row>
    <row r="14" spans="1:36" s="8" customFormat="1" ht="20.100000000000001" customHeight="1" x14ac:dyDescent="0.2">
      <c r="B14" s="137"/>
      <c r="C14" s="137"/>
      <c r="D14" s="137"/>
      <c r="E14" s="137"/>
      <c r="F14" s="137"/>
      <c r="G14" s="137"/>
      <c r="H14" s="137"/>
      <c r="I14" s="137"/>
      <c r="J14" s="137"/>
      <c r="K14" s="218"/>
      <c r="L14" s="218"/>
      <c r="M14" s="218"/>
      <c r="N14" s="219"/>
      <c r="O14" s="219"/>
      <c r="P14" s="219"/>
      <c r="Q14" s="141"/>
      <c r="R14" s="138"/>
      <c r="S14" s="220">
        <f>IF(T13="","",T13*1.2)</f>
        <v>349.2988975411908</v>
      </c>
      <c r="T14" s="220"/>
      <c r="U14" s="138"/>
      <c r="V14" s="158">
        <f>IF(V13&gt;0,V13*20,"")</f>
        <v>158</v>
      </c>
      <c r="W14" s="158">
        <f>IF(W13="","",(W13*10)*AJ13)</f>
        <v>118.02068810861448</v>
      </c>
      <c r="X14" s="158">
        <f>IF(ROUNDUP(X13,1)&gt;0,IF((80+(8-ROUNDUP(X13,1))*40)&lt;0,0,80+(8-ROUNDUP(X13,1))*40),"")</f>
        <v>136</v>
      </c>
      <c r="Y14" s="158">
        <f>IF(SUM(V14,W14,X14)&gt;0,SUM(V14,W14,X14),"")</f>
        <v>412.02068810861448</v>
      </c>
      <c r="Z14" s="158">
        <f>IFERROR(IF(AE13&gt;34,(IF(OR(S14="",V14="",W14="",X14=""),"",SUM(S14,V14,W14,X14))*AI13),IF(OR(S14="",V14="",W14="",X14=""),"", SUM(S14,V14,W14,X14))),)</f>
        <v>761.31958564980528</v>
      </c>
      <c r="AA14" s="202">
        <v>2</v>
      </c>
      <c r="AB14" s="95"/>
      <c r="AC14" s="65"/>
      <c r="AD14" s="1"/>
      <c r="AE14" s="66"/>
      <c r="AF14" s="34"/>
      <c r="AH14" s="36"/>
      <c r="AI14" s="36"/>
      <c r="AJ14" s="85"/>
    </row>
    <row r="15" spans="1:36" s="8" customFormat="1" ht="20.100000000000001" customHeight="1" x14ac:dyDescent="0.2">
      <c r="B15" s="109" t="s">
        <v>99</v>
      </c>
      <c r="C15" s="96" t="s">
        <v>178</v>
      </c>
      <c r="D15" s="97">
        <v>95.3</v>
      </c>
      <c r="E15" s="96" t="s">
        <v>93</v>
      </c>
      <c r="F15" s="161" t="s">
        <v>97</v>
      </c>
      <c r="G15" s="162">
        <v>36508</v>
      </c>
      <c r="H15" s="163"/>
      <c r="I15" s="164" t="s">
        <v>100</v>
      </c>
      <c r="J15" s="172" t="s">
        <v>86</v>
      </c>
      <c r="K15" s="99">
        <v>93</v>
      </c>
      <c r="L15" s="100">
        <v>98</v>
      </c>
      <c r="M15" s="100">
        <v>-102</v>
      </c>
      <c r="N15" s="99">
        <v>125</v>
      </c>
      <c r="O15" s="100">
        <v>131</v>
      </c>
      <c r="P15" s="100">
        <v>133</v>
      </c>
      <c r="Q15" s="155">
        <f>IF(MAX(K15:M15)&gt;0,IF(MAX(K15:M15)&lt;0,0,TRUNC(MAX(K15:M15)/1)*1),"")</f>
        <v>98</v>
      </c>
      <c r="R15" s="155">
        <f>IF(MAX(N15:P15)&gt;0,IF(MAX(N15:P15)&lt;0,0,TRUNC(MAX(N15:P15)/1)*1),"")</f>
        <v>133</v>
      </c>
      <c r="S15" s="156">
        <f>IF(Q15="","",IF(R15="","",IF(SUM(Q15:R15)=0,"",SUM(Q15:R15))))</f>
        <v>231</v>
      </c>
      <c r="T15" s="157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270.45912094654932</v>
      </c>
      <c r="U15" s="104" t="str">
        <f>IFERROR(IF(AF15=1,T15*AI15,""),)</f>
        <v/>
      </c>
      <c r="V15" s="105">
        <v>7.95</v>
      </c>
      <c r="W15" s="105">
        <v>13.6</v>
      </c>
      <c r="X15" s="105">
        <v>6.09</v>
      </c>
      <c r="Y15" s="106"/>
      <c r="Z15" s="107"/>
      <c r="AA15" s="163"/>
      <c r="AB15" s="108"/>
      <c r="AC15" s="65">
        <f>U5</f>
        <v>45829</v>
      </c>
      <c r="AD15" s="68" t="str">
        <f>IF(ISNUMBER(FIND("M",E15)),"m",IF(ISNUMBER(FIND("K",E15)),"k"))</f>
        <v>m</v>
      </c>
      <c r="AE15" s="66">
        <f>IF(OR(G15="",AC15=""),0,(YEAR(AC15)-YEAR(G15)))</f>
        <v>26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5">
        <f>IF(D15="","",IF(D15&gt;193.609,1,IF(D15&lt;32,10^(0.722762521*LOG10(32/193.609)^2),10^(0.722762521*LOG10(D15/193.609)^2))))</f>
        <v>1.1708187053963175</v>
      </c>
    </row>
    <row r="16" spans="1:36" s="8" customFormat="1" ht="20.100000000000001" customHeight="1" x14ac:dyDescent="0.2">
      <c r="B16" s="137"/>
      <c r="C16" s="137"/>
      <c r="D16" s="137"/>
      <c r="E16" s="137"/>
      <c r="F16" s="137"/>
      <c r="G16" s="137"/>
      <c r="H16" s="137"/>
      <c r="I16" s="137"/>
      <c r="J16" s="137"/>
      <c r="K16" s="218"/>
      <c r="L16" s="218"/>
      <c r="M16" s="218"/>
      <c r="N16" s="219"/>
      <c r="O16" s="219"/>
      <c r="P16" s="219"/>
      <c r="Q16" s="144"/>
      <c r="R16" s="145"/>
      <c r="S16" s="220">
        <f>IF(T15="","",T15*1.2)</f>
        <v>324.55094513585919</v>
      </c>
      <c r="T16" s="220"/>
      <c r="U16" s="138"/>
      <c r="V16" s="158">
        <f>IF(V15&gt;0,V15*20,"")</f>
        <v>159</v>
      </c>
      <c r="W16" s="158">
        <f>IF(W15="","",(W15*10)*AJ15)</f>
        <v>159.23134393389918</v>
      </c>
      <c r="X16" s="158">
        <f>IF(ROUNDUP(X15,1)&gt;0,IF((80+(8-ROUNDUP(X15,1))*40)&lt;0,0,80+(8-ROUNDUP(X15,1))*40),"")</f>
        <v>156</v>
      </c>
      <c r="Y16" s="158">
        <f>IF(SUM(V16,W16,X16)&gt;0,SUM(V16,W16,X16),"")</f>
        <v>474.23134393389921</v>
      </c>
      <c r="Z16" s="158">
        <f>IFERROR(IF(AE15&gt;34,(IF(OR(S16="",V16="",W16="",X16=""),"",SUM(S16,V16,W16,X16))*AI15),IF(OR(S16="",V16="",W16="",X16=""),"", SUM(S16,V16,W16,X16))),)</f>
        <v>798.78228906975835</v>
      </c>
      <c r="AA16" s="202">
        <v>1</v>
      </c>
      <c r="AB16" s="95"/>
      <c r="AC16" s="65"/>
      <c r="AD16" s="1"/>
      <c r="AE16" s="66"/>
      <c r="AF16" s="34"/>
      <c r="AH16" s="36"/>
      <c r="AI16" s="36"/>
      <c r="AJ16" s="85"/>
    </row>
    <row r="17" spans="2:36" s="8" customFormat="1" ht="20.100000000000001" customHeight="1" x14ac:dyDescent="0.25">
      <c r="B17" s="109" t="s">
        <v>101</v>
      </c>
      <c r="C17" s="96" t="s">
        <v>178</v>
      </c>
      <c r="D17" s="97">
        <v>106.41</v>
      </c>
      <c r="E17" s="96" t="s">
        <v>93</v>
      </c>
      <c r="F17" s="161" t="s">
        <v>97</v>
      </c>
      <c r="G17" s="162">
        <v>33559</v>
      </c>
      <c r="H17" s="163"/>
      <c r="I17" s="165" t="s">
        <v>102</v>
      </c>
      <c r="J17" s="98" t="s">
        <v>81</v>
      </c>
      <c r="K17" s="99">
        <v>100</v>
      </c>
      <c r="L17" s="100">
        <v>104</v>
      </c>
      <c r="M17" s="100">
        <v>107</v>
      </c>
      <c r="N17" s="99">
        <v>134</v>
      </c>
      <c r="O17" s="100">
        <v>138</v>
      </c>
      <c r="P17" s="100">
        <v>142</v>
      </c>
      <c r="Q17" s="155">
        <f>IF(MAX(K17:M17)&gt;0,IF(MAX(K17:M17)&lt;0,0,TRUNC(MAX(K17:M17)/1)*1),"")</f>
        <v>107</v>
      </c>
      <c r="R17" s="155">
        <f>IF(MAX(N17:P17)&gt;0,IF(MAX(N17:P17)&lt;0,0,TRUNC(MAX(N17:P17)/1)*1),"")</f>
        <v>142</v>
      </c>
      <c r="S17" s="156">
        <f>IF(Q17="","",IF(R17="","",IF(SUM(Q17:R17)=0,"",SUM(Q17:R17))))</f>
        <v>249</v>
      </c>
      <c r="T17" s="157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278.63566850897695</v>
      </c>
      <c r="U17" s="104" t="str">
        <f>IFERROR(IF(AF17=1,T17*AI17,""),)</f>
        <v/>
      </c>
      <c r="V17" s="105"/>
      <c r="W17" s="105"/>
      <c r="X17" s="105"/>
      <c r="Y17" s="106"/>
      <c r="Z17" s="107"/>
      <c r="AA17" s="163"/>
      <c r="AB17" s="108"/>
      <c r="AC17" s="65">
        <f>U5</f>
        <v>45829</v>
      </c>
      <c r="AD17" s="68" t="str">
        <f>IF(ISNUMBER(FIND("M",E17)),"m",IF(ISNUMBER(FIND("K",E17)),"k"))</f>
        <v>m</v>
      </c>
      <c r="AE17" s="66">
        <f>IF(OR(G17="",AC17=""),0,(YEAR(AC17)-YEAR(G17)))</f>
        <v>34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5">
        <f>IF(D17="","",IF(D17&gt;193.609,1,IF(D17&lt;32,10^(0.722762521*LOG10(32/193.609)^2),10^(0.722762521*LOG10(D17/193.609)^2))))</f>
        <v>1.119018749032036</v>
      </c>
    </row>
    <row r="18" spans="2:36" s="8" customFormat="1" ht="20.100000000000001" customHeight="1" x14ac:dyDescent="0.2">
      <c r="B18" s="137"/>
      <c r="C18" s="137"/>
      <c r="D18" s="137"/>
      <c r="E18" s="137"/>
      <c r="F18" s="137"/>
      <c r="G18" s="137"/>
      <c r="H18" s="137"/>
      <c r="I18" s="137"/>
      <c r="J18" s="137"/>
      <c r="K18" s="218"/>
      <c r="L18" s="218"/>
      <c r="M18" s="218"/>
      <c r="N18" s="219"/>
      <c r="O18" s="219"/>
      <c r="P18" s="219"/>
      <c r="Q18" s="141"/>
      <c r="R18" s="138"/>
      <c r="S18" s="220">
        <f>IF(T17="","",T17*1.2)</f>
        <v>334.36280221077232</v>
      </c>
      <c r="T18" s="220"/>
      <c r="U18" s="138"/>
      <c r="V18" s="158" t="str">
        <f>IF(V17&gt;0,V17*20,"")</f>
        <v/>
      </c>
      <c r="W18" s="158" t="str">
        <f>IF(W17="","",(W17*10)*AJ17)</f>
        <v/>
      </c>
      <c r="X18" s="158" t="str">
        <f>IF(ROUNDUP(X17,1)&gt;0,IF((80+(8-ROUNDUP(X17,1))*40)&lt;0,0,80+(8-ROUNDUP(X17,1))*40),"")</f>
        <v/>
      </c>
      <c r="Y18" s="158" t="str">
        <f>IF(SUM(V18,W18,X18)&gt;0,SUM(V18,W18,X18),"")</f>
        <v/>
      </c>
      <c r="Z18" s="158" t="str">
        <f>IFERROR(IF(AE17&gt;34,(IF(OR(S18="",V18="",W18="",X18=""),"",SUM(S18,V18,W18,X18))*AI17),IF(OR(S18="",V18="",W18="",X18=""),"", SUM(S18,V18,W18,X18))),)</f>
        <v/>
      </c>
      <c r="AA18" s="202"/>
      <c r="AB18" s="95"/>
      <c r="AC18" s="65"/>
      <c r="AD18" s="1"/>
      <c r="AE18" s="66"/>
      <c r="AF18" s="34"/>
      <c r="AH18" s="36"/>
      <c r="AI18" s="36"/>
      <c r="AJ18" s="85"/>
    </row>
    <row r="19" spans="2:36" s="8" customFormat="1" ht="20.100000000000001" customHeight="1" x14ac:dyDescent="0.25">
      <c r="B19" s="109" t="s">
        <v>103</v>
      </c>
      <c r="C19" s="96" t="s">
        <v>177</v>
      </c>
      <c r="D19" s="97">
        <v>85.98</v>
      </c>
      <c r="E19" s="96" t="s">
        <v>104</v>
      </c>
      <c r="F19" s="161" t="s">
        <v>82</v>
      </c>
      <c r="G19" s="162">
        <v>32489</v>
      </c>
      <c r="H19" s="163"/>
      <c r="I19" s="165" t="s">
        <v>105</v>
      </c>
      <c r="J19" s="172" t="s">
        <v>86</v>
      </c>
      <c r="K19" s="99">
        <v>85</v>
      </c>
      <c r="L19" s="100">
        <v>90</v>
      </c>
      <c r="M19" s="100">
        <v>-93</v>
      </c>
      <c r="N19" s="99">
        <v>110</v>
      </c>
      <c r="O19" s="100">
        <v>-117</v>
      </c>
      <c r="P19" s="100">
        <v>-120</v>
      </c>
      <c r="Q19" s="155">
        <f>IF(MAX(K19:M19)&gt;0,IF(MAX(K19:M19)&lt;0,0,TRUNC(MAX(K19:M19)/1)*1),"")</f>
        <v>90</v>
      </c>
      <c r="R19" s="155">
        <f>IF(MAX(N19:P19)&gt;0,IF(MAX(N19:P19)&lt;0,0,TRUNC(MAX(N19:P19)/1)*1),"")</f>
        <v>110</v>
      </c>
      <c r="S19" s="156">
        <f>IF(Q19="","",IF(R19="","",IF(SUM(Q19:R19)=0,"",SUM(Q19:R19))))</f>
        <v>200</v>
      </c>
      <c r="T19" s="157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245.95297243878656</v>
      </c>
      <c r="U19" s="104">
        <f>IFERROR(IF(AF19=1,T19*AI19,""),)</f>
        <v>269.5644577929101</v>
      </c>
      <c r="V19" s="105">
        <v>9.1</v>
      </c>
      <c r="W19" s="105">
        <v>12.1</v>
      </c>
      <c r="X19" s="105">
        <v>6.09</v>
      </c>
      <c r="Y19" s="106"/>
      <c r="Z19" s="107"/>
      <c r="AA19" s="163"/>
      <c r="AB19" s="108"/>
      <c r="AC19" s="65">
        <f>U5</f>
        <v>45829</v>
      </c>
      <c r="AD19" s="68" t="str">
        <f>IF(ISNUMBER(FIND("M",E19)),"m",IF(ISNUMBER(FIND("K",E19)),"k"))</f>
        <v>m</v>
      </c>
      <c r="AE19" s="66">
        <f>IF(OR(G19="",AC19=""),0,(YEAR(AC19)-YEAR(G19)))</f>
        <v>37</v>
      </c>
      <c r="AF19" s="34">
        <f t="shared" si="0"/>
        <v>1</v>
      </c>
      <c r="AG19" s="8">
        <f>IF(AF19=1,LOOKUP(AE19,'Meltzer-Faber'!A3:A63,'Meltzer-Faber'!B3:B63))</f>
        <v>1.0960000000000001</v>
      </c>
      <c r="AH19" s="36">
        <f>IF(AF19=1,LOOKUP(AE19,'Meltzer-Faber'!A3:A63,'Meltzer-Faber'!C3:C63))</f>
        <v>1.097</v>
      </c>
      <c r="AI19" s="36">
        <f t="shared" si="1"/>
        <v>1.0960000000000001</v>
      </c>
      <c r="AJ19" s="85">
        <f>IF(D19="","",IF(D19&gt;193.609,1,IF(D19&lt;32,10^(0.722762521*LOG10(32/193.609)^2),10^(0.722762521*LOG10(D19/193.609)^2))))</f>
        <v>1.2297648621939328</v>
      </c>
    </row>
    <row r="20" spans="2:36" s="8" customFormat="1" ht="20.100000000000001" customHeight="1" x14ac:dyDescent="0.2">
      <c r="B20" s="137"/>
      <c r="C20" s="137"/>
      <c r="D20" s="137"/>
      <c r="E20" s="137"/>
      <c r="F20" s="137"/>
      <c r="G20" s="137"/>
      <c r="H20" s="137"/>
      <c r="I20" s="137"/>
      <c r="J20" s="137"/>
      <c r="K20" s="218"/>
      <c r="L20" s="218"/>
      <c r="M20" s="218"/>
      <c r="N20" s="219"/>
      <c r="O20" s="219"/>
      <c r="P20" s="219"/>
      <c r="Q20" s="141"/>
      <c r="R20" s="138"/>
      <c r="S20" s="220">
        <f>IF(T19="","",T19*1.2)</f>
        <v>295.14356692654388</v>
      </c>
      <c r="T20" s="220"/>
      <c r="U20" s="138"/>
      <c r="V20" s="158">
        <f>IF(V19&gt;0,V19*20,"")</f>
        <v>182</v>
      </c>
      <c r="W20" s="158">
        <f>IF(W19="","",(W19*10)*AJ19)</f>
        <v>148.80154832546586</v>
      </c>
      <c r="X20" s="158">
        <f>IF(ROUNDUP(X19,1)&gt;0,IF((80+(8-ROUNDUP(X19,1))*40)&lt;0,0,80+(8-ROUNDUP(X19,1))*40),"")</f>
        <v>156</v>
      </c>
      <c r="Y20" s="158">
        <f>IF(SUM(V20,W20,X20)&gt;0,SUM(V20,W20,X20),"")</f>
        <v>486.80154832546589</v>
      </c>
      <c r="Z20" s="158">
        <f>IFERROR(IF(AE19&gt;34,(IF(OR(S20="",V20="",W20="",X20=""),"",SUM(S20,V20,W20,X20))*AI19),IF(OR(S20="",V20="",W20="",X20=""),"", SUM(S20,V20,W20,X20))),)</f>
        <v>857.01184631620276</v>
      </c>
      <c r="AA20" s="202">
        <v>1</v>
      </c>
      <c r="AB20" s="95"/>
      <c r="AC20" s="65"/>
      <c r="AD20" s="1"/>
      <c r="AE20" s="66"/>
      <c r="AF20" s="34"/>
      <c r="AH20" s="36"/>
      <c r="AI20" s="36"/>
      <c r="AJ20" s="85"/>
    </row>
    <row r="21" spans="2:36" s="8" customFormat="1" ht="20.100000000000001" customHeight="1" x14ac:dyDescent="0.2">
      <c r="B21" s="109" t="s">
        <v>106</v>
      </c>
      <c r="C21" s="96" t="s">
        <v>177</v>
      </c>
      <c r="D21" s="97">
        <v>86.79</v>
      </c>
      <c r="E21" s="96" t="s">
        <v>107</v>
      </c>
      <c r="F21" s="161" t="s">
        <v>82</v>
      </c>
      <c r="G21" s="162">
        <v>28941</v>
      </c>
      <c r="H21" s="163"/>
      <c r="I21" s="164" t="s">
        <v>108</v>
      </c>
      <c r="J21" s="98" t="s">
        <v>87</v>
      </c>
      <c r="K21" s="99">
        <v>70</v>
      </c>
      <c r="L21" s="100">
        <v>75</v>
      </c>
      <c r="M21" s="100">
        <v>-80</v>
      </c>
      <c r="N21" s="99">
        <v>90</v>
      </c>
      <c r="O21" s="100">
        <v>95</v>
      </c>
      <c r="P21" s="100">
        <v>-105</v>
      </c>
      <c r="Q21" s="155">
        <f>IF(MAX(K21:M21)&gt;0,IF(MAX(K21:M21)&lt;0,0,TRUNC(MAX(K21:M21)/1)*1),"")</f>
        <v>75</v>
      </c>
      <c r="R21" s="155">
        <f>IF(MAX(N21:P21)&gt;0,IF(MAX(N21:P21)&lt;0,0,TRUNC(MAX(N21:P21)/1)*1),"")</f>
        <v>95</v>
      </c>
      <c r="S21" s="156">
        <f>IF(Q21="","",IF(R21="","",IF(SUM(Q21:R21)=0,"",SUM(Q21:R21))))</f>
        <v>170</v>
      </c>
      <c r="T21" s="157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208.06920972612869</v>
      </c>
      <c r="U21" s="104">
        <f>IFERROR(IF(AF21=1,T21*AI21,""),)</f>
        <v>253.42829744642475</v>
      </c>
      <c r="V21" s="105">
        <v>7.8</v>
      </c>
      <c r="W21" s="105">
        <v>11.4</v>
      </c>
      <c r="X21" s="105">
        <v>6.75</v>
      </c>
      <c r="Y21" s="106"/>
      <c r="Z21" s="107"/>
      <c r="AA21" s="163"/>
      <c r="AB21" s="108"/>
      <c r="AC21" s="65">
        <f>U5</f>
        <v>45829</v>
      </c>
      <c r="AD21" s="68" t="str">
        <f>IF(ISNUMBER(FIND("M",E21)),"m",IF(ISNUMBER(FIND("K",E21)),"k"))</f>
        <v>m</v>
      </c>
      <c r="AE21" s="66">
        <f>IF(OR(G21="",AC21=""),0,(YEAR(AC21)-YEAR(G21)))</f>
        <v>46</v>
      </c>
      <c r="AF21" s="34">
        <f t="shared" si="0"/>
        <v>1</v>
      </c>
      <c r="AG21" s="8">
        <f>IF(AF21=1,LOOKUP(AE21,'Meltzer-Faber'!A3:A63,'Meltzer-Faber'!B3:B63))</f>
        <v>1.218</v>
      </c>
      <c r="AH21" s="36">
        <f>IF(AF21=1,LOOKUP(AE21,'Meltzer-Faber'!A3:A63,'Meltzer-Faber'!C3:C63))</f>
        <v>1.244</v>
      </c>
      <c r="AI21" s="36">
        <f t="shared" si="1"/>
        <v>1.218</v>
      </c>
      <c r="AJ21" s="85">
        <f>IF(D21="","",IF(D21&gt;193.609,1,IF(D21&lt;32,10^(0.722762521*LOG10(32/193.609)^2),10^(0.722762521*LOG10(D21/193.609)^2))))</f>
        <v>1.223936527800757</v>
      </c>
    </row>
    <row r="22" spans="2:36" s="8" customFormat="1" ht="20.100000000000001" customHeight="1" x14ac:dyDescent="0.2">
      <c r="B22" s="137"/>
      <c r="C22" s="137"/>
      <c r="D22" s="137"/>
      <c r="E22" s="137"/>
      <c r="F22" s="137"/>
      <c r="G22" s="137"/>
      <c r="H22" s="137"/>
      <c r="I22" s="137"/>
      <c r="J22" s="137"/>
      <c r="K22" s="218"/>
      <c r="L22" s="218"/>
      <c r="M22" s="218"/>
      <c r="N22" s="219"/>
      <c r="O22" s="219"/>
      <c r="P22" s="219"/>
      <c r="Q22" s="141"/>
      <c r="R22" s="138"/>
      <c r="S22" s="220">
        <f>IF(T21="","",T21*1.2)</f>
        <v>249.68305167135441</v>
      </c>
      <c r="T22" s="220"/>
      <c r="U22" s="138"/>
      <c r="V22" s="158">
        <f>IF(V21&gt;0,V21*20,"")</f>
        <v>156</v>
      </c>
      <c r="W22" s="158">
        <f>IF(W21="","",(W21*10)*AJ21)</f>
        <v>139.52876416928629</v>
      </c>
      <c r="X22" s="158">
        <f>IF(ROUNDUP(X21,1)&gt;0,IF((80+(8-ROUNDUP(X21,1))*40)&lt;0,0,80+(8-ROUNDUP(X21,1))*40),"")</f>
        <v>128</v>
      </c>
      <c r="Y22" s="158">
        <f>IF(SUM(V22,W22,X22)&gt;0,SUM(V22,W22,X22),"")</f>
        <v>423.52876416928632</v>
      </c>
      <c r="Z22" s="158">
        <f>IFERROR(IF(AE21&gt;34,(IF(OR(S22="",V22="",W22="",X22=""),"",SUM(S22,V22,W22,X22))*AI21),IF(OR(S22="",V22="",W22="",X22=""),"", SUM(S22,V22,W22,X22))),)</f>
        <v>819.97199169390035</v>
      </c>
      <c r="AA22" s="202">
        <v>2</v>
      </c>
      <c r="AB22" s="95"/>
      <c r="AC22" s="65"/>
      <c r="AD22" s="1"/>
      <c r="AE22" s="66"/>
      <c r="AF22" s="34"/>
      <c r="AH22" s="36"/>
      <c r="AI22" s="36"/>
      <c r="AJ22" s="85"/>
    </row>
    <row r="23" spans="2:36" s="8" customFormat="1" ht="20.100000000000001" customHeight="1" x14ac:dyDescent="0.2">
      <c r="B23" s="109" t="s">
        <v>109</v>
      </c>
      <c r="C23" s="96" t="s">
        <v>177</v>
      </c>
      <c r="D23" s="97">
        <v>83.63</v>
      </c>
      <c r="E23" s="96" t="s">
        <v>107</v>
      </c>
      <c r="F23" s="161" t="s">
        <v>82</v>
      </c>
      <c r="G23" s="162">
        <v>27987</v>
      </c>
      <c r="H23" s="163"/>
      <c r="I23" s="164" t="s">
        <v>110</v>
      </c>
      <c r="J23" s="172" t="s">
        <v>86</v>
      </c>
      <c r="K23" s="99">
        <v>50</v>
      </c>
      <c r="L23" s="100">
        <v>-55</v>
      </c>
      <c r="M23" s="100">
        <v>-55</v>
      </c>
      <c r="N23" s="99">
        <v>60</v>
      </c>
      <c r="O23" s="100">
        <v>65</v>
      </c>
      <c r="P23" s="100">
        <v>66</v>
      </c>
      <c r="Q23" s="155">
        <f>IF(MAX(K23:M23)&gt;0,IF(MAX(K23:M23)&lt;0,0,TRUNC(MAX(K23:M23)/1)*1),"")</f>
        <v>50</v>
      </c>
      <c r="R23" s="155">
        <f>IF(MAX(N23:P23)&gt;0,IF(MAX(N23:P23)&lt;0,0,TRUNC(MAX(N23:P23)/1)*1),"")</f>
        <v>66</v>
      </c>
      <c r="S23" s="156">
        <f>IF(Q23="","",IF(R23="","",IF(SUM(Q23:R23)=0,"",SUM(Q23:R23))))</f>
        <v>116</v>
      </c>
      <c r="T23" s="157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144.71642658832045</v>
      </c>
      <c r="U23" s="104">
        <f>IFERROR(IF(AF23=1,T23*AI23,""),)</f>
        <v>182.7768467810487</v>
      </c>
      <c r="V23" s="105">
        <v>0</v>
      </c>
      <c r="W23" s="105">
        <v>0</v>
      </c>
      <c r="X23" s="105">
        <v>7.43</v>
      </c>
      <c r="Y23" s="106"/>
      <c r="Z23" s="107"/>
      <c r="AA23" s="163"/>
      <c r="AB23" s="108"/>
      <c r="AC23" s="65">
        <f>U5</f>
        <v>45829</v>
      </c>
      <c r="AD23" s="68" t="str">
        <f>IF(ISNUMBER(FIND("M",E23)),"m",IF(ISNUMBER(FIND("K",E23)),"k"))</f>
        <v>m</v>
      </c>
      <c r="AE23" s="81">
        <f>IF(OR(G23="",AC23=""),0,(YEAR(AC23)-YEAR(G23)))</f>
        <v>49</v>
      </c>
      <c r="AF23" s="34">
        <f t="shared" si="0"/>
        <v>1</v>
      </c>
      <c r="AG23" s="8">
        <f>IF(AF23=1,LOOKUP(AE23,'Meltzer-Faber'!A3:A63,'Meltzer-Faber'!B3:B63))</f>
        <v>1.2629999999999999</v>
      </c>
      <c r="AH23" s="36">
        <f>IF(AF23=1,LOOKUP(AE23,'Meltzer-Faber'!A3:A63,'Meltzer-Faber'!C3:C63))</f>
        <v>1.3129999999999999</v>
      </c>
      <c r="AI23" s="36">
        <f t="shared" si="1"/>
        <v>1.2629999999999999</v>
      </c>
      <c r="AJ23" s="85">
        <f>IF(D23="","",IF(D23&gt;193.609,1,IF(D23&lt;32,10^(0.722762521*LOG10(32/193.609)^2),10^(0.722762521*LOG10(D23/193.609)^2))))</f>
        <v>1.247555401623452</v>
      </c>
    </row>
    <row r="24" spans="2:36" s="8" customFormat="1" ht="20.100000000000001" customHeight="1" x14ac:dyDescent="0.2">
      <c r="B24" s="137"/>
      <c r="C24" s="137"/>
      <c r="D24" s="137"/>
      <c r="E24" s="137"/>
      <c r="F24" s="137"/>
      <c r="G24" s="137"/>
      <c r="H24" s="137"/>
      <c r="I24" s="137"/>
      <c r="J24" s="137"/>
      <c r="K24" s="218"/>
      <c r="L24" s="218"/>
      <c r="M24" s="218"/>
      <c r="N24" s="219"/>
      <c r="O24" s="219"/>
      <c r="P24" s="219"/>
      <c r="Q24" s="141"/>
      <c r="R24" s="138"/>
      <c r="S24" s="220">
        <f>IF(T23="","",T23*1.2)</f>
        <v>173.65971190598452</v>
      </c>
      <c r="T24" s="220"/>
      <c r="U24" s="138"/>
      <c r="V24" s="158" t="str">
        <f>IF(V23&gt;0,V23*20,"")</f>
        <v/>
      </c>
      <c r="W24" s="158">
        <f>IF(W23="","",(W23*10)*AJ23)</f>
        <v>0</v>
      </c>
      <c r="X24" s="158">
        <f>IF(ROUNDUP(X23,1)&gt;0,IF((80+(8-ROUNDUP(X23,1))*40)&lt;0,0,80+(8-ROUNDUP(X23,1))*40),"")</f>
        <v>100</v>
      </c>
      <c r="Y24" s="158">
        <f>IF(SUM(V24,W24,X24)&gt;0,SUM(V24,W24,X24),"")</f>
        <v>100</v>
      </c>
      <c r="Z24" s="158">
        <f>IFERROR(IF(AE23&gt;34,(IF(OR(S24="",V24="",W24="",X24=""),"",SUM(S24,V24,W24,X24))*AI23),IF(OR(S24="",V24="",W24="",X24=""),"", SUM(S24,V24,W24,X24))),)</f>
        <v>0</v>
      </c>
      <c r="AA24" s="202"/>
      <c r="AB24" s="95"/>
      <c r="AC24" s="65"/>
      <c r="AD24" s="1"/>
      <c r="AE24" s="66"/>
      <c r="AF24" s="34"/>
      <c r="AH24" s="36"/>
      <c r="AI24" s="36"/>
      <c r="AJ24" s="85"/>
    </row>
    <row r="25" spans="2:36" s="8" customFormat="1" ht="20.100000000000001" customHeight="1" x14ac:dyDescent="0.2">
      <c r="B25" s="109"/>
      <c r="C25" s="96"/>
      <c r="D25" s="97"/>
      <c r="E25" s="96"/>
      <c r="F25" s="161"/>
      <c r="G25" s="162"/>
      <c r="H25" s="163"/>
      <c r="I25" s="164"/>
      <c r="J25" s="98"/>
      <c r="K25" s="99"/>
      <c r="L25" s="100"/>
      <c r="M25" s="100"/>
      <c r="N25" s="99"/>
      <c r="O25" s="100"/>
      <c r="P25" s="100"/>
      <c r="Q25" s="155" t="str">
        <f>IF(MAX(K25:M25)&gt;0,IF(MAX(K25:M25)&lt;0,0,TRUNC(MAX(K25:M25)/1)*1),"")</f>
        <v/>
      </c>
      <c r="R25" s="155" t="str">
        <f>IF(MAX(N25:P25)&gt;0,IF(MAX(N25:P25)&lt;0,0,TRUNC(MAX(N25:P25)/1)*1),"")</f>
        <v/>
      </c>
      <c r="S25" s="156" t="str">
        <f>IF(Q25="","",IF(R25="","",IF(SUM(Q25:R25)=0,"",SUM(Q25:R25))))</f>
        <v/>
      </c>
      <c r="T25" s="157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04" t="str">
        <f>IFERROR(IF(AF25=1,T25*AI25,""),)</f>
        <v/>
      </c>
      <c r="V25" s="105"/>
      <c r="W25" s="105"/>
      <c r="X25" s="105"/>
      <c r="Y25" s="106"/>
      <c r="Z25" s="107"/>
      <c r="AA25" s="163"/>
      <c r="AB25" s="108"/>
      <c r="AC25" s="65">
        <f>U5</f>
        <v>45829</v>
      </c>
      <c r="AD25" s="68" t="b">
        <f>IF(ISNUMBER(FIND("M",E25)),"m",IF(ISNUMBER(FIND("K",E25)),"k"))</f>
        <v>0</v>
      </c>
      <c r="AE25" s="81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str">
        <f t="shared" ref="AI25" si="3">IF(AD25="m",AG25,IF(AD25="k",AH25,""))</f>
        <v/>
      </c>
      <c r="AJ25" s="85" t="str">
        <f>IF(D25="","",IF(D25&gt;193.609,1,IF(D25&lt;32,10^(0.722762521*LOG10(32/193.609)^2),10^(0.722762521*LOG10(D25/193.609)^2))))</f>
        <v/>
      </c>
    </row>
    <row r="26" spans="2:36" s="8" customFormat="1" ht="20.100000000000001" customHeight="1" x14ac:dyDescent="0.2">
      <c r="B26" s="137"/>
      <c r="C26" s="137"/>
      <c r="D26" s="137"/>
      <c r="E26" s="137"/>
      <c r="F26" s="137"/>
      <c r="G26" s="137"/>
      <c r="H26" s="137"/>
      <c r="I26" s="137"/>
      <c r="J26" s="137"/>
      <c r="K26" s="218"/>
      <c r="L26" s="218"/>
      <c r="M26" s="218"/>
      <c r="N26" s="219"/>
      <c r="O26" s="219"/>
      <c r="P26" s="219"/>
      <c r="Q26" s="141"/>
      <c r="R26" s="138"/>
      <c r="S26" s="220" t="str">
        <f>IF(T25="","",T25*1.2)</f>
        <v/>
      </c>
      <c r="T26" s="220"/>
      <c r="U26" s="138"/>
      <c r="V26" s="158" t="str">
        <f>IF(V25&gt;0,V25*20,"")</f>
        <v/>
      </c>
      <c r="W26" s="158" t="str">
        <f>IF(W25="","",(W25*10)*AJ25)</f>
        <v/>
      </c>
      <c r="X26" s="158" t="str">
        <f>IF(ROUNDUP(X25,1)&gt;0,IF((80+(8-ROUNDUP(X25,1))*40)&lt;0,0,80+(8-ROUNDUP(X25,1))*40),"")</f>
        <v/>
      </c>
      <c r="Y26" s="158" t="str">
        <f>IF(SUM(V26,W26,X26)&gt;0,SUM(V26,W26,X26),"")</f>
        <v/>
      </c>
      <c r="Z26" s="158" t="str">
        <f>IFERROR(IF(AE25&gt;34,(IF(OR(S26="",V26="",W26="",X26=""),"",SUM(S26,V26,W26,X26))*AI25),IF(OR(S26="",V26="",W26="",X26=""),"", SUM(S26,V26,W26,X26))),)</f>
        <v/>
      </c>
      <c r="AA26" s="202"/>
      <c r="AB26" s="95"/>
      <c r="AC26" s="65"/>
      <c r="AD26" s="1"/>
      <c r="AE26" s="66"/>
      <c r="AF26" s="34"/>
      <c r="AH26" s="36"/>
      <c r="AI26" s="36"/>
      <c r="AJ26" s="85"/>
    </row>
    <row r="27" spans="2:36" s="8" customFormat="1" ht="20.100000000000001" customHeight="1" x14ac:dyDescent="0.2">
      <c r="B27" s="109" t="s">
        <v>194</v>
      </c>
      <c r="C27" s="112">
        <v>88</v>
      </c>
      <c r="D27" s="97">
        <v>85.84</v>
      </c>
      <c r="E27" s="113" t="s">
        <v>111</v>
      </c>
      <c r="F27" s="114" t="s">
        <v>82</v>
      </c>
      <c r="G27" s="115">
        <v>24153</v>
      </c>
      <c r="H27" s="96"/>
      <c r="I27" s="98" t="s">
        <v>112</v>
      </c>
      <c r="J27" s="98" t="s">
        <v>87</v>
      </c>
      <c r="K27" s="116">
        <v>-55</v>
      </c>
      <c r="L27" s="117">
        <v>55</v>
      </c>
      <c r="M27" s="117">
        <v>-58</v>
      </c>
      <c r="N27" s="117">
        <v>75</v>
      </c>
      <c r="O27" s="118">
        <v>-78</v>
      </c>
      <c r="P27" s="118">
        <v>78</v>
      </c>
      <c r="Q27" s="155">
        <f>IF(MAX(K27:M27)&gt;0,IF(MAX(K27:M27)&lt;0,0,TRUNC(MAX(K27:M27)/1)*1),"")</f>
        <v>55</v>
      </c>
      <c r="R27" s="155">
        <f>IF(MAX(N27:P27)&gt;0,IF(MAX(N27:P27)&lt;0,0,TRUNC(MAX(N27:P27)/1)*1),"")</f>
        <v>78</v>
      </c>
      <c r="S27" s="156">
        <f>IF(Q27="","",IF(R27="","",IF(SUM(Q27:R27)=0,"",SUM(Q27:R27))))</f>
        <v>133</v>
      </c>
      <c r="T27" s="157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>163.6947438429325</v>
      </c>
      <c r="U27" s="104">
        <f>IFERROR(IF(AF27=1,T27*AI27,""),)</f>
        <v>243.57777883828356</v>
      </c>
      <c r="V27" s="119">
        <v>6.5</v>
      </c>
      <c r="W27" s="119">
        <v>9.1</v>
      </c>
      <c r="X27" s="120">
        <v>7.63</v>
      </c>
      <c r="Y27" s="106"/>
      <c r="Z27" s="107"/>
      <c r="AA27" s="163"/>
      <c r="AB27" s="108"/>
      <c r="AC27" s="65">
        <f>U5</f>
        <v>45829</v>
      </c>
      <c r="AD27" s="68" t="str">
        <f>IF(ISNUMBER(FIND("M",E27)),"m",IF(ISNUMBER(FIND("K",E27)),"k"))</f>
        <v>m</v>
      </c>
      <c r="AE27" s="81">
        <f>IF(OR(G27="",AC27=""),0,(YEAR(AC27)-YEAR(G27)))</f>
        <v>59</v>
      </c>
      <c r="AF27" s="34">
        <f t="shared" ref="AF27" si="4">IF(AE27&gt;34,1,0)</f>
        <v>1</v>
      </c>
      <c r="AG27" s="8">
        <f>IF(AF27=1,LOOKUP(AE27,'Meltzer-Faber'!A3:A63,'Meltzer-Faber'!B3:B63))</f>
        <v>1.488</v>
      </c>
      <c r="AH27" s="36">
        <f>IF(AF27=1,LOOKUP(AE27,'Meltzer-Faber'!A3:A63,'Meltzer-Faber'!C3:C63))</f>
        <v>1.665</v>
      </c>
      <c r="AI27" s="36">
        <f t="shared" ref="AI27" si="5">IF(AD27="m",AG27,IF(AD27="k",AH27,""))</f>
        <v>1.488</v>
      </c>
      <c r="AJ27" s="85">
        <f>IF(D27="","",IF(D27&gt;193.609,1,IF(D27&lt;32,10^(0.722762521*LOG10(32/193.609)^2),10^(0.722762521*LOG10(D27/193.609)^2))))</f>
        <v>1.2307875476912218</v>
      </c>
    </row>
    <row r="28" spans="2:36" s="8" customFormat="1" ht="20.100000000000001" customHeight="1" x14ac:dyDescent="0.2">
      <c r="B28" s="137"/>
      <c r="C28" s="146"/>
      <c r="D28" s="138"/>
      <c r="E28" s="139"/>
      <c r="F28" s="139"/>
      <c r="G28" s="147"/>
      <c r="H28" s="148"/>
      <c r="I28" s="142"/>
      <c r="J28" s="140"/>
      <c r="K28" s="219"/>
      <c r="L28" s="219"/>
      <c r="M28" s="219"/>
      <c r="N28" s="219"/>
      <c r="O28" s="219"/>
      <c r="P28" s="219"/>
      <c r="Q28" s="141"/>
      <c r="R28" s="138"/>
      <c r="S28" s="220">
        <f>IF(T27="","",T27*1.2)</f>
        <v>196.43369261151898</v>
      </c>
      <c r="T28" s="220"/>
      <c r="U28" s="138"/>
      <c r="V28" s="158">
        <f>IF(V27&gt;0,V27*20,"")</f>
        <v>130</v>
      </c>
      <c r="W28" s="158">
        <f>IF(W27="","",(W27*10)*AJ27)</f>
        <v>112.00166683990118</v>
      </c>
      <c r="X28" s="158">
        <f>IF(ROUNDUP(X27,1)&gt;0,IF((80+(8-ROUNDUP(X27,1))*40)&lt;0,0,80+(8-ROUNDUP(X27,1))*40),"")</f>
        <v>92.000000000000028</v>
      </c>
      <c r="Y28" s="158">
        <f>IF(SUM(V28,W28,X28)&gt;0,SUM(V28,W28,X28),"")</f>
        <v>334.00166683990119</v>
      </c>
      <c r="Z28" s="158">
        <f>IFERROR(IF(AE27&gt;34,(IF(OR(S28="",V28="",W28="",X28=""),"",SUM(S28,V28,W28,X28))*AI27),IF(OR(S28="",V28="",W28="",X28=""),"", SUM(S28,V28,W28,X28))),)</f>
        <v>789.28781486371315</v>
      </c>
      <c r="AA28" s="202">
        <v>3</v>
      </c>
      <c r="AB28" s="95"/>
      <c r="AC28" s="65"/>
      <c r="AD28" s="1"/>
      <c r="AE28" s="66"/>
      <c r="AF28" s="34"/>
      <c r="AH28" s="36"/>
      <c r="AI28" s="36"/>
      <c r="AJ28" s="85"/>
    </row>
    <row r="29" spans="2:36" s="8" customFormat="1" ht="20.100000000000001" customHeight="1" x14ac:dyDescent="0.2">
      <c r="B29" s="123"/>
      <c r="C29" s="121"/>
      <c r="D29" s="86"/>
      <c r="E29" s="87"/>
      <c r="F29" s="122"/>
      <c r="G29" s="89"/>
      <c r="H29" s="90"/>
      <c r="I29" s="133"/>
      <c r="J29" s="134"/>
      <c r="K29" s="116"/>
      <c r="L29" s="117"/>
      <c r="M29" s="117"/>
      <c r="N29" s="117"/>
      <c r="O29" s="118"/>
      <c r="P29" s="118"/>
      <c r="Q29" s="101" t="str">
        <f>IF(MAX(K29:M29)&gt;0,IF(MAX(K29:M29)&lt;0,0,TRUNC(MAX(K29:M29)/1)*1),"")</f>
        <v/>
      </c>
      <c r="R29" s="102" t="str">
        <f>IF(MAX(N29:P29)&gt;0,IF(MAX(N29:P29)&lt;0,0,TRUNC(MAX(N29:P29)/1)*1),"")</f>
        <v/>
      </c>
      <c r="S29" s="111" t="str">
        <f>IF(Q29="","",IF(R29="","",IF(SUM(Q29:R29)=0,"",SUM(Q29:R29))))</f>
        <v/>
      </c>
      <c r="T29" s="103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04" t="str">
        <f>IFERROR(IF(AF29=1,T29*AI29,""),)</f>
        <v/>
      </c>
      <c r="V29" s="105"/>
      <c r="W29" s="105"/>
      <c r="X29" s="105"/>
      <c r="Y29" s="106"/>
      <c r="Z29" s="107"/>
      <c r="AA29" s="163"/>
      <c r="AB29" s="108"/>
      <c r="AC29" s="65">
        <f>U5</f>
        <v>45829</v>
      </c>
      <c r="AD29" s="68" t="b">
        <f>IF(ISNUMBER(FIND("M",E29)),"m",IF(ISNUMBER(FIND("K",E29)),"k"))</f>
        <v>0</v>
      </c>
      <c r="AE29" s="81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5" t="str">
        <f>IF(D29="","",IF(D29&gt;193.609,1,IF(D29&lt;32,10^(0.722762521*LOG10(32/193.609)^2),10^(0.722762521*LOG10(D29/193.609)^2))))</f>
        <v/>
      </c>
    </row>
    <row r="30" spans="2:36" s="8" customFormat="1" ht="20.100000000000001" customHeight="1" x14ac:dyDescent="0.2">
      <c r="B30" s="137"/>
      <c r="C30" s="149"/>
      <c r="D30" s="150"/>
      <c r="E30" s="151"/>
      <c r="F30" s="152"/>
      <c r="G30" s="153"/>
      <c r="H30" s="154"/>
      <c r="I30" s="140"/>
      <c r="J30" s="140"/>
      <c r="K30" s="219"/>
      <c r="L30" s="219"/>
      <c r="M30" s="219"/>
      <c r="N30" s="219"/>
      <c r="O30" s="219"/>
      <c r="P30" s="219"/>
      <c r="Q30" s="141"/>
      <c r="R30" s="138"/>
      <c r="S30" s="223" t="str">
        <f>IF(T29="","",T29*1.2)</f>
        <v/>
      </c>
      <c r="T30" s="223"/>
      <c r="U30" s="138"/>
      <c r="V30" s="91" t="str">
        <f>IF(V29&gt;0,V29*20,"")</f>
        <v/>
      </c>
      <c r="W30" s="91" t="str">
        <f>IF(W29="","",(W29*10)*AJ29)</f>
        <v/>
      </c>
      <c r="X30" s="92" t="str">
        <f>IF(ROUNDUP(X29,1)&gt;0,IF((80+(8-ROUNDUP(X29,1))*40)&lt;0,0,80+(8-ROUNDUP(X29,1))*40),"")</f>
        <v/>
      </c>
      <c r="Y30" s="93" t="str">
        <f>IF(SUM(V30,W30,X30)&gt;0,SUM(V30,W30,X30),"")</f>
        <v/>
      </c>
      <c r="Z30" s="94" t="str">
        <f>IFERROR(IF(AE29&gt;34,(IF(OR(S30="",V30="",W30="",X30=""),"",SUM(S30,V30,W30,X30))*AI29),IF(OR(S30="",V30="",W30="",X30=""),"", SUM(S30,V30,W30,X30))),)</f>
        <v/>
      </c>
      <c r="AA30" s="202"/>
      <c r="AB30" s="95"/>
      <c r="AC30" s="65"/>
      <c r="AD30" s="1"/>
      <c r="AE30" s="66"/>
      <c r="AF30" s="34"/>
      <c r="AH30" s="36"/>
      <c r="AI30" s="36"/>
      <c r="AJ30" s="85"/>
    </row>
    <row r="31" spans="2:36" s="8" customFormat="1" ht="20.100000000000001" customHeight="1" x14ac:dyDescent="0.2">
      <c r="B31" s="123"/>
      <c r="C31" s="121"/>
      <c r="D31" s="86"/>
      <c r="E31" s="87"/>
      <c r="F31" s="88"/>
      <c r="G31" s="89"/>
      <c r="H31" s="90"/>
      <c r="I31" s="133"/>
      <c r="J31" s="134"/>
      <c r="K31" s="116"/>
      <c r="L31" s="117"/>
      <c r="M31" s="117"/>
      <c r="N31" s="117"/>
      <c r="O31" s="118"/>
      <c r="P31" s="118"/>
      <c r="Q31" s="101" t="str">
        <f>IF(MAX(K31:M31)&gt;0,IF(MAX(K31:M31)&lt;0,0,TRUNC(MAX(K31:M31)/1)*1),"")</f>
        <v/>
      </c>
      <c r="R31" s="102" t="str">
        <f>IF(MAX(N31:P31)&gt;0,IF(MAX(N31:P31)&lt;0,0,TRUNC(MAX(N31:P31)/1)*1),"")</f>
        <v/>
      </c>
      <c r="S31" s="111" t="str">
        <f>IF(Q31="","",IF(R31="","",IF(SUM(Q31:R31)=0,"",SUM(Q31:R31))))</f>
        <v/>
      </c>
      <c r="T31" s="103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04" t="str">
        <f>IFERROR(IF(AF31=1,T31*AI31,""),)</f>
        <v/>
      </c>
      <c r="V31" s="119"/>
      <c r="W31" s="119"/>
      <c r="X31" s="120"/>
      <c r="Y31" s="106"/>
      <c r="Z31" s="107"/>
      <c r="AA31" s="163"/>
      <c r="AB31" s="108"/>
      <c r="AC31" s="65">
        <f>U5</f>
        <v>45829</v>
      </c>
      <c r="AD31" s="68" t="b">
        <f>IF(ISNUMBER(FIND("M",E31)),"m",IF(ISNUMBER(FIND("K",E31)),"k"))</f>
        <v>0</v>
      </c>
      <c r="AE31" s="81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5" t="str">
        <f>IF(D31="","",IF(D31&gt;193.609,1,IF(D31&lt;32,10^(0.722762521*LOG10(32/193.609)^2),10^(0.722762521*LOG10(D31/193.609)^2))))</f>
        <v/>
      </c>
    </row>
    <row r="32" spans="2:36" s="8" customFormat="1" ht="20.100000000000001" customHeight="1" x14ac:dyDescent="0.2">
      <c r="B32" s="137"/>
      <c r="C32" s="149"/>
      <c r="D32" s="150"/>
      <c r="E32" s="151"/>
      <c r="F32" s="152"/>
      <c r="G32" s="153"/>
      <c r="H32" s="154"/>
      <c r="I32" s="142"/>
      <c r="J32" s="140"/>
      <c r="K32" s="219"/>
      <c r="L32" s="219"/>
      <c r="M32" s="219"/>
      <c r="N32" s="219"/>
      <c r="O32" s="219"/>
      <c r="P32" s="219"/>
      <c r="Q32" s="141"/>
      <c r="R32" s="138"/>
      <c r="S32" s="223" t="str">
        <f>IF(T31="","",T31*1.2)</f>
        <v/>
      </c>
      <c r="T32" s="223"/>
      <c r="U32" s="138"/>
      <c r="V32" s="91" t="str">
        <f>IF(V31&gt;0,V31*20,"")</f>
        <v/>
      </c>
      <c r="W32" s="91" t="str">
        <f>IF(W31="","",(W31*10)*AJ31)</f>
        <v/>
      </c>
      <c r="X32" s="92" t="str">
        <f>IF(ROUNDUP(X31,1)&gt;0,IF((80+(8-ROUNDUP(X31,1))*40)&lt;0,0,80+(8-ROUNDUP(X31,1))*40),"")</f>
        <v/>
      </c>
      <c r="Y32" s="93" t="str">
        <f>IF(SUM(V32,W32,X32)&gt;0,SUM(V32,W32,X32),"")</f>
        <v/>
      </c>
      <c r="Z32" s="94" t="str">
        <f>IF(AE31&gt;34,(IF(OR(S32="",V32="",W32="",X32=""),"",SUM(S32,V32,W32,X32))*AI31),IF(OR(S32="",V32="",W32="",X32=""),"", SUM(S32,V32,W32,X32)))</f>
        <v/>
      </c>
      <c r="AA32" s="202"/>
      <c r="AB32" s="95"/>
      <c r="AC32" s="65"/>
      <c r="AD32" s="1"/>
      <c r="AE32" s="66"/>
      <c r="AF32" s="34"/>
      <c r="AH32" s="36"/>
      <c r="AI32" s="36"/>
      <c r="AJ32" s="85"/>
    </row>
    <row r="33" spans="2:35" s="6" customFormat="1" ht="18.95" customHeight="1" x14ac:dyDescent="0.2">
      <c r="D33" s="75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203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2">
      <c r="D34" s="75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203"/>
      <c r="AB34" s="19"/>
      <c r="AC34" s="1"/>
      <c r="AD34" s="22"/>
      <c r="AE34" s="33"/>
      <c r="AF34" s="34"/>
      <c r="AH34" s="7"/>
      <c r="AI34" s="7"/>
    </row>
    <row r="35" spans="2:35" customFormat="1" ht="23.1" customHeight="1" x14ac:dyDescent="0.25">
      <c r="B35" s="248" t="s">
        <v>34</v>
      </c>
      <c r="C35" s="250"/>
      <c r="D35" s="76" t="s">
        <v>33</v>
      </c>
      <c r="E35" s="248" t="s">
        <v>4</v>
      </c>
      <c r="F35" s="249"/>
      <c r="G35" s="249"/>
      <c r="H35" s="250"/>
      <c r="I35" s="49" t="s">
        <v>42</v>
      </c>
      <c r="J35" s="21"/>
      <c r="K35" s="248" t="s">
        <v>34</v>
      </c>
      <c r="L35" s="249"/>
      <c r="M35" s="250"/>
      <c r="N35" s="53" t="s">
        <v>33</v>
      </c>
      <c r="O35" s="266" t="s">
        <v>4</v>
      </c>
      <c r="P35" s="267"/>
      <c r="Q35" s="267"/>
      <c r="R35" s="268"/>
      <c r="S35" s="266" t="s">
        <v>42</v>
      </c>
      <c r="T35" s="268"/>
      <c r="U35" s="15"/>
      <c r="V35" s="15"/>
      <c r="W35" s="15"/>
      <c r="X35" s="15"/>
      <c r="Y35" s="15"/>
      <c r="Z35" s="15"/>
      <c r="AA35" s="204"/>
      <c r="AB35" s="15"/>
      <c r="AC35" s="3"/>
      <c r="AD35" s="3"/>
      <c r="AE35" s="3"/>
      <c r="AF35" s="1"/>
      <c r="AH35" s="37"/>
      <c r="AI35" s="37"/>
    </row>
    <row r="36" spans="2:35" s="5" customFormat="1" ht="20.100000000000001" customHeight="1" x14ac:dyDescent="0.25">
      <c r="B36" s="251" t="s">
        <v>40</v>
      </c>
      <c r="C36" s="253"/>
      <c r="D36" s="77">
        <v>1958002</v>
      </c>
      <c r="E36" s="264" t="s">
        <v>188</v>
      </c>
      <c r="F36" s="252"/>
      <c r="G36" s="252"/>
      <c r="H36" s="253"/>
      <c r="I36" s="47" t="s">
        <v>81</v>
      </c>
      <c r="J36" s="4"/>
      <c r="K36" s="251" t="s">
        <v>35</v>
      </c>
      <c r="L36" s="252"/>
      <c r="M36" s="253"/>
      <c r="N36" s="50"/>
      <c r="O36" s="221"/>
      <c r="P36" s="269"/>
      <c r="Q36" s="269"/>
      <c r="R36" s="270"/>
      <c r="S36" s="221"/>
      <c r="T36" s="222"/>
      <c r="AA36" s="205"/>
      <c r="AF36" s="1"/>
      <c r="AH36" s="35"/>
      <c r="AI36" s="35"/>
    </row>
    <row r="37" spans="2:35" s="5" customFormat="1" ht="21" customHeight="1" x14ac:dyDescent="0.25">
      <c r="B37" s="245" t="s">
        <v>36</v>
      </c>
      <c r="C37" s="247"/>
      <c r="D37" s="78">
        <v>1973011</v>
      </c>
      <c r="E37" s="265" t="s">
        <v>187</v>
      </c>
      <c r="F37" s="246"/>
      <c r="G37" s="246"/>
      <c r="H37" s="247"/>
      <c r="I37" s="47" t="s">
        <v>87</v>
      </c>
      <c r="J37" s="4"/>
      <c r="K37" s="245" t="s">
        <v>38</v>
      </c>
      <c r="L37" s="246"/>
      <c r="M37" s="247"/>
      <c r="N37" s="51"/>
      <c r="O37" s="230"/>
      <c r="P37" s="231"/>
      <c r="Q37" s="231"/>
      <c r="R37" s="232"/>
      <c r="S37" s="230"/>
      <c r="T37" s="233"/>
      <c r="AA37" s="205"/>
      <c r="AH37" s="35"/>
      <c r="AI37" s="35"/>
    </row>
    <row r="38" spans="2:35" s="5" customFormat="1" ht="18.95" customHeight="1" x14ac:dyDescent="0.25">
      <c r="B38" s="245" t="s">
        <v>36</v>
      </c>
      <c r="C38" s="247"/>
      <c r="D38" s="78">
        <v>1979008</v>
      </c>
      <c r="E38" s="208" t="s">
        <v>186</v>
      </c>
      <c r="F38" s="209"/>
      <c r="G38" s="209"/>
      <c r="H38" s="210"/>
      <c r="I38" s="47" t="s">
        <v>81</v>
      </c>
      <c r="J38" s="4"/>
      <c r="K38" s="245" t="s">
        <v>37</v>
      </c>
      <c r="L38" s="246"/>
      <c r="M38" s="247"/>
      <c r="N38" s="51"/>
      <c r="O38" s="230"/>
      <c r="P38" s="231"/>
      <c r="Q38" s="231"/>
      <c r="R38" s="232"/>
      <c r="S38" s="230"/>
      <c r="T38" s="233"/>
      <c r="V38" s="5" t="s">
        <v>54</v>
      </c>
      <c r="AA38" s="205"/>
      <c r="AH38" s="35"/>
      <c r="AI38" s="35"/>
    </row>
    <row r="39" spans="2:35" s="5" customFormat="1" ht="21" customHeight="1" x14ac:dyDescent="0.25">
      <c r="B39" s="245" t="s">
        <v>39</v>
      </c>
      <c r="C39" s="247"/>
      <c r="D39" s="78">
        <v>2003011</v>
      </c>
      <c r="E39" s="208" t="s">
        <v>190</v>
      </c>
      <c r="F39" s="209"/>
      <c r="G39" s="209"/>
      <c r="H39" s="210"/>
      <c r="I39" s="47" t="s">
        <v>81</v>
      </c>
      <c r="J39" s="4"/>
      <c r="K39" s="245" t="s">
        <v>56</v>
      </c>
      <c r="L39" s="246"/>
      <c r="M39" s="247"/>
      <c r="N39" s="51"/>
      <c r="O39" s="230"/>
      <c r="P39" s="231"/>
      <c r="Q39" s="231"/>
      <c r="R39" s="232"/>
      <c r="S39" s="230"/>
      <c r="T39" s="233"/>
      <c r="AA39" s="205"/>
      <c r="AD39" s="5" t="s">
        <v>13</v>
      </c>
      <c r="AH39" s="35"/>
      <c r="AI39" s="35"/>
    </row>
    <row r="40" spans="2:35" s="5" customFormat="1" ht="20.100000000000001" customHeight="1" x14ac:dyDescent="0.25">
      <c r="B40" s="245" t="s">
        <v>35</v>
      </c>
      <c r="C40" s="247"/>
      <c r="D40" s="78">
        <v>1961004</v>
      </c>
      <c r="E40" s="208" t="s">
        <v>185</v>
      </c>
      <c r="F40" s="209"/>
      <c r="G40" s="209"/>
      <c r="H40" s="210"/>
      <c r="I40" s="47" t="s">
        <v>81</v>
      </c>
      <c r="J40" s="4"/>
      <c r="K40" s="245"/>
      <c r="L40" s="246"/>
      <c r="M40" s="247"/>
      <c r="N40" s="51"/>
      <c r="O40" s="230"/>
      <c r="P40" s="231"/>
      <c r="Q40" s="231"/>
      <c r="R40" s="232"/>
      <c r="S40" s="230"/>
      <c r="T40" s="233"/>
      <c r="AA40" s="205"/>
      <c r="AH40" s="35"/>
      <c r="AI40" s="35"/>
    </row>
    <row r="41" spans="2:35" ht="18.95" customHeight="1" x14ac:dyDescent="0.2">
      <c r="B41" s="245" t="s">
        <v>38</v>
      </c>
      <c r="C41" s="247"/>
      <c r="D41" s="78">
        <v>1954001</v>
      </c>
      <c r="E41" s="208" t="s">
        <v>191</v>
      </c>
      <c r="F41" s="209"/>
      <c r="G41" s="209"/>
      <c r="H41" s="210"/>
      <c r="I41" s="47" t="s">
        <v>81</v>
      </c>
      <c r="J41" s="3"/>
      <c r="K41" s="245"/>
      <c r="L41" s="246"/>
      <c r="M41" s="247"/>
      <c r="N41" s="51"/>
      <c r="O41" s="230"/>
      <c r="P41" s="231"/>
      <c r="Q41" s="231"/>
      <c r="R41" s="232"/>
      <c r="S41" s="230"/>
      <c r="T41" s="233"/>
      <c r="U41" s="3"/>
      <c r="V41" s="3"/>
      <c r="W41" s="3"/>
      <c r="X41" s="3"/>
      <c r="Y41" s="3"/>
      <c r="Z41" s="3"/>
      <c r="AA41" s="206"/>
      <c r="AB41" s="3"/>
    </row>
    <row r="42" spans="2:35" ht="20.100000000000001" customHeight="1" x14ac:dyDescent="0.2">
      <c r="B42" s="228" t="s">
        <v>36</v>
      </c>
      <c r="C42" s="227"/>
      <c r="D42" s="79">
        <v>2009005</v>
      </c>
      <c r="E42" s="225" t="s">
        <v>184</v>
      </c>
      <c r="F42" s="226"/>
      <c r="G42" s="226"/>
      <c r="H42" s="227"/>
      <c r="I42" s="48" t="s">
        <v>86</v>
      </c>
      <c r="J42" s="3"/>
      <c r="K42" s="245"/>
      <c r="L42" s="246"/>
      <c r="M42" s="247"/>
      <c r="N42" s="51"/>
      <c r="O42" s="230"/>
      <c r="P42" s="231"/>
      <c r="Q42" s="231"/>
      <c r="R42" s="232"/>
      <c r="S42" s="230"/>
      <c r="T42" s="233"/>
      <c r="U42" s="3"/>
      <c r="V42" s="3"/>
      <c r="W42" s="3"/>
      <c r="X42" s="3"/>
      <c r="Y42" s="3"/>
      <c r="Z42" s="3"/>
      <c r="AA42" s="206"/>
      <c r="AB42" s="3"/>
    </row>
    <row r="43" spans="2:35" ht="20.100000000000001" customHeight="1" x14ac:dyDescent="0.2">
      <c r="B43" s="228"/>
      <c r="C43" s="227"/>
      <c r="D43" s="79"/>
      <c r="E43" s="225"/>
      <c r="F43" s="226"/>
      <c r="G43" s="226"/>
      <c r="H43" s="227"/>
      <c r="I43" s="48"/>
      <c r="J43" s="3"/>
      <c r="K43" s="228"/>
      <c r="L43" s="226"/>
      <c r="M43" s="227"/>
      <c r="N43" s="52"/>
      <c r="O43" s="241"/>
      <c r="P43" s="242"/>
      <c r="Q43" s="242"/>
      <c r="R43" s="243"/>
      <c r="S43" s="241"/>
      <c r="T43" s="244"/>
      <c r="U43" s="3"/>
      <c r="V43" s="3"/>
      <c r="W43" s="3"/>
      <c r="X43" s="3"/>
      <c r="Y43" s="3"/>
      <c r="Z43" s="3"/>
      <c r="AA43" s="206"/>
      <c r="AB43" s="3"/>
    </row>
    <row r="44" spans="2:35" ht="18.95" customHeight="1" x14ac:dyDescent="0.2">
      <c r="B44" s="235"/>
      <c r="C44" s="235"/>
      <c r="D44" s="234"/>
      <c r="E44" s="234"/>
      <c r="F44" s="55"/>
      <c r="G44" s="234"/>
      <c r="H44" s="234"/>
      <c r="I44" s="234"/>
      <c r="J44" s="3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3"/>
      <c r="V44" s="3"/>
      <c r="W44" s="3"/>
      <c r="X44" s="3"/>
      <c r="Y44" s="3"/>
      <c r="Z44" s="3"/>
      <c r="AA44" s="206"/>
      <c r="AB44" s="3"/>
    </row>
    <row r="45" spans="2:35" ht="18" customHeight="1" x14ac:dyDescent="0.2">
      <c r="B45" s="238" t="s">
        <v>41</v>
      </c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40"/>
      <c r="U45" s="3"/>
      <c r="V45" s="3"/>
      <c r="W45" s="3"/>
      <c r="X45" s="3"/>
      <c r="Y45" s="3"/>
      <c r="Z45" s="3"/>
      <c r="AA45" s="206"/>
      <c r="AB45" s="3"/>
    </row>
    <row r="46" spans="2:35" ht="18" customHeight="1" x14ac:dyDescent="0.2">
      <c r="B46" s="228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9"/>
      <c r="U46" s="3"/>
      <c r="V46" s="3"/>
      <c r="W46" s="3"/>
      <c r="X46" s="3"/>
      <c r="Y46" s="3"/>
      <c r="Z46" s="3"/>
      <c r="AA46" s="206"/>
      <c r="AB46" s="3"/>
    </row>
    <row r="47" spans="2:35" ht="15" x14ac:dyDescent="0.25">
      <c r="B47" s="1"/>
      <c r="D47" s="73"/>
      <c r="E47" s="46"/>
      <c r="F47" s="46"/>
      <c r="G47" s="73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207"/>
    </row>
    <row r="48" spans="2:35" ht="15" x14ac:dyDescent="0.25">
      <c r="B48" s="20"/>
      <c r="C48" s="20"/>
      <c r="D48" s="80"/>
      <c r="E48" s="13"/>
      <c r="F48" s="13"/>
      <c r="G48" s="74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207"/>
    </row>
    <row r="50" spans="5:7" x14ac:dyDescent="0.2">
      <c r="E50" s="224"/>
      <c r="F50" s="224"/>
      <c r="G50" s="224"/>
    </row>
  </sheetData>
  <mergeCells count="98">
    <mergeCell ref="S16:T16"/>
    <mergeCell ref="N14:P14"/>
    <mergeCell ref="U5:V5"/>
    <mergeCell ref="S14:T14"/>
    <mergeCell ref="K14:M14"/>
    <mergeCell ref="S12:T12"/>
    <mergeCell ref="K12:M12"/>
    <mergeCell ref="N12:P12"/>
    <mergeCell ref="K10:M10"/>
    <mergeCell ref="N10:P10"/>
    <mergeCell ref="S10:T10"/>
    <mergeCell ref="K16:M16"/>
    <mergeCell ref="N16:P16"/>
    <mergeCell ref="K44:M44"/>
    <mergeCell ref="K40:M40"/>
    <mergeCell ref="K41:M41"/>
    <mergeCell ref="K42:M42"/>
    <mergeCell ref="K43:M43"/>
    <mergeCell ref="S38:T38"/>
    <mergeCell ref="B35:C35"/>
    <mergeCell ref="B36:C36"/>
    <mergeCell ref="B37:C37"/>
    <mergeCell ref="E35:H35"/>
    <mergeCell ref="E36:H36"/>
    <mergeCell ref="E37:H37"/>
    <mergeCell ref="K37:M37"/>
    <mergeCell ref="O35:R35"/>
    <mergeCell ref="O36:R36"/>
    <mergeCell ref="O37:R37"/>
    <mergeCell ref="S37:T37"/>
    <mergeCell ref="S35:T35"/>
    <mergeCell ref="B7:B8"/>
    <mergeCell ref="P5:S5"/>
    <mergeCell ref="K5:N5"/>
    <mergeCell ref="D5:I5"/>
    <mergeCell ref="C7:C8"/>
    <mergeCell ref="D7:D8"/>
    <mergeCell ref="E7:E8"/>
    <mergeCell ref="F7:F8"/>
    <mergeCell ref="K32:M32"/>
    <mergeCell ref="N32:P32"/>
    <mergeCell ref="S32:T32"/>
    <mergeCell ref="K35:M35"/>
    <mergeCell ref="K36:M36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K18:M18"/>
    <mergeCell ref="E50:G50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S39:T39"/>
    <mergeCell ref="S22:T22"/>
    <mergeCell ref="K26:M26"/>
    <mergeCell ref="N26:P26"/>
    <mergeCell ref="S26:T26"/>
    <mergeCell ref="K20:M20"/>
    <mergeCell ref="K22:M22"/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</mergeCells>
  <phoneticPr fontId="21" type="noConversion"/>
  <conditionalFormatting sqref="K27">
    <cfRule type="cellIs" dxfId="89" priority="35" stopIfTrue="1" operator="between">
      <formula>1</formula>
      <formula>300</formula>
    </cfRule>
    <cfRule type="cellIs" dxfId="88" priority="36" stopIfTrue="1" operator="lessThanOrEqual">
      <formula>0</formula>
    </cfRule>
  </conditionalFormatting>
  <conditionalFormatting sqref="K29">
    <cfRule type="cellIs" dxfId="87" priority="33" stopIfTrue="1" operator="between">
      <formula>1</formula>
      <formula>300</formula>
    </cfRule>
    <cfRule type="cellIs" dxfId="86" priority="34" stopIfTrue="1" operator="lessThanOrEqual">
      <formula>0</formula>
    </cfRule>
  </conditionalFormatting>
  <conditionalFormatting sqref="K31">
    <cfRule type="cellIs" dxfId="85" priority="31" stopIfTrue="1" operator="between">
      <formula>1</formula>
      <formula>300</formula>
    </cfRule>
    <cfRule type="cellIs" dxfId="84" priority="32" stopIfTrue="1" operator="lessThanOrEqual">
      <formula>0</formula>
    </cfRule>
  </conditionalFormatting>
  <conditionalFormatting sqref="K9:P9">
    <cfRule type="cellIs" dxfId="83" priority="3" stopIfTrue="1" operator="between">
      <formula>1</formula>
      <formula>300</formula>
    </cfRule>
    <cfRule type="cellIs" dxfId="82" priority="4" stopIfTrue="1" operator="lessThanOrEqual">
      <formula>0</formula>
    </cfRule>
  </conditionalFormatting>
  <conditionalFormatting sqref="K11:P11">
    <cfRule type="cellIs" dxfId="81" priority="1" stopIfTrue="1" operator="between">
      <formula>1</formula>
      <formula>300</formula>
    </cfRule>
    <cfRule type="cellIs" dxfId="80" priority="2" stopIfTrue="1" operator="lessThanOrEqual">
      <formula>0</formula>
    </cfRule>
  </conditionalFormatting>
  <conditionalFormatting sqref="K13:P13">
    <cfRule type="cellIs" dxfId="79" priority="11" stopIfTrue="1" operator="between">
      <formula>1</formula>
      <formula>300</formula>
    </cfRule>
    <cfRule type="cellIs" dxfId="78" priority="12" stopIfTrue="1" operator="lessThanOrEqual">
      <formula>0</formula>
    </cfRule>
  </conditionalFormatting>
  <conditionalFormatting sqref="K15:P15">
    <cfRule type="cellIs" dxfId="77" priority="13" stopIfTrue="1" operator="between">
      <formula>1</formula>
      <formula>300</formula>
    </cfRule>
    <cfRule type="cellIs" dxfId="76" priority="14" stopIfTrue="1" operator="lessThanOrEqual">
      <formula>0</formula>
    </cfRule>
  </conditionalFormatting>
  <conditionalFormatting sqref="K17:P17">
    <cfRule type="cellIs" dxfId="75" priority="19" stopIfTrue="1" operator="between">
      <formula>1</formula>
      <formula>300</formula>
    </cfRule>
    <cfRule type="cellIs" dxfId="74" priority="20" stopIfTrue="1" operator="lessThanOrEqual">
      <formula>0</formula>
    </cfRule>
  </conditionalFormatting>
  <conditionalFormatting sqref="K19:P19">
    <cfRule type="cellIs" dxfId="73" priority="5" stopIfTrue="1" operator="between">
      <formula>1</formula>
      <formula>300</formula>
    </cfRule>
    <cfRule type="cellIs" dxfId="72" priority="6" stopIfTrue="1" operator="lessThanOrEqual">
      <formula>0</formula>
    </cfRule>
  </conditionalFormatting>
  <conditionalFormatting sqref="K21:P21">
    <cfRule type="cellIs" dxfId="71" priority="7" stopIfTrue="1" operator="between">
      <formula>1</formula>
      <formula>300</formula>
    </cfRule>
    <cfRule type="cellIs" dxfId="70" priority="8" stopIfTrue="1" operator="lessThanOrEqual">
      <formula>0</formula>
    </cfRule>
  </conditionalFormatting>
  <conditionalFormatting sqref="K23:P23">
    <cfRule type="cellIs" dxfId="69" priority="9" stopIfTrue="1" operator="between">
      <formula>1</formula>
      <formula>300</formula>
    </cfRule>
    <cfRule type="cellIs" dxfId="68" priority="10" stopIfTrue="1" operator="lessThanOrEqual">
      <formula>0</formula>
    </cfRule>
  </conditionalFormatting>
  <conditionalFormatting sqref="K25:P25">
    <cfRule type="cellIs" dxfId="67" priority="21" stopIfTrue="1" operator="between">
      <formula>1</formula>
      <formula>300</formula>
    </cfRule>
    <cfRule type="cellIs" dxfId="66" priority="22" stopIfTrue="1" operator="lessThanOrEqual">
      <formula>0</formula>
    </cfRule>
  </conditionalFormatting>
  <conditionalFormatting sqref="L27:N27">
    <cfRule type="cellIs" dxfId="65" priority="59" stopIfTrue="1" operator="between">
      <formula>1</formula>
      <formula>300</formula>
    </cfRule>
    <cfRule type="cellIs" dxfId="64" priority="60" stopIfTrue="1" operator="lessThanOrEqual">
      <formula>0</formula>
    </cfRule>
  </conditionalFormatting>
  <conditionalFormatting sqref="L29:N29">
    <cfRule type="cellIs" dxfId="63" priority="57" stopIfTrue="1" operator="between">
      <formula>1</formula>
      <formula>300</formula>
    </cfRule>
    <cfRule type="cellIs" dxfId="62" priority="58" stopIfTrue="1" operator="lessThanOrEqual">
      <formula>0</formula>
    </cfRule>
  </conditionalFormatting>
  <conditionalFormatting sqref="L31:N31">
    <cfRule type="cellIs" dxfId="61" priority="55" stopIfTrue="1" operator="between">
      <formula>1</formula>
      <formula>300</formula>
    </cfRule>
    <cfRule type="cellIs" dxfId="60" priority="56" stopIfTrue="1" operator="lessThanOrEqual">
      <formula>0</formula>
    </cfRule>
  </conditionalFormatting>
  <dataValidations disablePrompts="1" count="6">
    <dataValidation type="list" allowBlank="1" showInputMessage="1" showErrorMessage="1" sqref="K36:M43 B36:C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9 C13 C15 C17 C19 C21 C23 C25 C27 C29 C11" xr:uid="{C48F630E-8040-4E32-BCD0-78DA9FEB131F}">
      <formula1>"44,48,53,56,58,60,63,65,69,71,77,'+77,79,86,'+86,88,94,'+94,110,'+110"</formula1>
    </dataValidation>
    <dataValidation type="list" allowBlank="1" showInputMessage="1" showErrorMessage="1" sqref="E9 F12 E13 E15 E17 E19 E21 E23 E25 E27 E29 E31 E11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B667D933-CE61-C147-AB46-FDC9393ED988}">
      <formula1>"11-12,13-14,15-16,17-18,19-23,24-34,+35,35+"</formula1>
    </dataValidation>
    <dataValidation type="list" allowBlank="1" showInputMessage="1" showErrorMessage="1" sqref="F31 F9 F13 F15 F17 F19 F21 F23 F25 F27 F29 F11" xr:uid="{1A072353-AAB7-E847-930A-D8464684175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9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DB98-42AB-6647-AAE5-6213532F6B6E}">
  <sheetPr>
    <pageSetUpPr autoPageBreaks="0" fitToPage="1"/>
  </sheetPr>
  <dimension ref="A1:AJ50"/>
  <sheetViews>
    <sheetView showGridLines="0" showZeros="0" showOutlineSymbols="0" topLeftCell="A20" zoomScaleNormal="100" zoomScaleSheetLayoutView="75" zoomScalePageLayoutView="120" workbookViewId="0">
      <selection activeCell="A35" sqref="A35:XFD46"/>
    </sheetView>
  </sheetViews>
  <sheetFormatPr defaultColWidth="9.140625" defaultRowHeight="12.75" x14ac:dyDescent="0.2"/>
  <cols>
    <col min="1" max="1" width="4.42578125" style="3" customWidth="1"/>
    <col min="2" max="2" width="10.140625" style="3" bestFit="1" customWidth="1"/>
    <col min="3" max="3" width="6.42578125" style="1" customWidth="1"/>
    <col min="4" max="4" width="8.5703125" style="1" customWidth="1"/>
    <col min="5" max="6" width="6.42578125" style="16" customWidth="1"/>
    <col min="7" max="7" width="10.5703125" style="1" customWidth="1"/>
    <col min="8" max="8" width="3.85546875" style="1" customWidth="1"/>
    <col min="9" max="9" width="27.85546875" style="4" customWidth="1"/>
    <col min="10" max="10" width="21" style="4" customWidth="1"/>
    <col min="11" max="11" width="6.85546875" style="1" customWidth="1"/>
    <col min="12" max="12" width="6.85546875" style="18" customWidth="1"/>
    <col min="13" max="13" width="6.85546875" style="1" customWidth="1"/>
    <col min="14" max="14" width="8.85546875" style="1" customWidth="1"/>
    <col min="15" max="19" width="6.85546875" style="1" customWidth="1"/>
    <col min="20" max="23" width="8" style="17" customWidth="1"/>
    <col min="24" max="24" width="9" style="17" customWidth="1"/>
    <col min="25" max="26" width="8" style="17" customWidth="1"/>
    <col min="27" max="27" width="4.42578125" style="17" customWidth="1"/>
    <col min="28" max="28" width="5.5703125" style="17" customWidth="1"/>
    <col min="29" max="29" width="9.5703125" style="3" hidden="1" customWidth="1"/>
    <col min="30" max="31" width="9.140625" style="3" hidden="1" customWidth="1"/>
    <col min="32" max="32" width="7.85546875" style="3" hidden="1" customWidth="1"/>
    <col min="33" max="33" width="9.140625" style="3" hidden="1" customWidth="1"/>
    <col min="34" max="35" width="9.140625" style="2" hidden="1" customWidth="1"/>
    <col min="36" max="36" width="9.140625" style="3" hidden="1" customWidth="1"/>
    <col min="37" max="37" width="9.140625" style="3" customWidth="1"/>
    <col min="38" max="16384" width="9.140625" style="3"/>
  </cols>
  <sheetData>
    <row r="1" spans="1:36" customFormat="1" ht="18.95" customHeight="1" x14ac:dyDescent="0.2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0.8">
      <c r="A2" s="15"/>
      <c r="B2" s="15"/>
      <c r="C2" s="15"/>
      <c r="D2" s="15"/>
      <c r="E2" s="15"/>
      <c r="F2" s="15"/>
      <c r="G2" s="236" t="s">
        <v>58</v>
      </c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15"/>
      <c r="T2" s="15"/>
      <c r="U2" s="82" t="s">
        <v>59</v>
      </c>
      <c r="V2" s="15"/>
      <c r="W2" s="15"/>
      <c r="X2" s="15"/>
      <c r="Y2" s="15"/>
    </row>
    <row r="3" spans="1:36" customFormat="1" ht="27" x14ac:dyDescent="0.5">
      <c r="A3" s="15"/>
      <c r="B3" s="15"/>
      <c r="C3" s="15"/>
      <c r="D3" s="15"/>
      <c r="E3" s="83"/>
      <c r="F3" s="15"/>
      <c r="G3" s="237" t="s">
        <v>21</v>
      </c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84" t="s">
        <v>60</v>
      </c>
      <c r="T3" s="84"/>
      <c r="U3" s="84"/>
      <c r="V3" s="84"/>
      <c r="W3" s="84"/>
      <c r="X3" s="84"/>
      <c r="Y3" s="84"/>
      <c r="Z3" s="84"/>
    </row>
    <row r="4" spans="1:36" customFormat="1" x14ac:dyDescent="0.2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75" x14ac:dyDescent="0.25">
      <c r="C5" s="24" t="s">
        <v>16</v>
      </c>
      <c r="D5" s="257" t="s">
        <v>55</v>
      </c>
      <c r="E5" s="257"/>
      <c r="F5" s="257"/>
      <c r="G5" s="257"/>
      <c r="H5" s="257"/>
      <c r="I5" s="257"/>
      <c r="J5" s="24" t="s">
        <v>0</v>
      </c>
      <c r="K5" s="257" t="str">
        <f>Arrangør</f>
        <v>Voll IL</v>
      </c>
      <c r="L5" s="257"/>
      <c r="M5" s="257"/>
      <c r="N5" s="257"/>
      <c r="O5" s="24" t="s">
        <v>1</v>
      </c>
      <c r="P5" s="256" t="str">
        <f>Sted</f>
        <v>Vollhallen</v>
      </c>
      <c r="Q5" s="256"/>
      <c r="R5" s="256"/>
      <c r="S5" s="256"/>
      <c r="T5" s="24" t="s">
        <v>2</v>
      </c>
      <c r="U5" s="271">
        <f>StevneDato</f>
        <v>45829</v>
      </c>
      <c r="V5" s="271"/>
      <c r="W5" s="54"/>
      <c r="X5" s="54"/>
      <c r="Y5" s="54"/>
      <c r="Z5" s="25" t="s">
        <v>15</v>
      </c>
      <c r="AA5" s="25"/>
      <c r="AB5" s="26">
        <v>2</v>
      </c>
      <c r="AH5" s="35"/>
      <c r="AI5" s="35"/>
    </row>
    <row r="6" spans="1:36" x14ac:dyDescent="0.2">
      <c r="AG6" s="38" t="s">
        <v>27</v>
      </c>
      <c r="AH6" s="38" t="s">
        <v>27</v>
      </c>
      <c r="AI6" s="38" t="s">
        <v>27</v>
      </c>
      <c r="AJ6" s="217" t="s">
        <v>57</v>
      </c>
    </row>
    <row r="7" spans="1:36" s="1" customFormat="1" x14ac:dyDescent="0.2">
      <c r="B7" s="254" t="s">
        <v>33</v>
      </c>
      <c r="C7" s="258" t="s">
        <v>52</v>
      </c>
      <c r="D7" s="258" t="s">
        <v>51</v>
      </c>
      <c r="E7" s="260" t="s">
        <v>53</v>
      </c>
      <c r="F7" s="262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69" t="s">
        <v>9</v>
      </c>
      <c r="V7" s="62" t="s">
        <v>44</v>
      </c>
      <c r="W7" s="62" t="s">
        <v>45</v>
      </c>
      <c r="X7" s="62" t="s">
        <v>46</v>
      </c>
      <c r="Y7" s="70" t="s">
        <v>47</v>
      </c>
      <c r="Z7" s="71" t="s">
        <v>43</v>
      </c>
      <c r="AA7" s="72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7"/>
    </row>
    <row r="8" spans="1:36" s="1" customFormat="1" x14ac:dyDescent="0.2">
      <c r="B8" s="255"/>
      <c r="C8" s="259"/>
      <c r="D8" s="259"/>
      <c r="E8" s="261"/>
      <c r="F8" s="263"/>
      <c r="G8" s="56" t="s">
        <v>14</v>
      </c>
      <c r="H8" s="56" t="s">
        <v>20</v>
      </c>
      <c r="I8" s="56"/>
      <c r="J8" s="192"/>
      <c r="K8" s="57">
        <v>1</v>
      </c>
      <c r="L8" s="57">
        <v>2</v>
      </c>
      <c r="M8" s="58">
        <v>3</v>
      </c>
      <c r="N8" s="58">
        <v>1</v>
      </c>
      <c r="O8" s="57">
        <v>2</v>
      </c>
      <c r="P8" s="58">
        <v>3</v>
      </c>
      <c r="Q8" s="59" t="s">
        <v>18</v>
      </c>
      <c r="R8" s="56"/>
      <c r="S8" s="56" t="s">
        <v>11</v>
      </c>
      <c r="T8" s="60"/>
      <c r="U8" s="61" t="s">
        <v>23</v>
      </c>
      <c r="V8" s="62" t="s">
        <v>9</v>
      </c>
      <c r="W8" s="62" t="s">
        <v>9</v>
      </c>
      <c r="X8" s="62" t="s">
        <v>9</v>
      </c>
      <c r="Y8" s="63" t="s">
        <v>48</v>
      </c>
      <c r="Z8" s="64" t="s">
        <v>49</v>
      </c>
      <c r="AA8" s="64"/>
      <c r="AB8" s="60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.100000000000001" customHeight="1" x14ac:dyDescent="0.2">
      <c r="B9" s="109">
        <v>2013010</v>
      </c>
      <c r="C9" s="175" t="s">
        <v>174</v>
      </c>
      <c r="D9" s="176">
        <v>67.19</v>
      </c>
      <c r="E9" s="175" t="s">
        <v>113</v>
      </c>
      <c r="F9" s="177" t="s">
        <v>114</v>
      </c>
      <c r="G9" s="178">
        <v>41584</v>
      </c>
      <c r="H9" s="179"/>
      <c r="I9" s="133" t="s">
        <v>115</v>
      </c>
      <c r="J9" s="98" t="s">
        <v>81</v>
      </c>
      <c r="K9" s="124">
        <v>23</v>
      </c>
      <c r="L9" s="125">
        <v>25</v>
      </c>
      <c r="M9" s="125">
        <v>27</v>
      </c>
      <c r="N9" s="124">
        <v>32</v>
      </c>
      <c r="O9" s="125">
        <v>34</v>
      </c>
      <c r="P9" s="125">
        <v>36</v>
      </c>
      <c r="Q9" s="126">
        <f>IF(MAX(K9:M9)&gt;0,IF(MAX(K9:M9)&lt;0,0,TRUNC(MAX(K9:M9)/1)*1),"")</f>
        <v>27</v>
      </c>
      <c r="R9" s="127">
        <f>IF(MAX(N9:P9)&gt;0,IF(MAX(N9:P9)&lt;0,0,TRUNC(MAX(N9:P9)/1)*1),"")</f>
        <v>36</v>
      </c>
      <c r="S9" s="127">
        <f>IF(Q9="","",IF(R9="","",IF(SUM(Q9:R9)=0,"",SUM(Q9:R9))))</f>
        <v>63</v>
      </c>
      <c r="T9" s="12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79.628825177613194</v>
      </c>
      <c r="U9" s="104" t="str">
        <f>IF(AF9=1,T9*AI9,"")</f>
        <v/>
      </c>
      <c r="V9" s="130">
        <v>4.05</v>
      </c>
      <c r="W9" s="130">
        <v>6.18</v>
      </c>
      <c r="X9" s="130">
        <v>9.6199999999999992</v>
      </c>
      <c r="Y9" s="128"/>
      <c r="Z9" s="131"/>
      <c r="AA9" s="131"/>
      <c r="AB9" s="132"/>
      <c r="AC9" s="67">
        <f>U5</f>
        <v>45829</v>
      </c>
      <c r="AD9" s="68" t="str">
        <f>IF(ISNUMBER(FIND("M",E9)),"m",IF(ISNUMBER(FIND("K",E9)),"k"))</f>
        <v>k</v>
      </c>
      <c r="AE9" s="66">
        <f>IF(OR(G9="",AC9=""),0,(YEAR(AC9)-YEAR(G9)))</f>
        <v>12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5">
        <f>IF(D9="","",IF(D9&gt;193.609,1,IF(D9&lt;32,10^(0.722762521*LOG10(32/193.609)^2),10^(0.722762521*LOG10(D9/193.609)^2))))</f>
        <v>1.4212961331244145</v>
      </c>
    </row>
    <row r="10" spans="1:36" s="8" customFormat="1" ht="20.100000000000001" customHeight="1" x14ac:dyDescent="0.2">
      <c r="B10" s="180"/>
      <c r="C10" s="181"/>
      <c r="D10" s="181"/>
      <c r="E10" s="181"/>
      <c r="F10" s="182"/>
      <c r="G10" s="183"/>
      <c r="H10" s="184"/>
      <c r="I10" s="185"/>
      <c r="J10" s="185"/>
      <c r="K10" s="272"/>
      <c r="L10" s="272"/>
      <c r="M10" s="272"/>
      <c r="N10" s="273"/>
      <c r="O10" s="273"/>
      <c r="P10" s="273"/>
      <c r="Q10" s="186"/>
      <c r="R10" s="181"/>
      <c r="S10" s="223">
        <f>IF(T9="","",T9*1.2)</f>
        <v>95.554590213135825</v>
      </c>
      <c r="T10" s="223"/>
      <c r="U10" s="91"/>
      <c r="V10" s="91">
        <f>IF(V9&gt;0,V9*20,"")</f>
        <v>81</v>
      </c>
      <c r="W10" s="91">
        <f>IF(W9="","",(W9*10)*AJ9)</f>
        <v>87.836101027088816</v>
      </c>
      <c r="X10" s="92">
        <f>IF(ROUNDUP(X9,1)&gt;0,IF((80+(8-ROUNDUP(X9,1))*40)&lt;0,0,80+(8-ROUNDUP(X9,1))*40),"")</f>
        <v>12.000000000000028</v>
      </c>
      <c r="Y10" s="93">
        <f>IF(SUM(V10,W10,X10)&gt;0,SUM(V10,W10,X10),"")</f>
        <v>180.83610102708886</v>
      </c>
      <c r="Z10" s="94">
        <f>IFERROR(IF(AE9&gt;34,(IF(OR(S10="",V10="",W10="",X10=""),"",SUM(S10,V10,W10,X10))*AI9),IF(OR(S10="",V10="",W10="",X10=""),"", SUM(S10,V10,W10,X10))),)</f>
        <v>276.39069124022467</v>
      </c>
      <c r="AA10" s="94"/>
      <c r="AB10" s="95"/>
      <c r="AC10" s="65"/>
      <c r="AD10" s="1"/>
      <c r="AE10" s="66"/>
      <c r="AF10" s="40"/>
      <c r="AH10" s="36"/>
      <c r="AI10" s="36"/>
      <c r="AJ10" s="85"/>
    </row>
    <row r="11" spans="1:36" s="8" customFormat="1" ht="20.100000000000001" customHeight="1" x14ac:dyDescent="0.2">
      <c r="B11" s="109">
        <v>2013024</v>
      </c>
      <c r="C11" s="175" t="s">
        <v>180</v>
      </c>
      <c r="D11" s="176">
        <v>39.36</v>
      </c>
      <c r="E11" s="175" t="s">
        <v>113</v>
      </c>
      <c r="F11" s="177" t="s">
        <v>114</v>
      </c>
      <c r="G11" s="178">
        <v>41457</v>
      </c>
      <c r="H11" s="179"/>
      <c r="I11" s="133" t="s">
        <v>116</v>
      </c>
      <c r="J11" s="134" t="s">
        <v>84</v>
      </c>
      <c r="K11" s="99">
        <v>15</v>
      </c>
      <c r="L11" s="100">
        <v>18</v>
      </c>
      <c r="M11" s="100">
        <v>20</v>
      </c>
      <c r="N11" s="99">
        <v>21</v>
      </c>
      <c r="O11" s="100">
        <v>24</v>
      </c>
      <c r="P11" s="100">
        <v>-26</v>
      </c>
      <c r="Q11" s="101">
        <f>IF(MAX(K11:M11)&gt;0,IF(MAX(K11:M11)&lt;0,0,TRUNC(MAX(K11:M11)/1)*1),"")</f>
        <v>20</v>
      </c>
      <c r="R11" s="102">
        <f>IF(MAX(N11:P11)&gt;0,IF(MAX(N11:P11)&lt;0,0,TRUNC(MAX(N11:P11)/1)*1),"")</f>
        <v>24</v>
      </c>
      <c r="S11" s="102">
        <f>IF(Q11="","",IF(R11="","",IF(SUM(Q11:R11)=0,"",SUM(Q11:R11))))</f>
        <v>44</v>
      </c>
      <c r="T11" s="103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82.997349836951429</v>
      </c>
      <c r="U11" s="104" t="str">
        <f>IF(AF11=1,T11*AI11,"")</f>
        <v/>
      </c>
      <c r="V11" s="105">
        <v>4.88</v>
      </c>
      <c r="W11" s="105">
        <v>7.04</v>
      </c>
      <c r="X11" s="105">
        <v>8.16</v>
      </c>
      <c r="Y11" s="106"/>
      <c r="Z11" s="107"/>
      <c r="AA11" s="107"/>
      <c r="AB11" s="108"/>
      <c r="AC11" s="65">
        <f>U5</f>
        <v>45829</v>
      </c>
      <c r="AD11" s="68" t="str">
        <f>IF(ISNUMBER(FIND("M",E11)),"m",IF(ISNUMBER(FIND("K",E11)),"k"))</f>
        <v>k</v>
      </c>
      <c r="AE11" s="66">
        <f>IF(OR(G11="",AC11=""),0,(YEAR(AC11)-YEAR(G11)))</f>
        <v>12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5">
        <f>IF(D11="","",IF(D11&gt;193.609,1,IF(D11&lt;32,10^(0.722762521*LOG10(32/193.609)^2),10^(0.722762521*LOG10(D11/193.609)^2))))</f>
        <v>2.2180706579664098</v>
      </c>
    </row>
    <row r="12" spans="1:36" s="8" customFormat="1" ht="20.100000000000001" customHeight="1" x14ac:dyDescent="0.2">
      <c r="B12" s="187"/>
      <c r="C12" s="181"/>
      <c r="D12" s="181"/>
      <c r="E12" s="181"/>
      <c r="F12" s="182"/>
      <c r="G12" s="183"/>
      <c r="H12" s="184"/>
      <c r="I12" s="185"/>
      <c r="J12" s="185"/>
      <c r="K12" s="272"/>
      <c r="L12" s="272"/>
      <c r="M12" s="272"/>
      <c r="N12" s="273"/>
      <c r="O12" s="273"/>
      <c r="P12" s="273"/>
      <c r="Q12" s="186"/>
      <c r="R12" s="181"/>
      <c r="S12" s="223">
        <f>IF(T11="","",T11*1.2)</f>
        <v>99.596819804341706</v>
      </c>
      <c r="T12" s="223"/>
      <c r="U12" s="94"/>
      <c r="V12" s="91">
        <f>IF(V11&gt;0,V11*20,"")</f>
        <v>97.6</v>
      </c>
      <c r="W12" s="91">
        <f>IF(W11="","",(W11*10)*AJ11)</f>
        <v>156.15217432083526</v>
      </c>
      <c r="X12" s="92">
        <f>IF(ROUNDUP(X11,1)&gt;0,IF((80+(8-ROUNDUP(X11,1))*40)&lt;0,0,80+(8-ROUNDUP(X11,1))*40),"")</f>
        <v>72.000000000000028</v>
      </c>
      <c r="Y12" s="93">
        <f>IF(SUM(V12,W12,X12)&gt;0,SUM(V12,W12,X12),"")</f>
        <v>325.75217432083525</v>
      </c>
      <c r="Z12" s="94">
        <f>IF(AE11&gt;34,(IF(OR(S12="",V12="",W12="",X12=""),"",SUM(S12,V12,W12,X12))*AI11),IF(OR(S12="",V12="",W12="",X12=""),"", SUM(S12,V12,W12,X12)))</f>
        <v>425.348994125177</v>
      </c>
      <c r="AA12" s="94"/>
      <c r="AB12" s="95"/>
      <c r="AC12" s="65"/>
      <c r="AD12" s="1"/>
      <c r="AE12" s="66"/>
      <c r="AF12" s="34"/>
      <c r="AH12" s="36"/>
      <c r="AI12" s="36"/>
      <c r="AJ12" s="85"/>
    </row>
    <row r="13" spans="1:36" s="8" customFormat="1" ht="20.100000000000001" customHeight="1" x14ac:dyDescent="0.2">
      <c r="B13" s="109" t="s">
        <v>117</v>
      </c>
      <c r="C13" s="96" t="s">
        <v>181</v>
      </c>
      <c r="D13" s="97">
        <v>40.98</v>
      </c>
      <c r="E13" s="96" t="s">
        <v>118</v>
      </c>
      <c r="F13" s="161" t="s">
        <v>114</v>
      </c>
      <c r="G13" s="162">
        <v>41632</v>
      </c>
      <c r="H13" s="163"/>
      <c r="I13" s="164" t="s">
        <v>119</v>
      </c>
      <c r="J13" s="98" t="s">
        <v>81</v>
      </c>
      <c r="K13" s="99">
        <v>20</v>
      </c>
      <c r="L13" s="100">
        <v>23</v>
      </c>
      <c r="M13" s="100">
        <v>25</v>
      </c>
      <c r="N13" s="99">
        <v>27</v>
      </c>
      <c r="O13" s="100">
        <v>30</v>
      </c>
      <c r="P13" s="100">
        <v>-32</v>
      </c>
      <c r="Q13" s="101">
        <f>IF(MAX(K13:M13)&gt;0,IF(MAX(K13:M13)&lt;0,0,TRUNC(MAX(K13:M13)/1)*1),"")</f>
        <v>25</v>
      </c>
      <c r="R13" s="102">
        <f>IF(MAX(N13:P13)&gt;0,IF(MAX(N13:P13)&lt;0,0,TRUNC(MAX(N13:P13)/1)*1),"")</f>
        <v>30</v>
      </c>
      <c r="S13" s="102">
        <f>IF(Q13="","",IF(R13="","",IF(SUM(Q13:R13)=0,"",SUM(Q13:R13))))</f>
        <v>55</v>
      </c>
      <c r="T13" s="103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117.23058756333039</v>
      </c>
      <c r="U13" s="104" t="str">
        <f>IF(AF13=1,T13*AI13,"")</f>
        <v/>
      </c>
      <c r="V13" s="105">
        <v>5.64</v>
      </c>
      <c r="W13" s="105">
        <v>7.93</v>
      </c>
      <c r="X13" s="105">
        <v>7.88</v>
      </c>
      <c r="Y13" s="110"/>
      <c r="Z13" s="107"/>
      <c r="AA13" s="107"/>
      <c r="AB13" s="108"/>
      <c r="AC13" s="65">
        <f>U5</f>
        <v>45829</v>
      </c>
      <c r="AD13" s="68" t="str">
        <f>IF(ISNUMBER(FIND("M",E13)),"m",IF(ISNUMBER(FIND("K",E13)),"k"))</f>
        <v>m</v>
      </c>
      <c r="AE13" s="66">
        <f>IF(OR(G13="",AC13=""),0,(YEAR(AC13)-YEAR(G13)))</f>
        <v>12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5">
        <f>IF(D13="","",IF(D13&gt;193.609,1,IF(D13&lt;32,10^(0.722762521*LOG10(32/193.609)^2),10^(0.722762521*LOG10(D13/193.609)^2))))</f>
        <v>2.1314652284241888</v>
      </c>
    </row>
    <row r="14" spans="1:36" s="8" customFormat="1" ht="20.100000000000001" customHeight="1" x14ac:dyDescent="0.2">
      <c r="B14" s="187"/>
      <c r="C14" s="181"/>
      <c r="D14" s="181"/>
      <c r="E14" s="181"/>
      <c r="F14" s="182"/>
      <c r="G14" s="183"/>
      <c r="H14" s="184"/>
      <c r="I14" s="185"/>
      <c r="J14" s="185"/>
      <c r="K14" s="272"/>
      <c r="L14" s="272"/>
      <c r="M14" s="272"/>
      <c r="N14" s="273"/>
      <c r="O14" s="273"/>
      <c r="P14" s="273"/>
      <c r="Q14" s="186"/>
      <c r="R14" s="181"/>
      <c r="S14" s="223">
        <f>IF(T13="","",T13*1.2)</f>
        <v>140.67670507599647</v>
      </c>
      <c r="T14" s="223"/>
      <c r="U14" s="91"/>
      <c r="V14" s="91">
        <f>IF(V13&gt;0,V13*20,"")</f>
        <v>112.8</v>
      </c>
      <c r="W14" s="91">
        <f>IF(W13="","",(W13*10)*AJ13)</f>
        <v>169.02519261403816</v>
      </c>
      <c r="X14" s="92">
        <f>IF(ROUNDUP(X13,1)&gt;0,IF((80+(8-ROUNDUP(X13,1))*40)&lt;0,0,80+(8-ROUNDUP(X13,1))*40),"")</f>
        <v>84.000000000000028</v>
      </c>
      <c r="Y14" s="93">
        <f>IF(SUM(V14,W14,X14)&gt;0,SUM(V14,W14,X14),"")</f>
        <v>365.8251926140382</v>
      </c>
      <c r="Z14" s="94">
        <f>IF(AE13&gt;34,(IF(OR(S14="",V14="",W14="",X14=""),"",SUM(S14,V14,W14,X14))*AI13),IF(OR(S14="",V14="",W14="",X14=""),"", SUM(S14,V14,W14,X14)))</f>
        <v>506.50189769003464</v>
      </c>
      <c r="AA14" s="94"/>
      <c r="AB14" s="95"/>
      <c r="AC14" s="65"/>
      <c r="AD14" s="1"/>
      <c r="AE14" s="66"/>
      <c r="AF14" s="34"/>
      <c r="AH14" s="36"/>
      <c r="AI14" s="36"/>
      <c r="AJ14" s="85"/>
    </row>
    <row r="15" spans="1:36" s="8" customFormat="1" ht="20.100000000000001" customHeight="1" x14ac:dyDescent="0.2">
      <c r="B15" s="109" t="s">
        <v>120</v>
      </c>
      <c r="C15" s="96" t="s">
        <v>181</v>
      </c>
      <c r="D15" s="97">
        <v>33.35</v>
      </c>
      <c r="E15" s="96" t="s">
        <v>118</v>
      </c>
      <c r="F15" s="161" t="s">
        <v>114</v>
      </c>
      <c r="G15" s="162">
        <v>41565</v>
      </c>
      <c r="H15" s="163"/>
      <c r="I15" s="164" t="s">
        <v>195</v>
      </c>
      <c r="J15" s="98" t="s">
        <v>81</v>
      </c>
      <c r="K15" s="99">
        <v>-15</v>
      </c>
      <c r="L15" s="100">
        <v>15</v>
      </c>
      <c r="M15" s="100">
        <v>-18</v>
      </c>
      <c r="N15" s="99">
        <v>17</v>
      </c>
      <c r="O15" s="100">
        <v>19</v>
      </c>
      <c r="P15" s="100">
        <v>20</v>
      </c>
      <c r="Q15" s="101">
        <f>IF(MAX(K15:M15)&gt;0,IF(MAX(K15:M15)&lt;0,0,TRUNC(MAX(K15:M15)/1)*1),"")</f>
        <v>15</v>
      </c>
      <c r="R15" s="102">
        <f>IF(MAX(N15:P15)&gt;0,IF(MAX(N15:P15)&lt;0,0,TRUNC(MAX(N15:P15)/1)*1),"")</f>
        <v>20</v>
      </c>
      <c r="S15" s="102">
        <f>IF(Q15="","",IF(R15="","",IF(SUM(Q15:R15)=0,"",SUM(Q15:R15))))</f>
        <v>35</v>
      </c>
      <c r="T15" s="103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92.41736581295001</v>
      </c>
      <c r="U15" s="104" t="str">
        <f>IF(AF15=1,T15*AI15,"")</f>
        <v/>
      </c>
      <c r="V15" s="105">
        <v>5.2</v>
      </c>
      <c r="W15" s="105">
        <v>5.52</v>
      </c>
      <c r="X15" s="105">
        <v>8.41</v>
      </c>
      <c r="Y15" s="106"/>
      <c r="Z15" s="107"/>
      <c r="AA15" s="107"/>
      <c r="AB15" s="108"/>
      <c r="AC15" s="65">
        <f>U5</f>
        <v>45829</v>
      </c>
      <c r="AD15" s="68" t="str">
        <f>IF(ISNUMBER(FIND("M",E15)),"m",IF(ISNUMBER(FIND("K",E15)),"k"))</f>
        <v>m</v>
      </c>
      <c r="AE15" s="66">
        <f>IF(OR(G15="",AC15=""),0,(YEAR(AC15)-YEAR(G15)))</f>
        <v>12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5">
        <f>IF(D15="","",IF(D15&gt;193.609,1,IF(D15&lt;32,10^(0.722762521*LOG10(32/193.609)^2),10^(0.722762521*LOG10(D15/193.609)^2))))</f>
        <v>2.6404961660842861</v>
      </c>
    </row>
    <row r="16" spans="1:36" s="8" customFormat="1" ht="20.100000000000001" customHeight="1" x14ac:dyDescent="0.2">
      <c r="B16" s="187"/>
      <c r="C16" s="181"/>
      <c r="D16" s="181"/>
      <c r="E16" s="181"/>
      <c r="F16" s="182"/>
      <c r="G16" s="183"/>
      <c r="H16" s="184"/>
      <c r="I16" s="185"/>
      <c r="J16" s="185"/>
      <c r="K16" s="272"/>
      <c r="L16" s="272"/>
      <c r="M16" s="272"/>
      <c r="N16" s="273"/>
      <c r="O16" s="273"/>
      <c r="P16" s="273"/>
      <c r="Q16" s="188"/>
      <c r="R16" s="189"/>
      <c r="S16" s="223">
        <f>IF(T15="","",T15*1.2)</f>
        <v>110.90083897554001</v>
      </c>
      <c r="T16" s="223"/>
      <c r="U16" s="91"/>
      <c r="V16" s="91">
        <f>IF(V15&gt;0,V15*20,"")</f>
        <v>104</v>
      </c>
      <c r="W16" s="91">
        <f>IF(W15="","",(W15*10)*AJ15)</f>
        <v>145.75538836785259</v>
      </c>
      <c r="X16" s="92">
        <f>IF(ROUNDUP(X15,1)&gt;0,IF((80+(8-ROUNDUP(X15,1))*40)&lt;0,0,80+(8-ROUNDUP(X15,1))*40),"")</f>
        <v>60</v>
      </c>
      <c r="Y16" s="93">
        <f>IF(SUM(V16,W16,X16)&gt;0,SUM(V16,W16,X16),"")</f>
        <v>309.75538836785256</v>
      </c>
      <c r="Z16" s="94">
        <f>IF(AE15&gt;34,(IF(OR(S16="",V16="",W16="",X16=""),"",SUM(S16,V16,W16,X16))*AI15),IF(OR(S16="",V16="",W16="",X16=""),"", SUM(S16,V16,W16,X16)))</f>
        <v>420.65622734339263</v>
      </c>
      <c r="AA16" s="94"/>
      <c r="AB16" s="95"/>
      <c r="AC16" s="65"/>
      <c r="AD16" s="1"/>
      <c r="AE16" s="66"/>
      <c r="AF16" s="34"/>
      <c r="AH16" s="36"/>
      <c r="AI16" s="36"/>
      <c r="AJ16" s="85"/>
    </row>
    <row r="17" spans="2:36" s="8" customFormat="1" ht="20.100000000000001" customHeight="1" x14ac:dyDescent="0.25">
      <c r="B17" s="109" t="s">
        <v>122</v>
      </c>
      <c r="C17" s="96" t="s">
        <v>181</v>
      </c>
      <c r="D17" s="97">
        <v>53.91</v>
      </c>
      <c r="E17" s="96" t="s">
        <v>118</v>
      </c>
      <c r="F17" s="161" t="s">
        <v>114</v>
      </c>
      <c r="G17" s="162">
        <v>41415</v>
      </c>
      <c r="H17" s="163"/>
      <c r="I17" s="165" t="s">
        <v>123</v>
      </c>
      <c r="J17" s="98" t="s">
        <v>84</v>
      </c>
      <c r="K17" s="99">
        <v>12</v>
      </c>
      <c r="L17" s="100">
        <v>15</v>
      </c>
      <c r="M17" s="100">
        <v>18</v>
      </c>
      <c r="N17" s="99">
        <v>18</v>
      </c>
      <c r="O17" s="100">
        <v>-21</v>
      </c>
      <c r="P17" s="100">
        <v>21</v>
      </c>
      <c r="Q17" s="101">
        <f>IF(MAX(K17:M17)&gt;0,IF(MAX(K17:M17)&lt;0,0,TRUNC(MAX(K17:M17)/1)*1),"")</f>
        <v>18</v>
      </c>
      <c r="R17" s="102">
        <f>IF(MAX(N17:P17)&gt;0,IF(MAX(N17:P17)&lt;0,0,TRUNC(MAX(N17:P17)/1)*1),"")</f>
        <v>21</v>
      </c>
      <c r="S17" s="111">
        <f>IF(Q17="","",IF(R17="","",IF(SUM(Q17:R17)=0,"",SUM(Q17:R17))))</f>
        <v>39</v>
      </c>
      <c r="T17" s="103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65.147706127404348</v>
      </c>
      <c r="U17" s="104" t="str">
        <f>IF(AF17=1,T17*AI17,"")</f>
        <v/>
      </c>
      <c r="V17" s="105">
        <v>4.0999999999999996</v>
      </c>
      <c r="W17" s="105">
        <v>3.93</v>
      </c>
      <c r="X17" s="105">
        <v>9.8800000000000008</v>
      </c>
      <c r="Y17" s="106"/>
      <c r="Z17" s="107"/>
      <c r="AA17" s="107"/>
      <c r="AB17" s="108"/>
      <c r="AC17" s="65">
        <f>U5</f>
        <v>45829</v>
      </c>
      <c r="AD17" s="68" t="str">
        <f>IF(ISNUMBER(FIND("M",E17)),"m",IF(ISNUMBER(FIND("K",E17)),"k"))</f>
        <v>m</v>
      </c>
      <c r="AE17" s="66">
        <f>IF(OR(G17="",AC17=""),0,(YEAR(AC17)-YEAR(G17)))</f>
        <v>12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5">
        <f>IF(D17="","",IF(D17&gt;193.609,1,IF(D17&lt;32,10^(0.722762521*LOG10(32/193.609)^2),10^(0.722762521*LOG10(D17/193.609)^2))))</f>
        <v>1.6704540032667783</v>
      </c>
    </row>
    <row r="18" spans="2:36" s="8" customFormat="1" ht="20.100000000000001" customHeight="1" x14ac:dyDescent="0.2">
      <c r="B18" s="187"/>
      <c r="C18" s="181"/>
      <c r="D18" s="181"/>
      <c r="E18" s="181"/>
      <c r="F18" s="182"/>
      <c r="G18" s="183"/>
      <c r="H18" s="184"/>
      <c r="I18" s="185"/>
      <c r="J18" s="185"/>
      <c r="K18" s="272"/>
      <c r="L18" s="272"/>
      <c r="M18" s="272"/>
      <c r="N18" s="273"/>
      <c r="O18" s="273"/>
      <c r="P18" s="273"/>
      <c r="Q18" s="186"/>
      <c r="R18" s="181"/>
      <c r="S18" s="223">
        <f>IF(T17="","",T17*1.2)</f>
        <v>78.177247352885217</v>
      </c>
      <c r="T18" s="223"/>
      <c r="U18" s="91"/>
      <c r="V18" s="91">
        <f>IF(V17&gt;0,V17*20,"")</f>
        <v>82</v>
      </c>
      <c r="W18" s="91">
        <f>IF(W17="","",(W17*10)*AJ17)</f>
        <v>65.64884232838439</v>
      </c>
      <c r="X18" s="92">
        <f>IF(ROUNDUP(X17,1)&gt;0,IF((80+(8-ROUNDUP(X17,1))*40)&lt;0,0,80+(8-ROUNDUP(X17,1))*40),"")</f>
        <v>3.9999999999999858</v>
      </c>
      <c r="Y18" s="93">
        <f>IF(SUM(V18,W18,X18)&gt;0,SUM(V18,W18,X18),"")</f>
        <v>151.64884232838438</v>
      </c>
      <c r="Z18" s="94">
        <f>IF(AE17&gt;34,(IF(OR(S18="",V18="",W18="",X18=""),"",SUM(S18,V18,W18,X18))*AI17),IF(OR(S18="",V18="",W18="",X18=""),"", SUM(S18,V18,W18,X18)))</f>
        <v>229.82608968126959</v>
      </c>
      <c r="AA18" s="94"/>
      <c r="AB18" s="95"/>
      <c r="AC18" s="65"/>
      <c r="AD18" s="1"/>
      <c r="AE18" s="66"/>
      <c r="AF18" s="34"/>
      <c r="AH18" s="36"/>
      <c r="AI18" s="36"/>
      <c r="AJ18" s="85"/>
    </row>
    <row r="19" spans="2:36" s="8" customFormat="1" ht="20.100000000000001" customHeight="1" x14ac:dyDescent="0.25">
      <c r="B19" s="109" t="s">
        <v>124</v>
      </c>
      <c r="C19" s="96" t="s">
        <v>181</v>
      </c>
      <c r="D19" s="97">
        <v>52.23</v>
      </c>
      <c r="E19" s="96" t="s">
        <v>118</v>
      </c>
      <c r="F19" s="161" t="s">
        <v>114</v>
      </c>
      <c r="G19" s="162">
        <v>41455</v>
      </c>
      <c r="H19" s="163"/>
      <c r="I19" s="165" t="s">
        <v>193</v>
      </c>
      <c r="J19" s="98" t="s">
        <v>84</v>
      </c>
      <c r="K19" s="99">
        <v>15</v>
      </c>
      <c r="L19" s="100">
        <v>-18</v>
      </c>
      <c r="M19" s="100">
        <v>18</v>
      </c>
      <c r="N19" s="99">
        <v>28</v>
      </c>
      <c r="O19" s="100">
        <v>31</v>
      </c>
      <c r="P19" s="100">
        <v>-35</v>
      </c>
      <c r="Q19" s="101">
        <f>IF(MAX(K19:M19)&gt;0,IF(MAX(K19:M19)&lt;0,0,TRUNC(MAX(K19:M19)/1)*1),"")</f>
        <v>18</v>
      </c>
      <c r="R19" s="102">
        <f>IF(MAX(N19:P19)&gt;0,IF(MAX(N19:P19)&lt;0,0,TRUNC(MAX(N19:P19)/1)*1),"")</f>
        <v>31</v>
      </c>
      <c r="S19" s="111">
        <f>IF(Q19="","",IF(R19="","",IF(SUM(Q19:R19)=0,"",SUM(Q19:R19))))</f>
        <v>49</v>
      </c>
      <c r="T19" s="103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83.985233407723086</v>
      </c>
      <c r="U19" s="104" t="str">
        <f>IF(AF19=1,T19*AI19,"")</f>
        <v/>
      </c>
      <c r="V19" s="105">
        <v>5.1100000000000003</v>
      </c>
      <c r="W19" s="105">
        <v>7.33</v>
      </c>
      <c r="X19" s="105">
        <v>8.41</v>
      </c>
      <c r="Y19" s="106"/>
      <c r="Z19" s="107"/>
      <c r="AA19" s="107"/>
      <c r="AB19" s="108"/>
      <c r="AC19" s="65">
        <f>U5</f>
        <v>45829</v>
      </c>
      <c r="AD19" s="68" t="str">
        <f>IF(ISNUMBER(FIND("M",E19)),"m",IF(ISNUMBER(FIND("K",E19)),"k"))</f>
        <v>m</v>
      </c>
      <c r="AE19" s="66">
        <f>IF(OR(G19="",AC19=""),0,(YEAR(AC19)-YEAR(G19)))</f>
        <v>12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5">
        <f>IF(D19="","",IF(D19&gt;193.609,1,IF(D19&lt;32,10^(0.722762521*LOG10(32/193.609)^2),10^(0.722762521*LOG10(D19/193.609)^2))))</f>
        <v>1.7139843552596548</v>
      </c>
    </row>
    <row r="20" spans="2:36" s="8" customFormat="1" ht="20.100000000000001" customHeight="1" x14ac:dyDescent="0.2">
      <c r="B20" s="187"/>
      <c r="C20" s="181"/>
      <c r="D20" s="181"/>
      <c r="E20" s="181"/>
      <c r="F20" s="182"/>
      <c r="G20" s="183"/>
      <c r="H20" s="184"/>
      <c r="I20" s="185"/>
      <c r="J20" s="185"/>
      <c r="K20" s="272"/>
      <c r="L20" s="272"/>
      <c r="M20" s="272"/>
      <c r="N20" s="273"/>
      <c r="O20" s="273"/>
      <c r="P20" s="273"/>
      <c r="Q20" s="186"/>
      <c r="R20" s="181"/>
      <c r="S20" s="223">
        <f>IF(T19="","",T19*1.2)</f>
        <v>100.7822800892677</v>
      </c>
      <c r="T20" s="223"/>
      <c r="U20" s="91"/>
      <c r="V20" s="91">
        <f>IF(V19&gt;0,V19*20,"")</f>
        <v>102.2</v>
      </c>
      <c r="W20" s="91">
        <f>IF(W19="","",(W19*10)*AJ19)</f>
        <v>125.63505324053268</v>
      </c>
      <c r="X20" s="92">
        <f>IF(ROUNDUP(X19,1)&gt;0,IF((80+(8-ROUNDUP(X19,1))*40)&lt;0,0,80+(8-ROUNDUP(X19,1))*40),"")</f>
        <v>60</v>
      </c>
      <c r="Y20" s="93">
        <f>IF(SUM(V20,W20,X20)&gt;0,SUM(V20,W20,X20),"")</f>
        <v>287.83505324053272</v>
      </c>
      <c r="Z20" s="94">
        <f>IF(AE19&gt;34,(IF(OR(S20="",V20="",W20="",X20=""),"",SUM(S20,V20,W20,X20))*AI19),IF(OR(S20="",V20="",W20="",X20=""),"", SUM(S20,V20,W20,X20)))</f>
        <v>388.61733332980037</v>
      </c>
      <c r="AA20" s="94"/>
      <c r="AB20" s="95"/>
      <c r="AC20" s="65"/>
      <c r="AD20" s="1"/>
      <c r="AE20" s="66"/>
      <c r="AF20" s="34"/>
      <c r="AH20" s="36"/>
      <c r="AI20" s="36"/>
      <c r="AJ20" s="85"/>
    </row>
    <row r="21" spans="2:36" s="8" customFormat="1" ht="20.100000000000001" customHeight="1" x14ac:dyDescent="0.2">
      <c r="B21" s="109" t="s">
        <v>125</v>
      </c>
      <c r="C21" s="96" t="s">
        <v>171</v>
      </c>
      <c r="D21" s="97">
        <v>62.85</v>
      </c>
      <c r="E21" s="96" t="s">
        <v>113</v>
      </c>
      <c r="F21" s="161" t="s">
        <v>126</v>
      </c>
      <c r="G21" s="162">
        <v>41200</v>
      </c>
      <c r="H21" s="163"/>
      <c r="I21" s="164" t="s">
        <v>127</v>
      </c>
      <c r="J21" s="172" t="s">
        <v>86</v>
      </c>
      <c r="K21" s="99">
        <v>-30</v>
      </c>
      <c r="L21" s="100">
        <v>30</v>
      </c>
      <c r="M21" s="100">
        <v>-33</v>
      </c>
      <c r="N21" s="99">
        <v>-37</v>
      </c>
      <c r="O21" s="100">
        <v>-37</v>
      </c>
      <c r="P21" s="100">
        <v>37</v>
      </c>
      <c r="Q21" s="101">
        <f>IF(MAX(K21:M21)&gt;0,IF(MAX(K21:M21)&lt;0,0,TRUNC(MAX(K21:M21)/1)*1),"")</f>
        <v>30</v>
      </c>
      <c r="R21" s="102">
        <f>IF(MAX(N21:P21)&gt;0,IF(MAX(N21:P21)&lt;0,0,TRUNC(MAX(N21:P21)/1)*1),"")</f>
        <v>37</v>
      </c>
      <c r="S21" s="111">
        <f>IF(Q21="","",IF(R21="","",IF(SUM(Q21:R21)=0,"",SUM(Q21:R21))))</f>
        <v>67</v>
      </c>
      <c r="T21" s="103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88.079988409985745</v>
      </c>
      <c r="U21" s="104" t="str">
        <f>IF(AF21=1,T21*AI21,"")</f>
        <v/>
      </c>
      <c r="V21" s="105">
        <v>5.08</v>
      </c>
      <c r="W21" s="105">
        <v>8.0299999999999994</v>
      </c>
      <c r="X21" s="105">
        <v>8.2799999999999994</v>
      </c>
      <c r="Y21" s="106"/>
      <c r="Z21" s="107"/>
      <c r="AA21" s="107"/>
      <c r="AB21" s="108"/>
      <c r="AC21" s="65">
        <f>U5</f>
        <v>45829</v>
      </c>
      <c r="AD21" s="68" t="str">
        <f>IF(ISNUMBER(FIND("M",E21)),"m",IF(ISNUMBER(FIND("K",E21)),"k"))</f>
        <v>k</v>
      </c>
      <c r="AE21" s="66">
        <f>IF(OR(G21="",AC21=""),0,(YEAR(AC21)-YEAR(G21)))</f>
        <v>13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5">
        <f>IF(D21="","",IF(D21&gt;193.609,1,IF(D21&lt;32,10^(0.722762521*LOG10(32/193.609)^2),10^(0.722762521*LOG10(D21/193.609)^2))))</f>
        <v>1.4878507806388046</v>
      </c>
    </row>
    <row r="22" spans="2:36" s="8" customFormat="1" ht="20.100000000000001" customHeight="1" x14ac:dyDescent="0.2">
      <c r="B22" s="187"/>
      <c r="C22" s="181"/>
      <c r="D22" s="181"/>
      <c r="E22" s="181"/>
      <c r="F22" s="182"/>
      <c r="G22" s="183"/>
      <c r="H22" s="184"/>
      <c r="I22" s="185"/>
      <c r="J22" s="185"/>
      <c r="K22" s="272"/>
      <c r="L22" s="272"/>
      <c r="M22" s="272"/>
      <c r="N22" s="273"/>
      <c r="O22" s="273"/>
      <c r="P22" s="273"/>
      <c r="Q22" s="186"/>
      <c r="R22" s="181"/>
      <c r="S22" s="223">
        <f>IF(T21="","",T21*1.2)</f>
        <v>105.69598609198289</v>
      </c>
      <c r="T22" s="223"/>
      <c r="U22" s="91"/>
      <c r="V22" s="91">
        <f>IF(V21&gt;0,V21*20,"")</f>
        <v>101.6</v>
      </c>
      <c r="W22" s="91">
        <f>IF(W21="","",(W21*10)*AJ21)</f>
        <v>119.474417685296</v>
      </c>
      <c r="X22" s="92">
        <f>IF(ROUNDUP(X21,1)&gt;0,IF((80+(8-ROUNDUP(X21,1))*40)&lt;0,0,80+(8-ROUNDUP(X21,1))*40),"")</f>
        <v>68.000000000000043</v>
      </c>
      <c r="Y22" s="93">
        <f>IF(SUM(V22,W22,X22)&gt;0,SUM(V22,W22,X22),"")</f>
        <v>289.07441768529605</v>
      </c>
      <c r="Z22" s="94">
        <f>IF(AE21&gt;34,(IF(OR(S22="",V22="",W22="",X22=""),"",SUM(S22,V22,W22,X22))*AI21),IF(OR(S22="",V22="",W22="",X22=""),"", SUM(S22,V22,W22,X22)))</f>
        <v>394.77040377727894</v>
      </c>
      <c r="AA22" s="94"/>
      <c r="AB22" s="95"/>
      <c r="AC22" s="65"/>
      <c r="AD22" s="1"/>
      <c r="AE22" s="66"/>
      <c r="AF22" s="34"/>
      <c r="AH22" s="36"/>
      <c r="AI22" s="36"/>
      <c r="AJ22" s="85"/>
    </row>
    <row r="23" spans="2:36" s="8" customFormat="1" ht="20.100000000000001" customHeight="1" x14ac:dyDescent="0.2">
      <c r="B23" s="109" t="s">
        <v>128</v>
      </c>
      <c r="C23" s="96" t="s">
        <v>182</v>
      </c>
      <c r="D23" s="97">
        <v>50.65</v>
      </c>
      <c r="E23" s="96" t="s">
        <v>113</v>
      </c>
      <c r="F23" s="161" t="s">
        <v>126</v>
      </c>
      <c r="G23" s="162">
        <v>40976</v>
      </c>
      <c r="H23" s="163"/>
      <c r="I23" s="164" t="s">
        <v>129</v>
      </c>
      <c r="J23" s="98" t="s">
        <v>84</v>
      </c>
      <c r="K23" s="99">
        <v>22</v>
      </c>
      <c r="L23" s="100">
        <v>-25</v>
      </c>
      <c r="M23" s="100">
        <v>25</v>
      </c>
      <c r="N23" s="99">
        <v>31</v>
      </c>
      <c r="O23" s="100">
        <v>34</v>
      </c>
      <c r="P23" s="100">
        <v>-37</v>
      </c>
      <c r="Q23" s="101">
        <f>IF(MAX(K23:M23)&gt;0,IF(MAX(K23:M23)&lt;0,0,TRUNC(MAX(K23:M23)/1)*1),"")</f>
        <v>25</v>
      </c>
      <c r="R23" s="102">
        <f>IF(MAX(N23:P23)&gt;0,IF(MAX(N23:P23)&lt;0,0,TRUNC(MAX(N23:P23)/1)*1),"")</f>
        <v>34</v>
      </c>
      <c r="S23" s="111">
        <f>IF(Q23="","",IF(R23="","",IF(SUM(Q23:R23)=0,"",SUM(Q23:R23))))</f>
        <v>59</v>
      </c>
      <c r="T23" s="103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89.926120947259975</v>
      </c>
      <c r="U23" s="104" t="str">
        <f>IF(AF23=1,T23*AI23,"")</f>
        <v/>
      </c>
      <c r="V23" s="105">
        <v>5.0999999999999996</v>
      </c>
      <c r="W23" s="105">
        <v>7.45</v>
      </c>
      <c r="X23" s="105">
        <v>8.9</v>
      </c>
      <c r="Y23" s="106"/>
      <c r="Z23" s="107"/>
      <c r="AA23" s="107"/>
      <c r="AB23" s="108"/>
      <c r="AC23" s="65">
        <f>U5</f>
        <v>45829</v>
      </c>
      <c r="AD23" s="68" t="str">
        <f>IF(ISNUMBER(FIND("M",E23)),"m",IF(ISNUMBER(FIND("K",E23)),"k"))</f>
        <v>k</v>
      </c>
      <c r="AE23" s="81">
        <f>IF(OR(G23="",AC23=""),0,(YEAR(AC23)-YEAR(G23)))</f>
        <v>13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5">
        <f>IF(D23="","",IF(D23&gt;193.609,1,IF(D23&lt;32,10^(0.722762521*LOG10(32/193.609)^2),10^(0.722762521*LOG10(D23/193.609)^2))))</f>
        <v>1.7583618982469595</v>
      </c>
    </row>
    <row r="24" spans="2:36" s="8" customFormat="1" ht="20.100000000000001" customHeight="1" x14ac:dyDescent="0.2">
      <c r="B24" s="187"/>
      <c r="C24" s="181"/>
      <c r="D24" s="181"/>
      <c r="E24" s="181"/>
      <c r="F24" s="182"/>
      <c r="G24" s="183"/>
      <c r="H24" s="184"/>
      <c r="I24" s="185"/>
      <c r="J24" s="185"/>
      <c r="K24" s="272"/>
      <c r="L24" s="272"/>
      <c r="M24" s="272"/>
      <c r="N24" s="273"/>
      <c r="O24" s="273"/>
      <c r="P24" s="273"/>
      <c r="Q24" s="186"/>
      <c r="R24" s="181"/>
      <c r="S24" s="223">
        <f>IF(T23="","",T23*1.2)</f>
        <v>107.91134513671197</v>
      </c>
      <c r="T24" s="223"/>
      <c r="U24" s="91"/>
      <c r="V24" s="91">
        <f>IF(V23&gt;0,V23*20,"")</f>
        <v>102</v>
      </c>
      <c r="W24" s="91">
        <f>IF(W23="","",(W23*10)*AJ23)</f>
        <v>130.99796141939848</v>
      </c>
      <c r="X24" s="92">
        <f>IF(ROUNDUP(X23,1)&gt;0,IF((80+(8-ROUNDUP(X23,1))*40)&lt;0,0,80+(8-ROUNDUP(X23,1))*40),"")</f>
        <v>43.999999999999986</v>
      </c>
      <c r="Y24" s="93">
        <f>IF(SUM(V24,W24,X24)&gt;0,SUM(V24,W24,X24),"")</f>
        <v>276.99796141939845</v>
      </c>
      <c r="Z24" s="94">
        <f>IF(AE23&gt;34,(IF(OR(S24="",V24="",W24="",X24=""),"",SUM(S24,V24,W24,X24))*AI23),IF(OR(S24="",V24="",W24="",X24=""),"", SUM(S24,V24,W24,X24)))</f>
        <v>384.90930655611044</v>
      </c>
      <c r="AA24" s="94"/>
      <c r="AB24" s="95"/>
      <c r="AC24" s="65"/>
      <c r="AD24" s="1"/>
      <c r="AE24" s="66"/>
      <c r="AF24" s="34"/>
      <c r="AH24" s="36"/>
      <c r="AI24" s="36"/>
      <c r="AJ24" s="85"/>
    </row>
    <row r="25" spans="2:36" s="8" customFormat="1" ht="20.100000000000001" customHeight="1" x14ac:dyDescent="0.2">
      <c r="B25" s="109" t="s">
        <v>130</v>
      </c>
      <c r="C25" s="96" t="s">
        <v>181</v>
      </c>
      <c r="D25" s="97">
        <v>44.82</v>
      </c>
      <c r="E25" s="96" t="s">
        <v>118</v>
      </c>
      <c r="F25" s="161" t="s">
        <v>126</v>
      </c>
      <c r="G25" s="162">
        <v>40698</v>
      </c>
      <c r="H25" s="163"/>
      <c r="I25" s="164" t="s">
        <v>196</v>
      </c>
      <c r="J25" s="98" t="s">
        <v>95</v>
      </c>
      <c r="K25" s="99">
        <v>30</v>
      </c>
      <c r="L25" s="100">
        <v>33</v>
      </c>
      <c r="M25" s="100">
        <v>34</v>
      </c>
      <c r="N25" s="99">
        <v>37</v>
      </c>
      <c r="O25" s="100">
        <v>41</v>
      </c>
      <c r="P25" s="100">
        <v>42</v>
      </c>
      <c r="Q25" s="101">
        <f>IF(MAX(K25:M25)&gt;0,IF(MAX(K25:M25)&lt;0,0,TRUNC(MAX(K25:M25)/1)*1),"")</f>
        <v>34</v>
      </c>
      <c r="R25" s="102">
        <f>IF(MAX(N25:P25)&gt;0,IF(MAX(N25:P25)&lt;0,0,TRUNC(MAX(N25:P25)/1)*1),"")</f>
        <v>42</v>
      </c>
      <c r="S25" s="111">
        <f>IF(Q25="","",IF(R25="","",IF(SUM(Q25:R25)=0,"",SUM(Q25:R25))))</f>
        <v>76</v>
      </c>
      <c r="T25" s="103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>148.82164616045833</v>
      </c>
      <c r="U25" s="104" t="str">
        <f>IF(AF25=1,T25*AI25,"")</f>
        <v/>
      </c>
      <c r="V25" s="105">
        <v>6.04</v>
      </c>
      <c r="W25" s="105">
        <v>7.1</v>
      </c>
      <c r="X25" s="105">
        <v>7.47</v>
      </c>
      <c r="Y25" s="106"/>
      <c r="Z25" s="107"/>
      <c r="AA25" s="107"/>
      <c r="AB25" s="108"/>
      <c r="AC25" s="65">
        <f>U5</f>
        <v>45829</v>
      </c>
      <c r="AD25" s="68" t="str">
        <f>IF(ISNUMBER(FIND("M",E25)),"m",IF(ISNUMBER(FIND("K",E25)),"k"))</f>
        <v>m</v>
      </c>
      <c r="AE25" s="81">
        <f>IF(OR(G25="",AC25=""),0,(YEAR(AC25)-YEAR(G25)))</f>
        <v>14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b">
        <f t="shared" ref="AI25" si="3">IF(AD25="m",AG25,IF(AD25="k",AH25,""))</f>
        <v>0</v>
      </c>
      <c r="AJ25" s="85">
        <f>IF(D25="","",IF(D25&gt;193.609,1,IF(D25&lt;32,10^(0.722762521*LOG10(32/193.609)^2),10^(0.722762521*LOG10(D25/193.609)^2))))</f>
        <v>1.9581795547428726</v>
      </c>
    </row>
    <row r="26" spans="2:36" s="8" customFormat="1" ht="20.100000000000001" customHeight="1" x14ac:dyDescent="0.2">
      <c r="B26" s="187"/>
      <c r="C26" s="181"/>
      <c r="D26" s="181"/>
      <c r="E26" s="181"/>
      <c r="F26" s="182"/>
      <c r="G26" s="183"/>
      <c r="H26" s="184"/>
      <c r="I26" s="185"/>
      <c r="J26" s="185"/>
      <c r="K26" s="272"/>
      <c r="L26" s="272"/>
      <c r="M26" s="272"/>
      <c r="N26" s="273"/>
      <c r="O26" s="273"/>
      <c r="P26" s="273"/>
      <c r="Q26" s="186"/>
      <c r="R26" s="181"/>
      <c r="S26" s="223">
        <f>IF(T25="","",T25*1.2)</f>
        <v>178.58597539254998</v>
      </c>
      <c r="T26" s="223"/>
      <c r="U26" s="91"/>
      <c r="V26" s="91">
        <f>IF(V25&gt;0,V25*20,"")</f>
        <v>120.8</v>
      </c>
      <c r="W26" s="91">
        <f>IF(W25="","",(W25*10)*AJ25)</f>
        <v>139.03074838674397</v>
      </c>
      <c r="X26" s="92">
        <f>IF(ROUNDUP(X25,1)&gt;0,IF((80+(8-ROUNDUP(X25,1))*40)&lt;0,0,80+(8-ROUNDUP(X25,1))*40),"")</f>
        <v>100</v>
      </c>
      <c r="Y26" s="93">
        <f>IF(SUM(V26,W26,X26)&gt;0,SUM(V26,W26,X26),"")</f>
        <v>359.83074838674395</v>
      </c>
      <c r="Z26" s="94">
        <f>IF(AE25&gt;34,(IF(OR(S26="",V26="",W26="",X26=""),"",SUM(S26,V26,W26,X26))*AI25),IF(OR(S26="",V26="",W26="",X26=""),"", SUM(S26,V26,W26,X26)))</f>
        <v>538.41672377929399</v>
      </c>
      <c r="AA26" s="94"/>
      <c r="AB26" s="95"/>
      <c r="AC26" s="65"/>
      <c r="AD26" s="1"/>
      <c r="AE26" s="66"/>
      <c r="AF26" s="34"/>
      <c r="AH26" s="36"/>
      <c r="AI26" s="36"/>
      <c r="AJ26" s="85"/>
    </row>
    <row r="27" spans="2:36" s="8" customFormat="1" ht="20.100000000000001" customHeight="1" x14ac:dyDescent="0.2">
      <c r="B27" s="109" t="s">
        <v>131</v>
      </c>
      <c r="C27" s="112">
        <v>56</v>
      </c>
      <c r="D27" s="97">
        <v>40.46</v>
      </c>
      <c r="E27" s="113" t="s">
        <v>118</v>
      </c>
      <c r="F27" s="114" t="s">
        <v>126</v>
      </c>
      <c r="G27" s="115">
        <v>41199</v>
      </c>
      <c r="H27" s="96"/>
      <c r="I27" s="98" t="s">
        <v>132</v>
      </c>
      <c r="J27" s="172" t="s">
        <v>86</v>
      </c>
      <c r="K27" s="116">
        <v>18</v>
      </c>
      <c r="L27" s="117">
        <v>22</v>
      </c>
      <c r="M27" s="117">
        <v>-26</v>
      </c>
      <c r="N27" s="117">
        <v>25</v>
      </c>
      <c r="O27" s="118">
        <v>28</v>
      </c>
      <c r="P27" s="118">
        <v>30</v>
      </c>
      <c r="Q27" s="101">
        <f>IF(MAX(K27:M27)&gt;0,IF(MAX(K27:M27)&lt;0,0,TRUNC(MAX(K27:M27)/1)*1),"")</f>
        <v>22</v>
      </c>
      <c r="R27" s="102">
        <f>IF(MAX(N27:P27)&gt;0,IF(MAX(N27:P27)&lt;0,0,TRUNC(MAX(N27:P27)/1)*1),"")</f>
        <v>30</v>
      </c>
      <c r="S27" s="111">
        <f>IF(Q27="","",IF(R27="","",IF(SUM(Q27:R27)=0,"",SUM(Q27:R27))))</f>
        <v>52</v>
      </c>
      <c r="T27" s="103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>112.23029747073274</v>
      </c>
      <c r="U27" s="104" t="str">
        <f>IF(AF27=1,T27*AI27,"")</f>
        <v/>
      </c>
      <c r="V27" s="119">
        <v>5.63</v>
      </c>
      <c r="W27" s="119">
        <v>7.71</v>
      </c>
      <c r="X27" s="120">
        <v>8.24</v>
      </c>
      <c r="Y27" s="106"/>
      <c r="Z27" s="107"/>
      <c r="AA27" s="107"/>
      <c r="AB27" s="108"/>
      <c r="AC27" s="65">
        <f>U5</f>
        <v>45829</v>
      </c>
      <c r="AD27" s="68" t="str">
        <f>IF(ISNUMBER(FIND("M",E27)),"m",IF(ISNUMBER(FIND("K",E27)),"k"))</f>
        <v>m</v>
      </c>
      <c r="AE27" s="81">
        <f>IF(OR(G27="",AC27=""),0,(YEAR(AC27)-YEAR(G27)))</f>
        <v>13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b">
        <f t="shared" ref="AI27" si="5">IF(AD27="m",AG27,IF(AD27="k",AH27,""))</f>
        <v>0</v>
      </c>
      <c r="AJ27" s="85">
        <f>IF(D27="","",IF(D27&gt;193.609,1,IF(D27&lt;32,10^(0.722762521*LOG10(32/193.609)^2),10^(0.722762521*LOG10(D27/193.609)^2))))</f>
        <v>2.1582749513602448</v>
      </c>
    </row>
    <row r="28" spans="2:36" s="8" customFormat="1" ht="20.100000000000001" customHeight="1" x14ac:dyDescent="0.2">
      <c r="B28" s="187"/>
      <c r="C28" s="190"/>
      <c r="D28" s="181"/>
      <c r="E28" s="182"/>
      <c r="F28" s="182"/>
      <c r="G28" s="191"/>
      <c r="H28" s="183"/>
      <c r="I28" s="185"/>
      <c r="J28" s="185"/>
      <c r="K28" s="273"/>
      <c r="L28" s="273"/>
      <c r="M28" s="273"/>
      <c r="N28" s="273"/>
      <c r="O28" s="273"/>
      <c r="P28" s="273"/>
      <c r="Q28" s="186"/>
      <c r="R28" s="181"/>
      <c r="S28" s="223">
        <f>IF(T27="","",T27*1.2)</f>
        <v>134.67635696487929</v>
      </c>
      <c r="T28" s="223"/>
      <c r="U28" s="91"/>
      <c r="V28" s="91">
        <f>IF(V27&gt;0,V27*20,"")</f>
        <v>112.6</v>
      </c>
      <c r="W28" s="91">
        <f>IF(W27="","",(W27*10)*AJ27)</f>
        <v>166.40299874987485</v>
      </c>
      <c r="X28" s="92">
        <f>IF(ROUNDUP(X27,1)&gt;0,IF((80+(8-ROUNDUP(X27,1))*40)&lt;0,0,80+(8-ROUNDUP(X27,1))*40),"")</f>
        <v>68.000000000000043</v>
      </c>
      <c r="Y28" s="93">
        <f>IF(SUM(V28,W28,X28)&gt;0,SUM(V28,W28,X28),"")</f>
        <v>347.00299874987491</v>
      </c>
      <c r="Z28" s="94">
        <f>IF(AE27&gt;34,(IF(OR(S28="",V28="",W28="",X28=""),"",SUM(S28,V28,W28,X28))*AI27),IF(OR(S28="",V28="",W28="",X28=""),"", SUM(S28,V28,W28,X28)))</f>
        <v>481.67935571475419</v>
      </c>
      <c r="AA28" s="94"/>
      <c r="AB28" s="95"/>
      <c r="AC28" s="65"/>
      <c r="AD28" s="1"/>
      <c r="AE28" s="66"/>
      <c r="AF28" s="34"/>
      <c r="AH28" s="36"/>
      <c r="AI28" s="36"/>
      <c r="AJ28" s="85"/>
    </row>
    <row r="29" spans="2:36" s="8" customFormat="1" ht="20.100000000000001" customHeight="1" x14ac:dyDescent="0.2">
      <c r="B29" s="109"/>
      <c r="C29" s="121"/>
      <c r="D29" s="86"/>
      <c r="E29" s="87"/>
      <c r="F29" s="122"/>
      <c r="G29" s="89"/>
      <c r="H29" s="90"/>
      <c r="I29" s="173"/>
      <c r="J29" s="174"/>
      <c r="K29" s="116"/>
      <c r="L29" s="117"/>
      <c r="M29" s="117"/>
      <c r="N29" s="117"/>
      <c r="O29" s="118"/>
      <c r="P29" s="118"/>
      <c r="Q29" s="101" t="str">
        <f>IF(MAX(K29:M29)&gt;0,IF(MAX(K29:M29)&lt;0,0,TRUNC(MAX(K29:M29)/1)*1),"")</f>
        <v/>
      </c>
      <c r="R29" s="102" t="str">
        <f>IF(MAX(N29:P29)&gt;0,IF(MAX(N29:P29)&lt;0,0,TRUNC(MAX(N29:P29)/1)*1),"")</f>
        <v/>
      </c>
      <c r="S29" s="111" t="str">
        <f>IF(Q29="","",IF(R29="","",IF(SUM(Q29:R29)=0,"",SUM(Q29:R29))))</f>
        <v/>
      </c>
      <c r="T29" s="103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04" t="str">
        <f>IF(AF29=1,T29*AI29,"")</f>
        <v/>
      </c>
      <c r="V29" s="105"/>
      <c r="W29" s="105"/>
      <c r="X29" s="105"/>
      <c r="Y29" s="106"/>
      <c r="Z29" s="107"/>
      <c r="AA29" s="107"/>
      <c r="AB29" s="108"/>
      <c r="AC29" s="65">
        <f>U5</f>
        <v>45829</v>
      </c>
      <c r="AD29" s="68" t="b">
        <f>IF(ISNUMBER(FIND("M",E29)),"m",IF(ISNUMBER(FIND("K",E29)),"k"))</f>
        <v>0</v>
      </c>
      <c r="AE29" s="81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5" t="str">
        <f>IF(D29="","",IF(D29&gt;193.609,1,IF(D29&lt;32,10^(0.722762521*LOG10(32/193.609)^2),10^(0.722762521*LOG10(D29/193.609)^2))))</f>
        <v/>
      </c>
    </row>
    <row r="30" spans="2:36" s="8" customFormat="1" ht="20.100000000000001" customHeight="1" x14ac:dyDescent="0.2">
      <c r="B30" s="187"/>
      <c r="C30" s="190"/>
      <c r="D30" s="181"/>
      <c r="E30" s="182"/>
      <c r="F30" s="182"/>
      <c r="G30" s="191"/>
      <c r="H30" s="183"/>
      <c r="I30" s="185"/>
      <c r="J30" s="185"/>
      <c r="K30" s="273"/>
      <c r="L30" s="273"/>
      <c r="M30" s="273"/>
      <c r="N30" s="273"/>
      <c r="O30" s="273"/>
      <c r="P30" s="273"/>
      <c r="Q30" s="186"/>
      <c r="R30" s="181"/>
      <c r="S30" s="223" t="str">
        <f>IF(T29="","",T29*1.2)</f>
        <v/>
      </c>
      <c r="T30" s="223"/>
      <c r="U30" s="91"/>
      <c r="V30" s="91" t="str">
        <f>IF(V29&gt;0,V29*20,"")</f>
        <v/>
      </c>
      <c r="W30" s="91" t="str">
        <f>IF(W29="","",(W29*10)*AJ29)</f>
        <v/>
      </c>
      <c r="X30" s="92" t="str">
        <f>IF(ROUNDUP(X29,1)&gt;0,IF((80+(8-ROUNDUP(X29,1))*40)&lt;0,0,80+(8-ROUNDUP(X29,1))*40),"")</f>
        <v/>
      </c>
      <c r="Y30" s="93" t="str">
        <f>IF(SUM(V30,W30,X30)&gt;0,SUM(V30,W30,X30),"")</f>
        <v/>
      </c>
      <c r="Z30" s="94" t="str">
        <f>IF(AE29&gt;34,(IF(OR(S30="",V30="",W30="",X30=""),"",SUM(S30,V30,W30,X30))*AI29),IF(OR(S30="",V30="",W30="",X30=""),"", SUM(S30,V30,W30,X30)))</f>
        <v/>
      </c>
      <c r="AA30" s="94"/>
      <c r="AB30" s="95"/>
      <c r="AC30" s="65"/>
      <c r="AD30" s="1"/>
      <c r="AE30" s="66"/>
      <c r="AF30" s="34"/>
      <c r="AH30" s="36"/>
      <c r="AI30" s="36"/>
      <c r="AJ30" s="85"/>
    </row>
    <row r="31" spans="2:36" s="8" customFormat="1" ht="20.100000000000001" customHeight="1" x14ac:dyDescent="0.2">
      <c r="B31" s="109"/>
      <c r="C31" s="112"/>
      <c r="D31" s="97"/>
      <c r="E31" s="113"/>
      <c r="F31" s="114"/>
      <c r="G31" s="115"/>
      <c r="H31" s="96"/>
      <c r="I31" s="98" t="s">
        <v>13</v>
      </c>
      <c r="J31" s="98"/>
      <c r="K31" s="116"/>
      <c r="L31" s="117"/>
      <c r="M31" s="117"/>
      <c r="N31" s="117"/>
      <c r="O31" s="118"/>
      <c r="P31" s="118"/>
      <c r="Q31" s="101" t="str">
        <f>IF(MAX(K31:M31)&gt;0,IF(MAX(K31:M31)&lt;0,0,TRUNC(MAX(K31:M31)/1)*1),"")</f>
        <v/>
      </c>
      <c r="R31" s="102" t="str">
        <f>IF(MAX(N31:P31)&gt;0,IF(MAX(N31:P31)&lt;0,0,TRUNC(MAX(N31:P31)/1)*1),"")</f>
        <v/>
      </c>
      <c r="S31" s="111" t="str">
        <f>IF(Q31="","",IF(R31="","",IF(SUM(Q31:R31)=0,"",SUM(Q31:R31))))</f>
        <v/>
      </c>
      <c r="T31" s="103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04" t="str">
        <f>IF(AF31=1,T31*AI31,"")</f>
        <v/>
      </c>
      <c r="V31" s="119"/>
      <c r="W31" s="119"/>
      <c r="X31" s="120"/>
      <c r="Y31" s="106"/>
      <c r="Z31" s="107"/>
      <c r="AA31" s="107"/>
      <c r="AB31" s="108"/>
      <c r="AC31" s="65">
        <f>U5</f>
        <v>45829</v>
      </c>
      <c r="AD31" s="68" t="b">
        <f>IF(ISNUMBER(FIND("M",E31)),"m",IF(ISNUMBER(FIND("K",E31)),"k"))</f>
        <v>0</v>
      </c>
      <c r="AE31" s="81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5" t="str">
        <f>IF(D31="","",IF(D31&gt;193.609,1,IF(D31&lt;32,10^(0.722762521*LOG10(32/193.609)^2),10^(0.722762521*LOG10(D31/193.609)^2))))</f>
        <v/>
      </c>
    </row>
    <row r="32" spans="2:36" s="8" customFormat="1" ht="20.100000000000001" customHeight="1" x14ac:dyDescent="0.2">
      <c r="B32" s="187"/>
      <c r="C32" s="190"/>
      <c r="D32" s="181"/>
      <c r="E32" s="182"/>
      <c r="F32" s="182"/>
      <c r="G32" s="191"/>
      <c r="H32" s="183"/>
      <c r="I32" s="185"/>
      <c r="J32" s="185"/>
      <c r="K32" s="273"/>
      <c r="L32" s="273"/>
      <c r="M32" s="273"/>
      <c r="N32" s="273"/>
      <c r="O32" s="273"/>
      <c r="P32" s="273"/>
      <c r="Q32" s="186"/>
      <c r="R32" s="181"/>
      <c r="S32" s="223" t="str">
        <f>IF(T31="","",T31*1.2)</f>
        <v/>
      </c>
      <c r="T32" s="223"/>
      <c r="U32" s="91"/>
      <c r="V32" s="91" t="str">
        <f>IF(V31&gt;0,V31*20,"")</f>
        <v/>
      </c>
      <c r="W32" s="91" t="str">
        <f>IF(W31="","",(W31*10)*AJ31)</f>
        <v/>
      </c>
      <c r="X32" s="92" t="str">
        <f>IF(ROUNDUP(X31,1)&gt;0,IF((80+(8-ROUNDUP(X31,1))*40)&lt;0,0,80+(8-ROUNDUP(X31,1))*40),"")</f>
        <v/>
      </c>
      <c r="Y32" s="93" t="str">
        <f>IF(SUM(V32,W32,X32)&gt;0,SUM(V32,W32,X32),"")</f>
        <v/>
      </c>
      <c r="Z32" s="94" t="str">
        <f>IF(AE31&gt;34,(IF(OR(S32="",V32="",W32="",X32=""),"",SUM(S32,V32,W32,X32))*AI31),IF(OR(S32="",V32="",W32="",X32=""),"", SUM(S32,V32,W32,X32)))</f>
        <v/>
      </c>
      <c r="AA32" s="94"/>
      <c r="AB32" s="95"/>
      <c r="AC32" s="65"/>
      <c r="AD32" s="1"/>
      <c r="AE32" s="66"/>
      <c r="AF32" s="34"/>
      <c r="AH32" s="36"/>
      <c r="AI32" s="36"/>
      <c r="AJ32" s="85"/>
    </row>
    <row r="33" spans="2:35" s="6" customFormat="1" ht="18.95" customHeight="1" x14ac:dyDescent="0.2">
      <c r="D33" s="75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2">
      <c r="D34" s="75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.1" customHeight="1" x14ac:dyDescent="0.25">
      <c r="B35" s="248" t="s">
        <v>34</v>
      </c>
      <c r="C35" s="250"/>
      <c r="D35" s="76" t="s">
        <v>33</v>
      </c>
      <c r="E35" s="248" t="s">
        <v>4</v>
      </c>
      <c r="F35" s="249"/>
      <c r="G35" s="249"/>
      <c r="H35" s="250"/>
      <c r="I35" s="49" t="s">
        <v>42</v>
      </c>
      <c r="J35" s="21"/>
      <c r="K35" s="248" t="s">
        <v>34</v>
      </c>
      <c r="L35" s="249"/>
      <c r="M35" s="250"/>
      <c r="N35" s="53" t="s">
        <v>33</v>
      </c>
      <c r="O35" s="266" t="s">
        <v>4</v>
      </c>
      <c r="P35" s="267"/>
      <c r="Q35" s="267"/>
      <c r="R35" s="268"/>
      <c r="S35" s="266" t="s">
        <v>42</v>
      </c>
      <c r="T35" s="268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.100000000000001" customHeight="1" x14ac:dyDescent="0.25">
      <c r="B36" s="251" t="s">
        <v>40</v>
      </c>
      <c r="C36" s="253"/>
      <c r="D36" s="77">
        <v>1958002</v>
      </c>
      <c r="E36" s="264" t="s">
        <v>188</v>
      </c>
      <c r="F36" s="252"/>
      <c r="G36" s="252"/>
      <c r="H36" s="253"/>
      <c r="I36" s="47" t="s">
        <v>81</v>
      </c>
      <c r="J36" s="4"/>
      <c r="K36" s="251" t="s">
        <v>35</v>
      </c>
      <c r="L36" s="252"/>
      <c r="M36" s="253"/>
      <c r="N36" s="50"/>
      <c r="O36" s="221"/>
      <c r="P36" s="269"/>
      <c r="Q36" s="269"/>
      <c r="R36" s="270"/>
      <c r="S36" s="221"/>
      <c r="T36" s="222"/>
      <c r="AF36" s="1"/>
      <c r="AH36" s="35"/>
      <c r="AI36" s="35"/>
    </row>
    <row r="37" spans="2:35" s="5" customFormat="1" ht="21" customHeight="1" x14ac:dyDescent="0.25">
      <c r="B37" s="245" t="s">
        <v>36</v>
      </c>
      <c r="C37" s="247"/>
      <c r="D37" s="78">
        <v>1973011</v>
      </c>
      <c r="E37" s="265" t="s">
        <v>187</v>
      </c>
      <c r="F37" s="246"/>
      <c r="G37" s="246"/>
      <c r="H37" s="247"/>
      <c r="I37" s="47" t="s">
        <v>87</v>
      </c>
      <c r="J37" s="4"/>
      <c r="K37" s="245" t="s">
        <v>38</v>
      </c>
      <c r="L37" s="246"/>
      <c r="M37" s="247"/>
      <c r="N37" s="51"/>
      <c r="O37" s="230"/>
      <c r="P37" s="231"/>
      <c r="Q37" s="231"/>
      <c r="R37" s="232"/>
      <c r="S37" s="230"/>
      <c r="T37" s="233"/>
      <c r="AH37" s="35"/>
      <c r="AI37" s="35"/>
    </row>
    <row r="38" spans="2:35" s="5" customFormat="1" ht="18.95" customHeight="1" x14ac:dyDescent="0.25">
      <c r="B38" s="245" t="s">
        <v>36</v>
      </c>
      <c r="C38" s="247"/>
      <c r="D38" s="78">
        <v>1972005</v>
      </c>
      <c r="E38" s="265" t="s">
        <v>189</v>
      </c>
      <c r="F38" s="246"/>
      <c r="G38" s="246"/>
      <c r="H38" s="247"/>
      <c r="I38" s="47" t="s">
        <v>87</v>
      </c>
      <c r="J38" s="4"/>
      <c r="K38" s="245" t="s">
        <v>37</v>
      </c>
      <c r="L38" s="246"/>
      <c r="M38" s="247"/>
      <c r="N38" s="51"/>
      <c r="O38" s="230"/>
      <c r="P38" s="231"/>
      <c r="Q38" s="231"/>
      <c r="R38" s="232"/>
      <c r="S38" s="230"/>
      <c r="T38" s="233"/>
      <c r="V38" s="5" t="s">
        <v>54</v>
      </c>
      <c r="AH38" s="35"/>
      <c r="AI38" s="35"/>
    </row>
    <row r="39" spans="2:35" s="5" customFormat="1" ht="21" customHeight="1" x14ac:dyDescent="0.25">
      <c r="B39" s="245" t="s">
        <v>39</v>
      </c>
      <c r="C39" s="247"/>
      <c r="D39" s="78">
        <v>2003011</v>
      </c>
      <c r="E39" s="265" t="s">
        <v>190</v>
      </c>
      <c r="F39" s="246"/>
      <c r="G39" s="246"/>
      <c r="H39" s="247"/>
      <c r="I39" s="47" t="s">
        <v>81</v>
      </c>
      <c r="J39" s="4"/>
      <c r="K39" s="245" t="s">
        <v>56</v>
      </c>
      <c r="L39" s="246"/>
      <c r="M39" s="247"/>
      <c r="N39" s="51"/>
      <c r="O39" s="230"/>
      <c r="P39" s="231"/>
      <c r="Q39" s="231"/>
      <c r="R39" s="232"/>
      <c r="S39" s="230"/>
      <c r="T39" s="233"/>
      <c r="AD39" s="5" t="s">
        <v>13</v>
      </c>
      <c r="AH39" s="35"/>
      <c r="AI39" s="35"/>
    </row>
    <row r="40" spans="2:35" s="5" customFormat="1" ht="20.100000000000001" customHeight="1" x14ac:dyDescent="0.25">
      <c r="B40" s="245" t="s">
        <v>35</v>
      </c>
      <c r="C40" s="247"/>
      <c r="D40" s="78">
        <v>1961004</v>
      </c>
      <c r="E40" s="265" t="s">
        <v>185</v>
      </c>
      <c r="F40" s="246"/>
      <c r="G40" s="246"/>
      <c r="H40" s="247"/>
      <c r="I40" s="47" t="s">
        <v>81</v>
      </c>
      <c r="J40" s="4"/>
      <c r="K40" s="245"/>
      <c r="L40" s="246"/>
      <c r="M40" s="247"/>
      <c r="N40" s="51"/>
      <c r="O40" s="230"/>
      <c r="P40" s="231"/>
      <c r="Q40" s="231"/>
      <c r="R40" s="232"/>
      <c r="S40" s="230"/>
      <c r="T40" s="233"/>
      <c r="AH40" s="35"/>
      <c r="AI40" s="35"/>
    </row>
    <row r="41" spans="2:35" ht="18.95" customHeight="1" x14ac:dyDescent="0.2">
      <c r="B41" s="245" t="s">
        <v>38</v>
      </c>
      <c r="C41" s="247"/>
      <c r="D41" s="78">
        <v>1954001</v>
      </c>
      <c r="E41" s="265" t="s">
        <v>191</v>
      </c>
      <c r="F41" s="246"/>
      <c r="G41" s="246"/>
      <c r="H41" s="247"/>
      <c r="I41" s="47" t="s">
        <v>81</v>
      </c>
      <c r="J41" s="3"/>
      <c r="K41" s="245"/>
      <c r="L41" s="246"/>
      <c r="M41" s="247"/>
      <c r="N41" s="51"/>
      <c r="O41" s="230"/>
      <c r="P41" s="231"/>
      <c r="Q41" s="231"/>
      <c r="R41" s="232"/>
      <c r="S41" s="230"/>
      <c r="T41" s="233"/>
      <c r="U41" s="3"/>
      <c r="V41" s="3"/>
      <c r="W41" s="3"/>
      <c r="X41" s="3"/>
      <c r="Y41" s="3"/>
      <c r="Z41" s="3"/>
      <c r="AA41" s="3"/>
      <c r="AB41" s="3"/>
    </row>
    <row r="42" spans="2:35" ht="20.100000000000001" customHeight="1" x14ac:dyDescent="0.2">
      <c r="B42" s="228" t="s">
        <v>36</v>
      </c>
      <c r="C42" s="227"/>
      <c r="D42" s="79">
        <v>2009005</v>
      </c>
      <c r="E42" s="225" t="s">
        <v>184</v>
      </c>
      <c r="F42" s="226"/>
      <c r="G42" s="226"/>
      <c r="H42" s="227"/>
      <c r="I42" s="48" t="s">
        <v>86</v>
      </c>
      <c r="J42" s="3"/>
      <c r="K42" s="245"/>
      <c r="L42" s="246"/>
      <c r="M42" s="247"/>
      <c r="N42" s="51"/>
      <c r="O42" s="230"/>
      <c r="P42" s="231"/>
      <c r="Q42" s="231"/>
      <c r="R42" s="232"/>
      <c r="S42" s="230"/>
      <c r="T42" s="233"/>
      <c r="U42" s="3"/>
      <c r="V42" s="3"/>
      <c r="W42" s="3"/>
      <c r="X42" s="3"/>
      <c r="Y42" s="3"/>
      <c r="Z42" s="3"/>
      <c r="AA42" s="3"/>
      <c r="AB42" s="3"/>
    </row>
    <row r="43" spans="2:35" ht="20.100000000000001" customHeight="1" x14ac:dyDescent="0.2">
      <c r="B43" s="228"/>
      <c r="C43" s="227"/>
      <c r="D43" s="79"/>
      <c r="E43" s="225"/>
      <c r="F43" s="226"/>
      <c r="G43" s="226"/>
      <c r="H43" s="227"/>
      <c r="I43" s="48"/>
      <c r="J43" s="3"/>
      <c r="K43" s="228"/>
      <c r="L43" s="226"/>
      <c r="M43" s="227"/>
      <c r="N43" s="52"/>
      <c r="O43" s="241"/>
      <c r="P43" s="242"/>
      <c r="Q43" s="242"/>
      <c r="R43" s="243"/>
      <c r="S43" s="241"/>
      <c r="T43" s="244"/>
      <c r="U43" s="3"/>
      <c r="V43" s="3"/>
      <c r="W43" s="3"/>
      <c r="X43" s="3"/>
      <c r="Y43" s="3"/>
      <c r="Z43" s="3"/>
      <c r="AA43" s="3"/>
      <c r="AB43" s="3"/>
    </row>
    <row r="44" spans="2:35" ht="18.95" customHeight="1" x14ac:dyDescent="0.2">
      <c r="B44" s="235"/>
      <c r="C44" s="235"/>
      <c r="D44" s="234"/>
      <c r="E44" s="234"/>
      <c r="F44" s="55"/>
      <c r="G44" s="234"/>
      <c r="H44" s="234"/>
      <c r="I44" s="234"/>
      <c r="J44" s="3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2">
      <c r="B45" s="238" t="s">
        <v>41</v>
      </c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40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2">
      <c r="B46" s="228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9"/>
      <c r="U46" s="3"/>
      <c r="V46" s="3"/>
      <c r="W46" s="3"/>
      <c r="X46" s="3"/>
      <c r="Y46" s="3"/>
      <c r="Z46" s="3"/>
      <c r="AA46" s="3"/>
      <c r="AB46" s="3"/>
    </row>
    <row r="47" spans="2:35" ht="15" x14ac:dyDescent="0.25">
      <c r="B47" s="1"/>
      <c r="D47" s="73"/>
      <c r="E47" s="46"/>
      <c r="F47" s="46"/>
      <c r="G47" s="73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5" x14ac:dyDescent="0.25">
      <c r="B48" s="20"/>
      <c r="C48" s="20"/>
      <c r="D48" s="80"/>
      <c r="E48" s="13"/>
      <c r="F48" s="13"/>
      <c r="G48" s="74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2">
      <c r="E50" s="224"/>
      <c r="F50" s="224"/>
      <c r="G50" s="224"/>
    </row>
  </sheetData>
  <mergeCells count="102"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</mergeCells>
  <conditionalFormatting sqref="K27">
    <cfRule type="cellIs" dxfId="59" priority="23" stopIfTrue="1" operator="between">
      <formula>1</formula>
      <formula>300</formula>
    </cfRule>
    <cfRule type="cellIs" dxfId="58" priority="24" stopIfTrue="1" operator="lessThanOrEqual">
      <formula>0</formula>
    </cfRule>
  </conditionalFormatting>
  <conditionalFormatting sqref="K29">
    <cfRule type="cellIs" dxfId="57" priority="21" stopIfTrue="1" operator="between">
      <formula>1</formula>
      <formula>300</formula>
    </cfRule>
    <cfRule type="cellIs" dxfId="56" priority="22" stopIfTrue="1" operator="lessThanOrEqual">
      <formula>0</formula>
    </cfRule>
  </conditionalFormatting>
  <conditionalFormatting sqref="K31">
    <cfRule type="cellIs" dxfId="55" priority="19" stopIfTrue="1" operator="between">
      <formula>1</formula>
      <formula>300</formula>
    </cfRule>
    <cfRule type="cellIs" dxfId="54" priority="20" stopIfTrue="1" operator="lessThanOrEqual">
      <formula>0</formula>
    </cfRule>
  </conditionalFormatting>
  <conditionalFormatting sqref="K9:P9">
    <cfRule type="cellIs" dxfId="53" priority="13" stopIfTrue="1" operator="between">
      <formula>1</formula>
      <formula>300</formula>
    </cfRule>
    <cfRule type="cellIs" dxfId="52" priority="14" stopIfTrue="1" operator="lessThanOrEqual">
      <formula>0</formula>
    </cfRule>
  </conditionalFormatting>
  <conditionalFormatting sqref="K11:P11">
    <cfRule type="cellIs" dxfId="51" priority="11" stopIfTrue="1" operator="between">
      <formula>1</formula>
      <formula>300</formula>
    </cfRule>
    <cfRule type="cellIs" dxfId="50" priority="12" stopIfTrue="1" operator="lessThanOrEqual">
      <formula>0</formula>
    </cfRule>
  </conditionalFormatting>
  <conditionalFormatting sqref="K13:P13">
    <cfRule type="cellIs" dxfId="49" priority="7" stopIfTrue="1" operator="between">
      <formula>1</formula>
      <formula>300</formula>
    </cfRule>
    <cfRule type="cellIs" dxfId="48" priority="8" stopIfTrue="1" operator="lessThanOrEqual">
      <formula>0</formula>
    </cfRule>
  </conditionalFormatting>
  <conditionalFormatting sqref="K15:P15">
    <cfRule type="cellIs" dxfId="47" priority="9" stopIfTrue="1" operator="between">
      <formula>1</formula>
      <formula>300</formula>
    </cfRule>
    <cfRule type="cellIs" dxfId="46" priority="10" stopIfTrue="1" operator="lessThanOrEqual">
      <formula>0</formula>
    </cfRule>
  </conditionalFormatting>
  <conditionalFormatting sqref="K17:P17">
    <cfRule type="cellIs" dxfId="45" priority="15" stopIfTrue="1" operator="between">
      <formula>1</formula>
      <formula>300</formula>
    </cfRule>
    <cfRule type="cellIs" dxfId="44" priority="16" stopIfTrue="1" operator="lessThanOrEqual">
      <formula>0</formula>
    </cfRule>
  </conditionalFormatting>
  <conditionalFormatting sqref="K19:P19">
    <cfRule type="cellIs" dxfId="43" priority="1" stopIfTrue="1" operator="between">
      <formula>1</formula>
      <formula>300</formula>
    </cfRule>
    <cfRule type="cellIs" dxfId="42" priority="2" stopIfTrue="1" operator="lessThanOrEqual">
      <formula>0</formula>
    </cfRule>
  </conditionalFormatting>
  <conditionalFormatting sqref="K21:P21">
    <cfRule type="cellIs" dxfId="41" priority="3" stopIfTrue="1" operator="between">
      <formula>1</formula>
      <formula>300</formula>
    </cfRule>
    <cfRule type="cellIs" dxfId="40" priority="4" stopIfTrue="1" operator="lessThanOrEqual">
      <formula>0</formula>
    </cfRule>
  </conditionalFormatting>
  <conditionalFormatting sqref="K23:P23">
    <cfRule type="cellIs" dxfId="39" priority="5" stopIfTrue="1" operator="between">
      <formula>1</formula>
      <formula>300</formula>
    </cfRule>
    <cfRule type="cellIs" dxfId="38" priority="6" stopIfTrue="1" operator="lessThanOrEqual">
      <formula>0</formula>
    </cfRule>
  </conditionalFormatting>
  <conditionalFormatting sqref="K25:P25">
    <cfRule type="cellIs" dxfId="37" priority="17" stopIfTrue="1" operator="between">
      <formula>1</formula>
      <formula>300</formula>
    </cfRule>
    <cfRule type="cellIs" dxfId="36" priority="18" stopIfTrue="1" operator="lessThanOrEqual">
      <formula>0</formula>
    </cfRule>
  </conditionalFormatting>
  <conditionalFormatting sqref="L27:N27">
    <cfRule type="cellIs" dxfId="35" priority="29" stopIfTrue="1" operator="between">
      <formula>1</formula>
      <formula>300</formula>
    </cfRule>
    <cfRule type="cellIs" dxfId="34" priority="30" stopIfTrue="1" operator="lessThanOrEqual">
      <formula>0</formula>
    </cfRule>
  </conditionalFormatting>
  <conditionalFormatting sqref="L29:N29">
    <cfRule type="cellIs" dxfId="33" priority="27" stopIfTrue="1" operator="between">
      <formula>1</formula>
      <formula>300</formula>
    </cfRule>
    <cfRule type="cellIs" dxfId="32" priority="28" stopIfTrue="1" operator="lessThanOrEqual">
      <formula>0</formula>
    </cfRule>
  </conditionalFormatting>
  <conditionalFormatting sqref="L31:N31">
    <cfRule type="cellIs" dxfId="31" priority="25" stopIfTrue="1" operator="between">
      <formula>1</formula>
      <formula>300</formula>
    </cfRule>
    <cfRule type="cellIs" dxfId="30" priority="26" stopIfTrue="1" operator="lessThanOrEqual">
      <formula>0</formula>
    </cfRule>
  </conditionalFormatting>
  <dataValidations disablePrompts="1" count="6">
    <dataValidation type="list" allowBlank="1" showInputMessage="1" showErrorMessage="1" sqref="F9 F11 F13 F15 F17 F19 F21 F23 F25 F27 F29 F31" xr:uid="{FC77AFFA-F080-B44B-9F5B-D94E911A8ABC}">
      <formula1>"11-12,13-14,15-16,17-18,19-23,24-34,+35"</formula1>
    </dataValidation>
    <dataValidation type="list" allowBlank="1" showInputMessage="1" showErrorMessage="1" prompt="Feil_i_kat. 5-kamp - Feil verdi i kategori 5-kamp" sqref="G12" xr:uid="{C7E12B2F-757C-0141-94F8-4D0D1A36A21A}">
      <formula1>"11-12,13-14,15-16,17-18,19-23,24-34,+35,35+"</formula1>
    </dataValidation>
    <dataValidation type="list" allowBlank="1" showInputMessage="1" showErrorMessage="1" sqref="E9 F12 E13 E15 E17 E19 E21 E23 E25 E27 E29 E31 E11" xr:uid="{198EFB6E-24CC-4446-8792-61B06710178D}">
      <formula1>"UM,JM,SM,UK,JK,SK,M35,M40,M45,M50,M55,M60,M65,M70,M75,M80,M85,M90,K35,K40,K45,K50,K55,K60,K65,K70,K75,K80,K85,K90"</formula1>
    </dataValidation>
    <dataValidation type="list" allowBlank="1" showInputMessage="1" showErrorMessage="1" sqref="C9 C11 C13 C15 C17 C19 C21 C23 C25 C27 C29 C31" xr:uid="{5B2C7448-9AB5-614A-999F-A6E0968F371D}">
      <formula1>"44,48,53,56,58,60,63,65,69,71,77,'+77,79,86,'+86,88,94,'+94,110,'+110"</formula1>
    </dataValidation>
    <dataValidation type="list" allowBlank="1" showInputMessage="1" showErrorMessage="1" sqref="D5:I5" xr:uid="{F8DBE25A-B11C-0841-B155-3D9074542245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K36:M43 B36:C43" xr:uid="{7BCCF461-ADF9-C748-8DE1-33DB89814AE7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B79F6-4566-4D05-B547-176343B932A7}">
  <sheetPr>
    <pageSetUpPr autoPageBreaks="0" fitToPage="1"/>
  </sheetPr>
  <dimension ref="A1:AJ50"/>
  <sheetViews>
    <sheetView showGridLines="0" showZeros="0" tabSelected="1" showOutlineSymbols="0" zoomScaleNormal="100" zoomScaleSheetLayoutView="75" zoomScalePageLayoutView="120" workbookViewId="0"/>
  </sheetViews>
  <sheetFormatPr defaultColWidth="9.140625" defaultRowHeight="12.75" x14ac:dyDescent="0.2"/>
  <cols>
    <col min="1" max="1" width="4.42578125" style="3" customWidth="1"/>
    <col min="2" max="2" width="10.140625" style="3" bestFit="1" customWidth="1"/>
    <col min="3" max="3" width="6.42578125" style="1" customWidth="1"/>
    <col min="4" max="4" width="8.5703125" style="1" customWidth="1"/>
    <col min="5" max="6" width="6.42578125" style="16" customWidth="1"/>
    <col min="7" max="7" width="10.5703125" style="1" customWidth="1"/>
    <col min="8" max="8" width="3.85546875" style="1" customWidth="1"/>
    <col min="9" max="9" width="27.85546875" style="4" customWidth="1"/>
    <col min="10" max="10" width="21" style="4" customWidth="1"/>
    <col min="11" max="11" width="6.85546875" style="1" customWidth="1"/>
    <col min="12" max="12" width="6.85546875" style="18" customWidth="1"/>
    <col min="13" max="13" width="6.85546875" style="1" customWidth="1"/>
    <col min="14" max="14" width="8.85546875" style="1" customWidth="1"/>
    <col min="15" max="19" width="6.85546875" style="1" customWidth="1"/>
    <col min="20" max="23" width="8" style="17" customWidth="1"/>
    <col min="24" max="24" width="9" style="17" customWidth="1"/>
    <col min="25" max="26" width="8" style="17" customWidth="1"/>
    <col min="27" max="27" width="4.42578125" style="17" customWidth="1"/>
    <col min="28" max="28" width="5.5703125" style="17" customWidth="1"/>
    <col min="29" max="29" width="9.5703125" style="3" hidden="1" customWidth="1"/>
    <col min="30" max="31" width="9.140625" style="3" hidden="1" customWidth="1"/>
    <col min="32" max="32" width="7.85546875" style="3" hidden="1" customWidth="1"/>
    <col min="33" max="33" width="9.140625" style="3" hidden="1" customWidth="1"/>
    <col min="34" max="35" width="9.140625" style="2" hidden="1" customWidth="1"/>
    <col min="36" max="36" width="9.140625" style="3" hidden="1" customWidth="1"/>
    <col min="37" max="37" width="9.140625" style="3" customWidth="1"/>
    <col min="38" max="16384" width="9.140625" style="3"/>
  </cols>
  <sheetData>
    <row r="1" spans="1:36" customFormat="1" ht="18.95" customHeight="1" x14ac:dyDescent="0.2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0.8">
      <c r="A2" s="15"/>
      <c r="B2" s="15"/>
      <c r="C2" s="15"/>
      <c r="D2" s="15"/>
      <c r="E2" s="15"/>
      <c r="F2" s="15"/>
      <c r="G2" s="236" t="s">
        <v>58</v>
      </c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15"/>
      <c r="T2" s="15"/>
      <c r="U2" s="82" t="s">
        <v>59</v>
      </c>
      <c r="V2" s="15"/>
      <c r="W2" s="15"/>
      <c r="X2" s="15"/>
      <c r="Y2" s="15"/>
    </row>
    <row r="3" spans="1:36" customFormat="1" ht="27" x14ac:dyDescent="0.5">
      <c r="A3" s="15"/>
      <c r="B3" s="15"/>
      <c r="C3" s="15"/>
      <c r="D3" s="15"/>
      <c r="E3" s="83"/>
      <c r="F3" s="15"/>
      <c r="G3" s="237" t="s">
        <v>21</v>
      </c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84" t="s">
        <v>60</v>
      </c>
      <c r="T3" s="84"/>
      <c r="U3" s="84"/>
      <c r="V3" s="84"/>
      <c r="W3" s="84"/>
      <c r="X3" s="84"/>
      <c r="Y3" s="84"/>
      <c r="Z3" s="84"/>
    </row>
    <row r="4" spans="1:36" customFormat="1" x14ac:dyDescent="0.2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75" x14ac:dyDescent="0.25">
      <c r="C5" s="24" t="s">
        <v>16</v>
      </c>
      <c r="D5" s="257" t="s">
        <v>199</v>
      </c>
      <c r="E5" s="257"/>
      <c r="F5" s="257"/>
      <c r="G5" s="257"/>
      <c r="H5" s="257"/>
      <c r="I5" s="257"/>
      <c r="J5" s="24" t="s">
        <v>0</v>
      </c>
      <c r="K5" s="257" t="str">
        <f>Arrangør</f>
        <v>Voll IL</v>
      </c>
      <c r="L5" s="257"/>
      <c r="M5" s="257"/>
      <c r="N5" s="257"/>
      <c r="O5" s="24" t="s">
        <v>1</v>
      </c>
      <c r="P5" s="256" t="str">
        <f>Sted</f>
        <v>Vollhallen</v>
      </c>
      <c r="Q5" s="256"/>
      <c r="R5" s="256"/>
      <c r="S5" s="256"/>
      <c r="T5" s="24" t="s">
        <v>2</v>
      </c>
      <c r="U5" s="271">
        <f>StevneDato</f>
        <v>45829</v>
      </c>
      <c r="V5" s="271"/>
      <c r="W5" s="54"/>
      <c r="X5" s="54"/>
      <c r="Y5" s="54"/>
      <c r="Z5" s="25" t="s">
        <v>15</v>
      </c>
      <c r="AA5" s="25"/>
      <c r="AB5" s="26">
        <v>3</v>
      </c>
      <c r="AH5" s="35"/>
      <c r="AI5" s="35"/>
    </row>
    <row r="6" spans="1:36" x14ac:dyDescent="0.2">
      <c r="AG6" s="38" t="s">
        <v>27</v>
      </c>
      <c r="AH6" s="38" t="s">
        <v>27</v>
      </c>
      <c r="AI6" s="38" t="s">
        <v>27</v>
      </c>
      <c r="AJ6" s="217" t="s">
        <v>57</v>
      </c>
    </row>
    <row r="7" spans="1:36" s="1" customFormat="1" x14ac:dyDescent="0.2">
      <c r="B7" s="254" t="s">
        <v>33</v>
      </c>
      <c r="C7" s="258" t="s">
        <v>52</v>
      </c>
      <c r="D7" s="258" t="s">
        <v>51</v>
      </c>
      <c r="E7" s="260" t="s">
        <v>53</v>
      </c>
      <c r="F7" s="262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69" t="s">
        <v>9</v>
      </c>
      <c r="V7" s="62" t="s">
        <v>44</v>
      </c>
      <c r="W7" s="62" t="s">
        <v>45</v>
      </c>
      <c r="X7" s="62" t="s">
        <v>46</v>
      </c>
      <c r="Y7" s="70" t="s">
        <v>47</v>
      </c>
      <c r="Z7" s="71" t="s">
        <v>43</v>
      </c>
      <c r="AA7" s="72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7"/>
    </row>
    <row r="8" spans="1:36" s="1" customFormat="1" x14ac:dyDescent="0.2">
      <c r="B8" s="255"/>
      <c r="C8" s="259"/>
      <c r="D8" s="259"/>
      <c r="E8" s="261"/>
      <c r="F8" s="263"/>
      <c r="G8" s="56" t="s">
        <v>14</v>
      </c>
      <c r="H8" s="56" t="s">
        <v>20</v>
      </c>
      <c r="I8" s="56"/>
      <c r="J8" s="192"/>
      <c r="K8" s="57">
        <v>1</v>
      </c>
      <c r="L8" s="57">
        <v>2</v>
      </c>
      <c r="M8" s="58">
        <v>3</v>
      </c>
      <c r="N8" s="58">
        <v>1</v>
      </c>
      <c r="O8" s="57">
        <v>2</v>
      </c>
      <c r="P8" s="58">
        <v>3</v>
      </c>
      <c r="Q8" s="59" t="s">
        <v>18</v>
      </c>
      <c r="R8" s="56"/>
      <c r="S8" s="56" t="s">
        <v>11</v>
      </c>
      <c r="T8" s="60"/>
      <c r="U8" s="61" t="s">
        <v>23</v>
      </c>
      <c r="V8" s="62" t="s">
        <v>9</v>
      </c>
      <c r="W8" s="62" t="s">
        <v>9</v>
      </c>
      <c r="X8" s="62" t="s">
        <v>9</v>
      </c>
      <c r="Y8" s="63" t="s">
        <v>48</v>
      </c>
      <c r="Z8" s="64" t="s">
        <v>49</v>
      </c>
      <c r="AA8" s="64"/>
      <c r="AB8" s="60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.100000000000001" customHeight="1" x14ac:dyDescent="0.2">
      <c r="B9" s="109" t="s">
        <v>133</v>
      </c>
      <c r="C9" s="166" t="s">
        <v>171</v>
      </c>
      <c r="D9" s="167">
        <v>59.39</v>
      </c>
      <c r="E9" s="166" t="s">
        <v>113</v>
      </c>
      <c r="F9" s="168" t="s">
        <v>134</v>
      </c>
      <c r="G9" s="169">
        <v>39927</v>
      </c>
      <c r="H9" s="170"/>
      <c r="I9" s="171" t="s">
        <v>135</v>
      </c>
      <c r="J9" s="98" t="s">
        <v>81</v>
      </c>
      <c r="K9" s="124">
        <v>54</v>
      </c>
      <c r="L9" s="125">
        <v>56</v>
      </c>
      <c r="M9" s="125">
        <v>58</v>
      </c>
      <c r="N9" s="124">
        <v>67</v>
      </c>
      <c r="O9" s="125">
        <v>70</v>
      </c>
      <c r="P9" s="125">
        <v>-72</v>
      </c>
      <c r="Q9" s="126">
        <f>IF(MAX(K9:M9)&gt;0,IF(MAX(K9:M9)&lt;0,0,TRUNC(MAX(K9:M9)/1)*1),"")</f>
        <v>58</v>
      </c>
      <c r="R9" s="127">
        <f>IF(MAX(N9:P9)&gt;0,IF(MAX(N9:P9)&lt;0,0,TRUNC(MAX(N9:P9)/1)*1),"")</f>
        <v>70</v>
      </c>
      <c r="S9" s="127">
        <f>IF(Q9="","",IF(R9="","",IF(SUM(Q9:R9)=0,"",SUM(Q9:R9))))</f>
        <v>128</v>
      </c>
      <c r="T9" s="128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174.39239985779915</v>
      </c>
      <c r="U9" s="129" t="str">
        <f>IFERROR(IF(AF9=1,T9*AI9,""),)</f>
        <v/>
      </c>
      <c r="V9" s="130">
        <v>6.83</v>
      </c>
      <c r="W9" s="130">
        <v>9.82</v>
      </c>
      <c r="X9" s="130">
        <v>7</v>
      </c>
      <c r="Y9" s="128"/>
      <c r="Z9" s="131"/>
      <c r="AA9" s="131"/>
      <c r="AB9" s="132"/>
      <c r="AC9" s="67">
        <f>U5</f>
        <v>45829</v>
      </c>
      <c r="AD9" s="68" t="str">
        <f>IF(ISNUMBER(FIND("M",E9)),"m",IF(ISNUMBER(FIND("K",E9)),"k"))</f>
        <v>k</v>
      </c>
      <c r="AE9" s="66">
        <f>IF(OR(G9="",AC9=""),0,(YEAR(AC9)-YEAR(G9)))</f>
        <v>16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5">
        <f>IF(D9="","",IF(D9&gt;193.609,1,IF(D9&lt;32,10^(0.722762521*LOG10(32/193.609)^2),10^(0.722762521*LOG10(D9/193.609)^2))))</f>
        <v>1.5501227585811399</v>
      </c>
    </row>
    <row r="10" spans="1:36" s="8" customFormat="1" ht="20.100000000000001" customHeight="1" x14ac:dyDescent="0.2">
      <c r="B10" s="180"/>
      <c r="C10" s="181"/>
      <c r="D10" s="181"/>
      <c r="E10" s="181"/>
      <c r="F10" s="182"/>
      <c r="G10" s="183"/>
      <c r="H10" s="184"/>
      <c r="I10" s="185"/>
      <c r="J10" s="185"/>
      <c r="K10" s="272"/>
      <c r="L10" s="272"/>
      <c r="M10" s="272"/>
      <c r="N10" s="273"/>
      <c r="O10" s="273"/>
      <c r="P10" s="273"/>
      <c r="Q10" s="186"/>
      <c r="R10" s="181"/>
      <c r="S10" s="223">
        <f>IF(T9="","",T9*1.2)</f>
        <v>209.27087982935896</v>
      </c>
      <c r="T10" s="223"/>
      <c r="U10" s="91"/>
      <c r="V10" s="91">
        <f>IF(V9&gt;0,V9*20,"")</f>
        <v>136.6</v>
      </c>
      <c r="W10" s="91">
        <f>IF(W9="","",(W9*10)*AJ9)</f>
        <v>152.22205489266796</v>
      </c>
      <c r="X10" s="92">
        <f>IF(ROUNDUP(X9,1)&gt;0,IF((80+(8-ROUNDUP(X9,1))*40)&lt;0,0,80+(8-ROUNDUP(X9,1))*40),"")</f>
        <v>120</v>
      </c>
      <c r="Y10" s="93">
        <f>IF(SUM(V10,W10,X10)&gt;0,SUM(V10,W10,X10),"")</f>
        <v>408.82205489266795</v>
      </c>
      <c r="Z10" s="94">
        <f>IFERROR(IF(AE9&gt;34,(IF(OR(S10="",V10="",W10="",X10=""),"",SUM(S10,V10,W10,X10))*AI9),IF(OR(S10="",V10="",W10="",X10=""),"", SUM(S10,V10,W10,X10))),)</f>
        <v>618.09293472202694</v>
      </c>
      <c r="AA10" s="94"/>
      <c r="AB10" s="95"/>
      <c r="AC10" s="65"/>
      <c r="AD10" s="1"/>
      <c r="AE10" s="66"/>
      <c r="AF10" s="40"/>
      <c r="AH10" s="36"/>
      <c r="AI10" s="36"/>
      <c r="AJ10" s="85"/>
    </row>
    <row r="11" spans="1:36" s="8" customFormat="1" ht="20.100000000000001" customHeight="1" x14ac:dyDescent="0.2">
      <c r="B11" s="109" t="s">
        <v>158</v>
      </c>
      <c r="C11" s="96" t="s">
        <v>174</v>
      </c>
      <c r="D11" s="97">
        <v>67.13</v>
      </c>
      <c r="E11" s="96" t="s">
        <v>113</v>
      </c>
      <c r="F11" s="161" t="s">
        <v>136</v>
      </c>
      <c r="G11" s="162">
        <v>39619</v>
      </c>
      <c r="H11" s="163"/>
      <c r="I11" s="164" t="s">
        <v>198</v>
      </c>
      <c r="J11" s="98" t="s">
        <v>81</v>
      </c>
      <c r="K11" s="99">
        <v>-59</v>
      </c>
      <c r="L11" s="100">
        <v>-59</v>
      </c>
      <c r="M11" s="100">
        <v>59</v>
      </c>
      <c r="N11" s="99">
        <v>72</v>
      </c>
      <c r="O11" s="100">
        <v>76</v>
      </c>
      <c r="P11" s="100">
        <v>-78</v>
      </c>
      <c r="Q11" s="101">
        <f>IF(MAX(K11:M11)&gt;0,IF(MAX(K11:M11)&lt;0,0,TRUNC(MAX(K11:M11)/1)*1),"")</f>
        <v>59</v>
      </c>
      <c r="R11" s="102">
        <f>IF(MAX(N11:P11)&gt;0,IF(MAX(N11:P11)&lt;0,0,TRUNC(MAX(N11:P11)/1)*1),"")</f>
        <v>76</v>
      </c>
      <c r="S11" s="102">
        <f>IF(Q11="","",IF(R11="","",IF(SUM(Q11:R11)=0,"",SUM(Q11:R11))))</f>
        <v>135</v>
      </c>
      <c r="T11" s="103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170.71953258760345</v>
      </c>
      <c r="U11" s="129" t="str">
        <f>IFERROR(IF(AF11=1,T11*AI11,""),)</f>
        <v/>
      </c>
      <c r="V11" s="105">
        <v>6.31</v>
      </c>
      <c r="W11" s="105">
        <v>8.14</v>
      </c>
      <c r="X11" s="105">
        <v>7.5</v>
      </c>
      <c r="Y11" s="106"/>
      <c r="Z11" s="107"/>
      <c r="AA11" s="107"/>
      <c r="AB11" s="108"/>
      <c r="AC11" s="65">
        <f>U5</f>
        <v>45829</v>
      </c>
      <c r="AD11" s="68" t="str">
        <f>IF(ISNUMBER(FIND("M",E11)),"m",IF(ISNUMBER(FIND("K",E11)),"k"))</f>
        <v>k</v>
      </c>
      <c r="AE11" s="66">
        <f>IF(OR(G11="",AC11=""),0,(YEAR(AC11)-YEAR(G11)))</f>
        <v>17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5">
        <f>IF(D11="","",IF(D11&gt;193.609,1,IF(D11&lt;32,10^(0.722762521*LOG10(32/193.609)^2),10^(0.722762521*LOG10(D11/193.609)^2))))</f>
        <v>1.4221403670009269</v>
      </c>
    </row>
    <row r="12" spans="1:36" s="8" customFormat="1" ht="20.100000000000001" customHeight="1" x14ac:dyDescent="0.2">
      <c r="B12" s="187"/>
      <c r="C12" s="181"/>
      <c r="D12" s="181"/>
      <c r="E12" s="181"/>
      <c r="F12" s="182"/>
      <c r="G12" s="183"/>
      <c r="H12" s="184"/>
      <c r="I12" s="185"/>
      <c r="J12" s="185"/>
      <c r="K12" s="272"/>
      <c r="L12" s="272"/>
      <c r="M12" s="272"/>
      <c r="N12" s="273"/>
      <c r="O12" s="273"/>
      <c r="P12" s="273"/>
      <c r="Q12" s="186"/>
      <c r="R12" s="181"/>
      <c r="S12" s="223">
        <f>IF(T11="","",T11*1.2)</f>
        <v>204.86343910512414</v>
      </c>
      <c r="T12" s="223"/>
      <c r="U12" s="94"/>
      <c r="V12" s="91">
        <f>IF(V11&gt;0,V11*20,"")</f>
        <v>126.19999999999999</v>
      </c>
      <c r="W12" s="91">
        <f>IF(W11="","",(W11*10)*AJ11)</f>
        <v>115.76222587387547</v>
      </c>
      <c r="X12" s="92">
        <f>IF(ROUNDUP(X11,1)&gt;0,IF((80+(8-ROUNDUP(X11,1))*40)&lt;0,0,80+(8-ROUNDUP(X11,1))*40),"")</f>
        <v>100</v>
      </c>
      <c r="Y12" s="93">
        <f>IF(SUM(V12,W12,X12)&gt;0,SUM(V12,W12,X12),"")</f>
        <v>341.96222587387547</v>
      </c>
      <c r="Z12" s="94">
        <f>IFERROR(IF(AE11&gt;34,(IF(OR(S12="",V12="",W12="",X12=""),"",SUM(S12,V12,W12,X12))*AI11),IF(OR(S12="",V12="",W12="",X12=""),"", SUM(S12,V12,W12,X12))),)</f>
        <v>546.82566497899961</v>
      </c>
      <c r="AA12" s="94"/>
      <c r="AB12" s="95"/>
      <c r="AC12" s="65"/>
      <c r="AD12" s="1"/>
      <c r="AE12" s="66"/>
      <c r="AF12" s="34"/>
      <c r="AH12" s="36"/>
      <c r="AI12" s="36"/>
      <c r="AJ12" s="85"/>
    </row>
    <row r="13" spans="1:36" s="8" customFormat="1" ht="20.100000000000001" customHeight="1" x14ac:dyDescent="0.2">
      <c r="B13" s="109"/>
      <c r="C13" s="96"/>
      <c r="D13" s="97"/>
      <c r="E13" s="96"/>
      <c r="F13" s="161"/>
      <c r="G13" s="162"/>
      <c r="H13" s="163"/>
      <c r="I13" s="164"/>
      <c r="J13" s="98"/>
      <c r="K13" s="99"/>
      <c r="L13" s="100"/>
      <c r="M13" s="100"/>
      <c r="N13" s="99"/>
      <c r="O13" s="100"/>
      <c r="P13" s="100"/>
      <c r="Q13" s="101" t="str">
        <f>IF(MAX(K13:M13)&gt;0,IF(MAX(K13:M13)&lt;0,0,TRUNC(MAX(K13:M13)/1)*1),"")</f>
        <v/>
      </c>
      <c r="R13" s="102" t="str">
        <f>IF(MAX(N13:P13)&gt;0,IF(MAX(N13:P13)&lt;0,0,TRUNC(MAX(N13:P13)/1)*1),"")</f>
        <v/>
      </c>
      <c r="S13" s="102" t="str">
        <f>IF(Q13="","",IF(R13="","",IF(SUM(Q13:R13)=0,"",SUM(Q13:R13))))</f>
        <v/>
      </c>
      <c r="T13" s="103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129" t="str">
        <f>IFERROR(IF(AF13=1,T13*AI13,""),)</f>
        <v/>
      </c>
      <c r="V13" s="105"/>
      <c r="W13" s="105"/>
      <c r="X13" s="105"/>
      <c r="Y13" s="110"/>
      <c r="Z13" s="107"/>
      <c r="AA13" s="107"/>
      <c r="AB13" s="108"/>
      <c r="AC13" s="65">
        <f>U5</f>
        <v>45829</v>
      </c>
      <c r="AD13" s="68" t="b">
        <f>IF(ISNUMBER(FIND("M",E13)),"m",IF(ISNUMBER(FIND("K",E13)),"k"))</f>
        <v>0</v>
      </c>
      <c r="AE13" s="66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5" t="str">
        <f>IF(D13="","",IF(D13&gt;193.609,1,IF(D13&lt;32,10^(0.722762521*LOG10(32/193.609)^2),10^(0.722762521*LOG10(D13/193.609)^2))))</f>
        <v/>
      </c>
    </row>
    <row r="14" spans="1:36" s="8" customFormat="1" ht="20.100000000000001" customHeight="1" x14ac:dyDescent="0.2">
      <c r="B14" s="187"/>
      <c r="C14" s="181"/>
      <c r="D14" s="181"/>
      <c r="E14" s="181"/>
      <c r="F14" s="182"/>
      <c r="G14" s="183"/>
      <c r="H14" s="184"/>
      <c r="I14" s="185"/>
      <c r="J14" s="185"/>
      <c r="K14" s="272"/>
      <c r="L14" s="272"/>
      <c r="M14" s="272"/>
      <c r="N14" s="273"/>
      <c r="O14" s="273"/>
      <c r="P14" s="273"/>
      <c r="Q14" s="186"/>
      <c r="R14" s="181"/>
      <c r="S14" s="223" t="str">
        <f>IF(T13="","",T13*1.2)</f>
        <v/>
      </c>
      <c r="T14" s="223"/>
      <c r="U14" s="91"/>
      <c r="V14" s="91" t="str">
        <f>IF(V13&gt;0,V13*20,"")</f>
        <v/>
      </c>
      <c r="W14" s="91" t="str">
        <f>IF(W13="","",(W13*10)*AJ13)</f>
        <v/>
      </c>
      <c r="X14" s="92" t="str">
        <f>IF(ROUNDUP(X13,1)&gt;0,IF((80+(8-ROUNDUP(X13,1))*40)&lt;0,0,80+(8-ROUNDUP(X13,1))*40),"")</f>
        <v/>
      </c>
      <c r="Y14" s="93" t="str">
        <f>IF(SUM(V14,W14,X14)&gt;0,SUM(V14,W14,X14),"")</f>
        <v/>
      </c>
      <c r="Z14" s="94" t="str">
        <f>IFERROR(IF(AE13&gt;34,(IF(OR(S14="",V14="",W14="",X14=""),"",SUM(S14,V14,W14,X14))*AI13),IF(OR(S14="",V14="",W14="",X14=""),"", SUM(S14,V14,W14,X14))),)</f>
        <v/>
      </c>
      <c r="AA14" s="94"/>
      <c r="AB14" s="95"/>
      <c r="AC14" s="65"/>
      <c r="AD14" s="1"/>
      <c r="AE14" s="66"/>
      <c r="AF14" s="34"/>
      <c r="AH14" s="36"/>
      <c r="AI14" s="36"/>
      <c r="AJ14" s="85"/>
    </row>
    <row r="15" spans="1:36" s="8" customFormat="1" ht="20.100000000000001" customHeight="1" x14ac:dyDescent="0.2">
      <c r="B15" s="109" t="s">
        <v>137</v>
      </c>
      <c r="C15" s="96" t="s">
        <v>171</v>
      </c>
      <c r="D15" s="97">
        <v>60.04</v>
      </c>
      <c r="E15" s="96" t="s">
        <v>138</v>
      </c>
      <c r="F15" s="161" t="s">
        <v>97</v>
      </c>
      <c r="G15" s="162">
        <v>37213</v>
      </c>
      <c r="H15" s="163"/>
      <c r="I15" s="164" t="s">
        <v>157</v>
      </c>
      <c r="J15" s="98" t="s">
        <v>86</v>
      </c>
      <c r="K15" s="99">
        <v>48</v>
      </c>
      <c r="L15" s="100">
        <v>52</v>
      </c>
      <c r="M15" s="100">
        <v>57</v>
      </c>
      <c r="N15" s="99">
        <v>69</v>
      </c>
      <c r="O15" s="100">
        <v>74</v>
      </c>
      <c r="P15" s="100">
        <v>77</v>
      </c>
      <c r="Q15" s="101">
        <f>IF(MAX(K15:M15)&gt;0,IF(MAX(K15:M15)&lt;0,0,TRUNC(MAX(K15:M15)/1)*1),"")</f>
        <v>57</v>
      </c>
      <c r="R15" s="102">
        <f>IF(MAX(N15:P15)&gt;0,IF(MAX(N15:P15)&lt;0,0,TRUNC(MAX(N15:P15)/1)*1),"")</f>
        <v>77</v>
      </c>
      <c r="S15" s="102">
        <f>IF(Q15="","",IF(R15="","",IF(SUM(Q15:R15)=0,"",SUM(Q15:R15))))</f>
        <v>134</v>
      </c>
      <c r="T15" s="103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181.28671241907452</v>
      </c>
      <c r="U15" s="129" t="str">
        <f>IFERROR(IF(AF15=1,T15*AI15,""),)</f>
        <v/>
      </c>
      <c r="V15" s="105">
        <v>6.92</v>
      </c>
      <c r="W15" s="105">
        <v>10.130000000000001</v>
      </c>
      <c r="X15" s="105">
        <v>6.87</v>
      </c>
      <c r="Y15" s="106"/>
      <c r="Z15" s="107"/>
      <c r="AA15" s="107"/>
      <c r="AB15" s="108"/>
      <c r="AC15" s="65">
        <f>U5</f>
        <v>45829</v>
      </c>
      <c r="AD15" s="68" t="str">
        <f>IF(ISNUMBER(FIND("M",E15)),"m",IF(ISNUMBER(FIND("K",E15)),"k"))</f>
        <v>k</v>
      </c>
      <c r="AE15" s="66">
        <f>IF(OR(G15="",AC15=""),0,(YEAR(AC15)-YEAR(G15)))</f>
        <v>24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5">
        <f>IF(D15="","",IF(D15&gt;193.609,1,IF(D15&lt;32,10^(0.722762521*LOG10(32/193.609)^2),10^(0.722762521*LOG10(D15/193.609)^2))))</f>
        <v>1.5377127009502827</v>
      </c>
    </row>
    <row r="16" spans="1:36" s="8" customFormat="1" ht="20.100000000000001" customHeight="1" x14ac:dyDescent="0.2">
      <c r="B16" s="187"/>
      <c r="C16" s="181"/>
      <c r="D16" s="181"/>
      <c r="E16" s="181"/>
      <c r="F16" s="182"/>
      <c r="G16" s="183"/>
      <c r="H16" s="184"/>
      <c r="I16" s="185"/>
      <c r="J16" s="185"/>
      <c r="K16" s="272"/>
      <c r="L16" s="272"/>
      <c r="M16" s="272"/>
      <c r="N16" s="273"/>
      <c r="O16" s="273"/>
      <c r="P16" s="273"/>
      <c r="Q16" s="188"/>
      <c r="R16" s="189"/>
      <c r="S16" s="223">
        <f>IF(T15="","",T15*1.2)</f>
        <v>217.54405490288943</v>
      </c>
      <c r="T16" s="223"/>
      <c r="U16" s="91"/>
      <c r="V16" s="91">
        <f>IF(V15&gt;0,V15*20,"")</f>
        <v>138.4</v>
      </c>
      <c r="W16" s="91">
        <f>IF(W15="","",(W15*10)*AJ15)</f>
        <v>155.77029660626366</v>
      </c>
      <c r="X16" s="92">
        <f>IF(ROUNDUP(X15,1)&gt;0,IF((80+(8-ROUNDUP(X15,1))*40)&lt;0,0,80+(8-ROUNDUP(X15,1))*40),"")</f>
        <v>124.00000000000003</v>
      </c>
      <c r="Y16" s="93">
        <f>IF(SUM(V16,W16,X16)&gt;0,SUM(V16,W16,X16),"")</f>
        <v>418.17029660626372</v>
      </c>
      <c r="Z16" s="94">
        <f>IFERROR(IF(AE15&gt;34,(IF(OR(S16="",V16="",W16="",X16=""),"",SUM(S16,V16,W16,X16))*AI15),IF(OR(S16="",V16="",W16="",X16=""),"", SUM(S16,V16,W16,X16))),)</f>
        <v>635.71435150915306</v>
      </c>
      <c r="AA16" s="94"/>
      <c r="AB16" s="95"/>
      <c r="AC16" s="65"/>
      <c r="AD16" s="1"/>
      <c r="AE16" s="66"/>
      <c r="AF16" s="34"/>
      <c r="AH16" s="36"/>
      <c r="AI16" s="36"/>
      <c r="AJ16" s="85"/>
    </row>
    <row r="17" spans="2:36" s="8" customFormat="1" ht="20.100000000000001" customHeight="1" x14ac:dyDescent="0.25">
      <c r="B17" s="109" t="s">
        <v>139</v>
      </c>
      <c r="C17" s="96" t="s">
        <v>175</v>
      </c>
      <c r="D17" s="97">
        <v>73.89</v>
      </c>
      <c r="E17" s="96" t="s">
        <v>140</v>
      </c>
      <c r="F17" s="161" t="s">
        <v>82</v>
      </c>
      <c r="G17" s="162">
        <v>30000</v>
      </c>
      <c r="H17" s="163"/>
      <c r="I17" s="165" t="s">
        <v>141</v>
      </c>
      <c r="J17" s="98" t="s">
        <v>81</v>
      </c>
      <c r="K17" s="99">
        <v>52</v>
      </c>
      <c r="L17" s="100">
        <v>56</v>
      </c>
      <c r="M17" s="100">
        <v>60</v>
      </c>
      <c r="N17" s="99">
        <v>73</v>
      </c>
      <c r="O17" s="100">
        <v>-77</v>
      </c>
      <c r="P17" s="100">
        <v>78</v>
      </c>
      <c r="Q17" s="101">
        <f>IF(MAX(K17:M17)&gt;0,IF(MAX(K17:M17)&lt;0,0,TRUNC(MAX(K17:M17)/1)*1),"")</f>
        <v>60</v>
      </c>
      <c r="R17" s="102">
        <f>IF(MAX(N17:P17)&gt;0,IF(MAX(N17:P17)&lt;0,0,TRUNC(MAX(N17:P17)/1)*1),"")</f>
        <v>78</v>
      </c>
      <c r="S17" s="111">
        <f>IF(Q17="","",IF(R17="","",IF(SUM(Q17:R17)=0,"",SUM(Q17:R17))))</f>
        <v>138</v>
      </c>
      <c r="T17" s="103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165.80167384538214</v>
      </c>
      <c r="U17" s="129">
        <f>IFERROR(IF(AF17=1,T17*AI17,""),)</f>
        <v>196.80658685446861</v>
      </c>
      <c r="V17" s="105">
        <v>6.13</v>
      </c>
      <c r="W17" s="105">
        <v>8.1300000000000008</v>
      </c>
      <c r="X17" s="105">
        <v>7.62</v>
      </c>
      <c r="Y17" s="106"/>
      <c r="Z17" s="107"/>
      <c r="AA17" s="107"/>
      <c r="AB17" s="108"/>
      <c r="AC17" s="65">
        <f>U5</f>
        <v>45829</v>
      </c>
      <c r="AD17" s="68" t="str">
        <f>IF(ISNUMBER(FIND("M",E17)),"m",IF(ISNUMBER(FIND("K",E17)),"k"))</f>
        <v>k</v>
      </c>
      <c r="AE17" s="66">
        <f>IF(OR(G17="",AC17=""),0,(YEAR(AC17)-YEAR(G17)))</f>
        <v>43</v>
      </c>
      <c r="AF17" s="34">
        <f t="shared" si="0"/>
        <v>1</v>
      </c>
      <c r="AG17" s="8">
        <f>IF(AF17=1,LOOKUP(AE17,'Meltzer-Faber'!A3:A63,'Meltzer-Faber'!B3:B63))</f>
        <v>1.1759999999999999</v>
      </c>
      <c r="AH17" s="36">
        <f>IF(AF17=1,LOOKUP(AE17,'Meltzer-Faber'!A3:A63,'Meltzer-Faber'!C3:C63))</f>
        <v>1.1870000000000001</v>
      </c>
      <c r="AI17" s="36">
        <f t="shared" si="1"/>
        <v>1.1870000000000001</v>
      </c>
      <c r="AJ17" s="85">
        <f>IF(D17="","",IF(D17&gt;193.609,1,IF(D17&lt;32,10^(0.722762521*LOG10(32/193.609)^2),10^(0.722762521*LOG10(D17/193.609)^2))))</f>
        <v>1.3381025701009679</v>
      </c>
    </row>
    <row r="18" spans="2:36" s="8" customFormat="1" ht="20.100000000000001" customHeight="1" x14ac:dyDescent="0.2">
      <c r="B18" s="187"/>
      <c r="C18" s="181"/>
      <c r="D18" s="181"/>
      <c r="E18" s="181"/>
      <c r="F18" s="182"/>
      <c r="G18" s="183"/>
      <c r="H18" s="184"/>
      <c r="I18" s="185"/>
      <c r="J18" s="185"/>
      <c r="K18" s="272"/>
      <c r="L18" s="272"/>
      <c r="M18" s="272"/>
      <c r="N18" s="273"/>
      <c r="O18" s="273"/>
      <c r="P18" s="273"/>
      <c r="Q18" s="186"/>
      <c r="R18" s="181"/>
      <c r="S18" s="223">
        <f>IF(T17="","",T17*1.2)</f>
        <v>198.96200861445857</v>
      </c>
      <c r="T18" s="223"/>
      <c r="U18" s="91"/>
      <c r="V18" s="91">
        <f>IF(V17&gt;0,V17*20,"")</f>
        <v>122.6</v>
      </c>
      <c r="W18" s="91">
        <f>IF(W17="","",(W17*10)*AJ17)</f>
        <v>108.7877389492087</v>
      </c>
      <c r="X18" s="92">
        <f>IF(ROUNDUP(X17,1)&gt;0,IF((80+(8-ROUNDUP(X17,1))*40)&lt;0,0,80+(8-ROUNDUP(X17,1))*40),"")</f>
        <v>92.000000000000028</v>
      </c>
      <c r="Y18" s="93">
        <f>IF(SUM(V18,W18,X18)&gt;0,SUM(V18,W18,X18),"")</f>
        <v>323.38773894920871</v>
      </c>
      <c r="Z18" s="94">
        <f>IFERROR(IF(AE17&gt;34,(IF(OR(S18="",V18="",W18="",X18=""),"",SUM(S18,V18,W18,X18))*AI17),IF(OR(S18="",V18="",W18="",X18=""),"", SUM(S18,V18,W18,X18))),)</f>
        <v>620.02915035807314</v>
      </c>
      <c r="AA18" s="94"/>
      <c r="AB18" s="95"/>
      <c r="AC18" s="65"/>
      <c r="AD18" s="1"/>
      <c r="AE18" s="66"/>
      <c r="AF18" s="34"/>
      <c r="AH18" s="36"/>
      <c r="AI18" s="36"/>
      <c r="AJ18" s="85"/>
    </row>
    <row r="19" spans="2:36" s="8" customFormat="1" ht="20.100000000000001" customHeight="1" x14ac:dyDescent="0.25">
      <c r="B19" s="109" t="s">
        <v>142</v>
      </c>
      <c r="C19" s="96" t="s">
        <v>171</v>
      </c>
      <c r="D19" s="97">
        <v>62.58</v>
      </c>
      <c r="E19" s="96" t="s">
        <v>140</v>
      </c>
      <c r="F19" s="161" t="s">
        <v>82</v>
      </c>
      <c r="G19" s="162">
        <v>30529</v>
      </c>
      <c r="H19" s="163"/>
      <c r="I19" s="165" t="s">
        <v>197</v>
      </c>
      <c r="J19" s="98" t="s">
        <v>87</v>
      </c>
      <c r="K19" s="99">
        <v>50</v>
      </c>
      <c r="L19" s="100">
        <v>53</v>
      </c>
      <c r="M19" s="100">
        <v>56</v>
      </c>
      <c r="N19" s="99">
        <v>70</v>
      </c>
      <c r="O19" s="100">
        <v>-74</v>
      </c>
      <c r="P19" s="100">
        <v>-74</v>
      </c>
      <c r="Q19" s="101">
        <f>IF(MAX(K19:M19)&gt;0,IF(MAX(K19:M19)&lt;0,0,TRUNC(MAX(K19:M19)/1)*1),"")</f>
        <v>56</v>
      </c>
      <c r="R19" s="102">
        <f>IF(MAX(N19:P19)&gt;0,IF(MAX(N19:P19)&lt;0,0,TRUNC(MAX(N19:P19)/1)*1),"")</f>
        <v>70</v>
      </c>
      <c r="S19" s="111">
        <f>IF(Q19="","",IF(R19="","",IF(SUM(Q19:R19)=0,"",SUM(Q19:R19))))</f>
        <v>126</v>
      </c>
      <c r="T19" s="103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166.08070121827981</v>
      </c>
      <c r="U19" s="129">
        <f>IFERROR(IF(AF19=1,T19*AI19,""),)</f>
        <v>194.31442042538737</v>
      </c>
      <c r="V19" s="105">
        <v>6.6</v>
      </c>
      <c r="W19" s="105">
        <v>9.43</v>
      </c>
      <c r="X19" s="105">
        <v>7.12</v>
      </c>
      <c r="Y19" s="106"/>
      <c r="Z19" s="107"/>
      <c r="AA19" s="107"/>
      <c r="AB19" s="108"/>
      <c r="AC19" s="65">
        <f>U5</f>
        <v>45829</v>
      </c>
      <c r="AD19" s="68" t="str">
        <f>IF(ISNUMBER(FIND("M",E19)),"m",IF(ISNUMBER(FIND("K",E19)),"k"))</f>
        <v>k</v>
      </c>
      <c r="AE19" s="66">
        <f>IF(OR(G19="",AC19=""),0,(YEAR(AC19)-YEAR(G19)))</f>
        <v>42</v>
      </c>
      <c r="AF19" s="34">
        <f t="shared" si="0"/>
        <v>1</v>
      </c>
      <c r="AG19" s="8">
        <f>IF(AF19=1,LOOKUP(AE19,'Meltzer-Faber'!A3:A63,'Meltzer-Faber'!B3:B63))</f>
        <v>1.1619999999999999</v>
      </c>
      <c r="AH19" s="36">
        <f>IF(AF19=1,LOOKUP(AE19,'Meltzer-Faber'!A3:A63,'Meltzer-Faber'!C3:C63))</f>
        <v>1.17</v>
      </c>
      <c r="AI19" s="36">
        <f t="shared" si="1"/>
        <v>1.17</v>
      </c>
      <c r="AJ19" s="85">
        <f>IF(D19="","",IF(D19&gt;193.609,1,IF(D19&lt;32,10^(0.722762521*LOG10(32/193.609)^2),10^(0.722762521*LOG10(D19/193.609)^2))))</f>
        <v>1.4923906289225271</v>
      </c>
    </row>
    <row r="20" spans="2:36" s="8" customFormat="1" ht="20.100000000000001" customHeight="1" x14ac:dyDescent="0.2">
      <c r="B20" s="187"/>
      <c r="C20" s="181"/>
      <c r="D20" s="181"/>
      <c r="E20" s="181"/>
      <c r="F20" s="182"/>
      <c r="G20" s="183"/>
      <c r="H20" s="184"/>
      <c r="I20" s="185"/>
      <c r="J20" s="185"/>
      <c r="K20" s="272"/>
      <c r="L20" s="272"/>
      <c r="M20" s="272"/>
      <c r="N20" s="273"/>
      <c r="O20" s="273"/>
      <c r="P20" s="273"/>
      <c r="Q20" s="186"/>
      <c r="R20" s="181"/>
      <c r="S20" s="223">
        <f>IF(T19="","",T19*1.2)</f>
        <v>199.29684146193577</v>
      </c>
      <c r="T20" s="223"/>
      <c r="U20" s="91"/>
      <c r="V20" s="91">
        <f>IF(V19&gt;0,V19*20,"")</f>
        <v>132</v>
      </c>
      <c r="W20" s="91">
        <f>IF(W19="","",(W19*10)*AJ19)</f>
        <v>140.73243630739429</v>
      </c>
      <c r="X20" s="92">
        <f>IF(ROUNDUP(X19,1)&gt;0,IF((80+(8-ROUNDUP(X19,1))*40)&lt;0,0,80+(8-ROUNDUP(X19,1))*40),"")</f>
        <v>112.00000000000003</v>
      </c>
      <c r="Y20" s="93">
        <f>IF(SUM(V20,W20,X20)&gt;0,SUM(V20,W20,X20),"")</f>
        <v>384.73243630739432</v>
      </c>
      <c r="Z20" s="94">
        <f>IFERROR(IF(AE19&gt;34,(IF(OR(S20="",V20="",W20="",X20=""),"",SUM(S20,V20,W20,X20))*AI19),IF(OR(S20="",V20="",W20="",X20=""),"", SUM(S20,V20,W20,X20))),)</f>
        <v>683.31425499011618</v>
      </c>
      <c r="AA20" s="94"/>
      <c r="AB20" s="95"/>
      <c r="AC20" s="65"/>
      <c r="AD20" s="1"/>
      <c r="AE20" s="66"/>
      <c r="AF20" s="34"/>
      <c r="AH20" s="36"/>
      <c r="AI20" s="36"/>
      <c r="AJ20" s="85"/>
    </row>
    <row r="21" spans="2:36" s="8" customFormat="1" ht="20.100000000000001" customHeight="1" x14ac:dyDescent="0.2">
      <c r="B21" s="109" t="s">
        <v>144</v>
      </c>
      <c r="C21" s="161" t="s">
        <v>172</v>
      </c>
      <c r="D21" s="97">
        <v>96.73</v>
      </c>
      <c r="E21" s="96" t="s">
        <v>145</v>
      </c>
      <c r="F21" s="161" t="s">
        <v>82</v>
      </c>
      <c r="G21" s="162">
        <v>28620</v>
      </c>
      <c r="H21" s="163"/>
      <c r="I21" s="164" t="s">
        <v>146</v>
      </c>
      <c r="J21" s="98" t="s">
        <v>86</v>
      </c>
      <c r="K21" s="99">
        <v>35</v>
      </c>
      <c r="L21" s="100">
        <v>39</v>
      </c>
      <c r="M21" s="100">
        <v>-42</v>
      </c>
      <c r="N21" s="99">
        <v>40</v>
      </c>
      <c r="O21" s="100">
        <v>45</v>
      </c>
      <c r="P21" s="100">
        <v>50</v>
      </c>
      <c r="Q21" s="101">
        <f>IF(MAX(K21:M21)&gt;0,IF(MAX(K21:M21)&lt;0,0,TRUNC(MAX(K21:M21)/1)*1),"")</f>
        <v>39</v>
      </c>
      <c r="R21" s="102">
        <f>IF(MAX(N21:P21)&gt;0,IF(MAX(N21:P21)&lt;0,0,TRUNC(MAX(N21:P21)/1)*1),"")</f>
        <v>50</v>
      </c>
      <c r="S21" s="111">
        <f>IF(Q21="","",IF(R21="","",IF(SUM(Q21:R21)=0,"",SUM(Q21:R21))))</f>
        <v>89</v>
      </c>
      <c r="T21" s="103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95.779468531842227</v>
      </c>
      <c r="U21" s="129">
        <f>IFERROR(IF(AF21=1,T21*AI21,""),)</f>
        <v>121.16102769278041</v>
      </c>
      <c r="V21" s="105"/>
      <c r="W21" s="105"/>
      <c r="X21" s="105"/>
      <c r="Y21" s="106"/>
      <c r="Z21" s="107"/>
      <c r="AA21" s="107"/>
      <c r="AB21" s="108"/>
      <c r="AC21" s="65">
        <f>U5</f>
        <v>45829</v>
      </c>
      <c r="AD21" s="68" t="str">
        <f>IF(ISNUMBER(FIND("M",E21)),"m",IF(ISNUMBER(FIND("K",E21)),"k"))</f>
        <v>k</v>
      </c>
      <c r="AE21" s="66">
        <f>IF(OR(G21="",AC21=""),0,(YEAR(AC21)-YEAR(G21)))</f>
        <v>47</v>
      </c>
      <c r="AF21" s="34">
        <f t="shared" si="0"/>
        <v>1</v>
      </c>
      <c r="AG21" s="8">
        <f>IF(AF21=1,LOOKUP(AE21,'Meltzer-Faber'!A3:A63,'Meltzer-Faber'!B3:B63))</f>
        <v>1.2330000000000001</v>
      </c>
      <c r="AH21" s="36">
        <f>IF(AF21=1,LOOKUP(AE21,'Meltzer-Faber'!A3:A63,'Meltzer-Faber'!C3:C63))</f>
        <v>1.2649999999999999</v>
      </c>
      <c r="AI21" s="36">
        <f t="shared" si="1"/>
        <v>1.2649999999999999</v>
      </c>
      <c r="AJ21" s="85">
        <f>IF(D21="","",IF(D21&gt;193.609,1,IF(D21&lt;32,10^(0.722762521*LOG10(32/193.609)^2),10^(0.722762521*LOG10(D21/193.609)^2))))</f>
        <v>1.1631658276166901</v>
      </c>
    </row>
    <row r="22" spans="2:36" s="8" customFormat="1" ht="20.100000000000001" customHeight="1" x14ac:dyDescent="0.2">
      <c r="B22" s="187"/>
      <c r="C22" s="181"/>
      <c r="D22" s="181"/>
      <c r="E22" s="181"/>
      <c r="F22" s="182"/>
      <c r="G22" s="183"/>
      <c r="H22" s="184"/>
      <c r="I22" s="185"/>
      <c r="J22" s="185"/>
      <c r="K22" s="272"/>
      <c r="L22" s="272"/>
      <c r="M22" s="272"/>
      <c r="N22" s="273"/>
      <c r="O22" s="273"/>
      <c r="P22" s="273"/>
      <c r="Q22" s="186"/>
      <c r="R22" s="181"/>
      <c r="S22" s="223">
        <f>IF(T21="","",T21*1.2)</f>
        <v>114.93536223821067</v>
      </c>
      <c r="T22" s="223"/>
      <c r="U22" s="91"/>
      <c r="V22" s="91" t="str">
        <f>IF(V21&gt;0,V21*20,"")</f>
        <v/>
      </c>
      <c r="W22" s="91" t="str">
        <f>IF(W21="","",(W21*10)*AJ21)</f>
        <v/>
      </c>
      <c r="X22" s="92" t="str">
        <f>IF(ROUNDUP(X21,1)&gt;0,IF((80+(8-ROUNDUP(X21,1))*40)&lt;0,0,80+(8-ROUNDUP(X21,1))*40),"")</f>
        <v/>
      </c>
      <c r="Y22" s="93" t="str">
        <f>IF(SUM(V22,W22,X22)&gt;0,SUM(V22,W22,X22),"")</f>
        <v/>
      </c>
      <c r="Z22" s="94">
        <f>IFERROR(IF(AE21&gt;34,(IF(OR(S22="",V22="",W22="",X22=""),"",SUM(S22,V22,W22,X22))*AI21),IF(OR(S22="",V22="",W22="",X22=""),"", SUM(S22,V22,W22,X22))),)</f>
        <v>0</v>
      </c>
      <c r="AA22" s="94"/>
      <c r="AB22" s="95"/>
      <c r="AC22" s="65"/>
      <c r="AD22" s="1"/>
      <c r="AE22" s="66"/>
      <c r="AF22" s="34"/>
      <c r="AH22" s="36"/>
      <c r="AI22" s="36"/>
      <c r="AJ22" s="85"/>
    </row>
    <row r="23" spans="2:36" s="8" customFormat="1" ht="20.100000000000001" customHeight="1" x14ac:dyDescent="0.2">
      <c r="B23" s="109" t="s">
        <v>147</v>
      </c>
      <c r="C23" s="96" t="s">
        <v>174</v>
      </c>
      <c r="D23" s="97">
        <v>68.680000000000007</v>
      </c>
      <c r="E23" s="96" t="s">
        <v>145</v>
      </c>
      <c r="F23" s="161" t="s">
        <v>82</v>
      </c>
      <c r="G23" s="162">
        <v>28203</v>
      </c>
      <c r="H23" s="163"/>
      <c r="I23" s="164" t="s">
        <v>148</v>
      </c>
      <c r="J23" s="98" t="s">
        <v>84</v>
      </c>
      <c r="K23" s="99">
        <v>17</v>
      </c>
      <c r="L23" s="100">
        <v>19</v>
      </c>
      <c r="M23" s="100">
        <v>21</v>
      </c>
      <c r="N23" s="99">
        <v>20</v>
      </c>
      <c r="O23" s="100">
        <v>23</v>
      </c>
      <c r="P23" s="100">
        <v>26</v>
      </c>
      <c r="Q23" s="101">
        <f>IF(MAX(K23:M23)&gt;0,IF(MAX(K23:M23)&lt;0,0,TRUNC(MAX(K23:M23)/1)*1),"")</f>
        <v>21</v>
      </c>
      <c r="R23" s="102">
        <f>IF(MAX(N23:P23)&gt;0,IF(MAX(N23:P23)&lt;0,0,TRUNC(MAX(N23:P23)/1)*1),"")</f>
        <v>26</v>
      </c>
      <c r="S23" s="111">
        <f>IF(Q23="","",IF(R23="","",IF(SUM(Q23:R23)=0,"",SUM(Q23:R23))))</f>
        <v>47</v>
      </c>
      <c r="T23" s="103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58.682475961231702</v>
      </c>
      <c r="U23" s="129">
        <f>IFERROR(IF(AF23=1,T23*AI23,""),)</f>
        <v>75.583029038066428</v>
      </c>
      <c r="V23" s="105">
        <v>4.96</v>
      </c>
      <c r="W23" s="105">
        <v>6.45</v>
      </c>
      <c r="X23" s="105">
        <v>9.49</v>
      </c>
      <c r="Y23" s="106"/>
      <c r="Z23" s="107"/>
      <c r="AA23" s="107"/>
      <c r="AB23" s="108"/>
      <c r="AC23" s="65">
        <f>U5</f>
        <v>45829</v>
      </c>
      <c r="AD23" s="68" t="str">
        <f>IF(ISNUMBER(FIND("M",E23)),"m",IF(ISNUMBER(FIND("K",E23)),"k"))</f>
        <v>k</v>
      </c>
      <c r="AE23" s="81">
        <f>IF(OR(G23="",AC23=""),0,(YEAR(AC23)-YEAR(G23)))</f>
        <v>48</v>
      </c>
      <c r="AF23" s="34">
        <f t="shared" si="0"/>
        <v>1</v>
      </c>
      <c r="AG23" s="8">
        <f>IF(AF23=1,LOOKUP(AE23,'Meltzer-Faber'!A3:A63,'Meltzer-Faber'!B3:B63))</f>
        <v>1.248</v>
      </c>
      <c r="AH23" s="36">
        <f>IF(AF23=1,LOOKUP(AE23,'Meltzer-Faber'!A3:A63,'Meltzer-Faber'!C3:C63))</f>
        <v>1.288</v>
      </c>
      <c r="AI23" s="36">
        <f t="shared" si="1"/>
        <v>1.288</v>
      </c>
      <c r="AJ23" s="85">
        <f>IF(D23="","",IF(D23&gt;193.609,1,IF(D23&lt;32,10^(0.722762521*LOG10(32/193.609)^2),10^(0.722762521*LOG10(D23/193.609)^2))))</f>
        <v>1.4009459476757509</v>
      </c>
    </row>
    <row r="24" spans="2:36" s="8" customFormat="1" ht="20.100000000000001" customHeight="1" x14ac:dyDescent="0.2">
      <c r="B24" s="187"/>
      <c r="C24" s="181"/>
      <c r="D24" s="181"/>
      <c r="E24" s="181"/>
      <c r="F24" s="182"/>
      <c r="G24" s="183"/>
      <c r="H24" s="184"/>
      <c r="I24" s="185"/>
      <c r="J24" s="185"/>
      <c r="K24" s="272"/>
      <c r="L24" s="272"/>
      <c r="M24" s="272"/>
      <c r="N24" s="273"/>
      <c r="O24" s="273"/>
      <c r="P24" s="273"/>
      <c r="Q24" s="186"/>
      <c r="R24" s="181"/>
      <c r="S24" s="223">
        <f>IF(T23="","",T23*1.2)</f>
        <v>70.41897115347804</v>
      </c>
      <c r="T24" s="223"/>
      <c r="U24" s="91"/>
      <c r="V24" s="91">
        <f>IF(V23&gt;0,V23*20,"")</f>
        <v>99.2</v>
      </c>
      <c r="W24" s="91">
        <f>IF(W23="","",(W23*10)*AJ23)</f>
        <v>90.361013625085931</v>
      </c>
      <c r="X24" s="92">
        <f>IF(ROUNDUP(X23,1)&gt;0,IF((80+(8-ROUNDUP(X23,1))*40)&lt;0,0,80+(8-ROUNDUP(X23,1))*40),"")</f>
        <v>20</v>
      </c>
      <c r="Y24" s="93">
        <f>IF(SUM(V24,W24,X24)&gt;0,SUM(V24,W24,X24),"")</f>
        <v>209.56101362508593</v>
      </c>
      <c r="Z24" s="94">
        <f>IFERROR(IF(AE23&gt;34,(IF(OR(S24="",V24="",W24="",X24=""),"",SUM(S24,V24,W24,X24))*AI23),IF(OR(S24="",V24="",W24="",X24=""),"", SUM(S24,V24,W24,X24))),)</f>
        <v>360.61422039479038</v>
      </c>
      <c r="AA24" s="94"/>
      <c r="AB24" s="95"/>
      <c r="AC24" s="65"/>
      <c r="AD24" s="1"/>
      <c r="AE24" s="66"/>
      <c r="AF24" s="34"/>
      <c r="AH24" s="36"/>
      <c r="AI24" s="36"/>
      <c r="AJ24" s="85"/>
    </row>
    <row r="25" spans="2:36" s="8" customFormat="1" ht="20.100000000000001" customHeight="1" x14ac:dyDescent="0.2">
      <c r="B25" s="109" t="s">
        <v>149</v>
      </c>
      <c r="C25" s="96" t="s">
        <v>173</v>
      </c>
      <c r="D25" s="97">
        <v>83.59</v>
      </c>
      <c r="E25" s="96" t="s">
        <v>145</v>
      </c>
      <c r="F25" s="161" t="s">
        <v>82</v>
      </c>
      <c r="G25" s="162">
        <v>28012</v>
      </c>
      <c r="H25" s="163"/>
      <c r="I25" s="164" t="s">
        <v>150</v>
      </c>
      <c r="J25" s="98" t="s">
        <v>86</v>
      </c>
      <c r="K25" s="99">
        <v>37</v>
      </c>
      <c r="L25" s="100">
        <v>40</v>
      </c>
      <c r="M25" s="100">
        <v>-43</v>
      </c>
      <c r="N25" s="99">
        <v>48</v>
      </c>
      <c r="O25" s="100">
        <v>-53</v>
      </c>
      <c r="P25" s="100">
        <v>-53</v>
      </c>
      <c r="Q25" s="101">
        <f>IF(MAX(K25:M25)&gt;0,IF(MAX(K25:M25)&lt;0,0,TRUNC(MAX(K25:M25)/1)*1),"")</f>
        <v>40</v>
      </c>
      <c r="R25" s="102">
        <f>IF(MAX(N25:P25)&gt;0,IF(MAX(N25:P25)&lt;0,0,TRUNC(MAX(N25:P25)/1)*1),"")</f>
        <v>48</v>
      </c>
      <c r="S25" s="111">
        <f>IF(Q25="","",IF(R25="","",IF(SUM(Q25:R25)=0,"",SUM(Q25:R25))))</f>
        <v>88</v>
      </c>
      <c r="T25" s="103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>99.91182565305381</v>
      </c>
      <c r="U25" s="129">
        <f>IFERROR(IF(AF25=1,T25*AI25,""),)</f>
        <v>131.18422708245964</v>
      </c>
      <c r="V25" s="105">
        <v>4.95</v>
      </c>
      <c r="W25" s="105">
        <v>7.48</v>
      </c>
      <c r="X25" s="105">
        <v>9.58</v>
      </c>
      <c r="Y25" s="106"/>
      <c r="Z25" s="107"/>
      <c r="AA25" s="107"/>
      <c r="AB25" s="108"/>
      <c r="AC25" s="65">
        <f>U5</f>
        <v>45829</v>
      </c>
      <c r="AD25" s="68" t="str">
        <f>IF(ISNUMBER(FIND("M",E25)),"m",IF(ISNUMBER(FIND("K",E25)),"k"))</f>
        <v>k</v>
      </c>
      <c r="AE25" s="81">
        <f>IF(OR(G25="",AC25=""),0,(YEAR(AC25)-YEAR(G25)))</f>
        <v>49</v>
      </c>
      <c r="AF25" s="34">
        <f t="shared" ref="AF25" si="2">IF(AE25&gt;34,1,0)</f>
        <v>1</v>
      </c>
      <c r="AG25" s="8">
        <f>IF(AF25=1,LOOKUP(AE25,'Meltzer-Faber'!A3:A63,'Meltzer-Faber'!B3:B63))</f>
        <v>1.2629999999999999</v>
      </c>
      <c r="AH25" s="36">
        <f>IF(AF25=1,LOOKUP(AE25,'Meltzer-Faber'!A3:A63,'Meltzer-Faber'!C3:C63))</f>
        <v>1.3129999999999999</v>
      </c>
      <c r="AI25" s="36">
        <f t="shared" ref="AI25" si="3">IF(AD25="m",AG25,IF(AD25="k",AH25,""))</f>
        <v>1.3129999999999999</v>
      </c>
      <c r="AJ25" s="85">
        <f>IF(D25="","",IF(D25&gt;193.609,1,IF(D25&lt;32,10^(0.722762521*LOG10(32/193.609)^2),10^(0.722762521*LOG10(D25/193.609)^2))))</f>
        <v>1.2478700596815517</v>
      </c>
    </row>
    <row r="26" spans="2:36" s="8" customFormat="1" ht="20.100000000000001" customHeight="1" x14ac:dyDescent="0.2">
      <c r="B26" s="187"/>
      <c r="C26" s="181"/>
      <c r="D26" s="181"/>
      <c r="E26" s="181"/>
      <c r="F26" s="182"/>
      <c r="G26" s="183"/>
      <c r="H26" s="184"/>
      <c r="I26" s="185"/>
      <c r="J26" s="185"/>
      <c r="K26" s="272"/>
      <c r="L26" s="272"/>
      <c r="M26" s="272"/>
      <c r="N26" s="273"/>
      <c r="O26" s="273"/>
      <c r="P26" s="273"/>
      <c r="Q26" s="186"/>
      <c r="R26" s="181"/>
      <c r="S26" s="223">
        <f>IF(T25="","",T25*1.2)</f>
        <v>119.89419078366457</v>
      </c>
      <c r="T26" s="223"/>
      <c r="U26" s="91"/>
      <c r="V26" s="91">
        <f>IF(V25&gt;0,V25*20,"")</f>
        <v>99</v>
      </c>
      <c r="W26" s="91">
        <f>IF(W25="","",(W25*10)*AJ25)</f>
        <v>93.340680464180082</v>
      </c>
      <c r="X26" s="92">
        <f>IF(ROUNDUP(X25,1)&gt;0,IF((80+(8-ROUNDUP(X25,1))*40)&lt;0,0,80+(8-ROUNDUP(X25,1))*40),"")</f>
        <v>16.000000000000014</v>
      </c>
      <c r="Y26" s="93">
        <f>IF(SUM(V26,W26,X26)&gt;0,SUM(V26,W26,X26),"")</f>
        <v>208.34068046418008</v>
      </c>
      <c r="Z26" s="94">
        <f>IFERROR(IF(AE25&gt;34,(IF(OR(S26="",V26="",W26="",X26=""),"",SUM(S26,V26,W26,X26))*AI25),IF(OR(S26="",V26="",W26="",X26=""),"", SUM(S26,V26,W26,X26))),)</f>
        <v>430.97238594841997</v>
      </c>
      <c r="AA26" s="94"/>
      <c r="AB26" s="95"/>
      <c r="AC26" s="65"/>
      <c r="AD26" s="1"/>
      <c r="AE26" s="66"/>
      <c r="AF26" s="34"/>
      <c r="AH26" s="36"/>
      <c r="AI26" s="36"/>
      <c r="AJ26" s="85"/>
    </row>
    <row r="27" spans="2:36" s="8" customFormat="1" ht="20.100000000000001" customHeight="1" x14ac:dyDescent="0.2">
      <c r="B27" s="109" t="s">
        <v>151</v>
      </c>
      <c r="C27" s="112">
        <v>77</v>
      </c>
      <c r="D27" s="97">
        <v>76.25</v>
      </c>
      <c r="E27" s="113" t="s">
        <v>152</v>
      </c>
      <c r="F27" s="114" t="s">
        <v>82</v>
      </c>
      <c r="G27" s="115">
        <v>27503</v>
      </c>
      <c r="H27" s="96"/>
      <c r="I27" s="98" t="s">
        <v>153</v>
      </c>
      <c r="J27" s="98" t="s">
        <v>86</v>
      </c>
      <c r="K27" s="116">
        <v>40</v>
      </c>
      <c r="L27" s="117">
        <v>43</v>
      </c>
      <c r="M27" s="117">
        <v>-46</v>
      </c>
      <c r="N27" s="117">
        <v>58</v>
      </c>
      <c r="O27" s="118">
        <v>62</v>
      </c>
      <c r="P27" s="118">
        <v>65</v>
      </c>
      <c r="Q27" s="101">
        <f>IF(MAX(K27:M27)&gt;0,IF(MAX(K27:M27)&lt;0,0,TRUNC(MAX(K27:M27)/1)*1),"")</f>
        <v>43</v>
      </c>
      <c r="R27" s="102">
        <f>IF(MAX(N27:P27)&gt;0,IF(MAX(N27:P27)&lt;0,0,TRUNC(MAX(N27:P27)/1)*1),"")</f>
        <v>65</v>
      </c>
      <c r="S27" s="111">
        <f>IF(Q27="","",IF(R27="","",IF(SUM(Q27:R27)=0,"",SUM(Q27:R27))))</f>
        <v>108</v>
      </c>
      <c r="T27" s="103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>127.77343118237754</v>
      </c>
      <c r="U27" s="129">
        <f>IFERROR(IF(AF27=1,T27*AI27,""),)</f>
        <v>171.21639778438592</v>
      </c>
      <c r="V27" s="119">
        <v>4.8600000000000003</v>
      </c>
      <c r="W27" s="119">
        <v>9.07</v>
      </c>
      <c r="X27" s="120">
        <v>10.33</v>
      </c>
      <c r="Y27" s="106"/>
      <c r="Z27" s="107"/>
      <c r="AA27" s="107"/>
      <c r="AB27" s="108"/>
      <c r="AC27" s="65">
        <f>U5</f>
        <v>45829</v>
      </c>
      <c r="AD27" s="68" t="str">
        <f>IF(ISNUMBER(FIND("M",E27)),"m",IF(ISNUMBER(FIND("K",E27)),"k"))</f>
        <v>k</v>
      </c>
      <c r="AE27" s="81">
        <f>IF(OR(G27="",AC27=""),0,(YEAR(AC27)-YEAR(G27)))</f>
        <v>50</v>
      </c>
      <c r="AF27" s="34">
        <f t="shared" ref="AF27" si="4">IF(AE27&gt;34,1,0)</f>
        <v>1</v>
      </c>
      <c r="AG27" s="8">
        <f>IF(AF27=1,LOOKUP(AE27,'Meltzer-Faber'!A3:A63,'Meltzer-Faber'!B3:B63))</f>
        <v>1.2789999999999999</v>
      </c>
      <c r="AH27" s="36">
        <f>IF(AF27=1,LOOKUP(AE27,'Meltzer-Faber'!A3:A63,'Meltzer-Faber'!C3:C63))</f>
        <v>1.34</v>
      </c>
      <c r="AI27" s="36">
        <f t="shared" ref="AI27" si="5">IF(AD27="m",AG27,IF(AD27="k",AH27,""))</f>
        <v>1.34</v>
      </c>
      <c r="AJ27" s="85">
        <f>IF(D27="","",IF(D27&gt;193.609,1,IF(D27&lt;32,10^(0.722762521*LOG10(32/193.609)^2),10^(0.722762521*LOG10(D27/193.609)^2))))</f>
        <v>1.3133098066988735</v>
      </c>
    </row>
    <row r="28" spans="2:36" s="8" customFormat="1" ht="20.100000000000001" customHeight="1" x14ac:dyDescent="0.2">
      <c r="B28" s="187"/>
      <c r="C28" s="190"/>
      <c r="D28" s="181"/>
      <c r="E28" s="182"/>
      <c r="F28" s="182"/>
      <c r="G28" s="191"/>
      <c r="H28" s="183"/>
      <c r="I28" s="185" t="s">
        <v>13</v>
      </c>
      <c r="J28" s="185"/>
      <c r="K28" s="273"/>
      <c r="L28" s="273"/>
      <c r="M28" s="273"/>
      <c r="N28" s="273"/>
      <c r="O28" s="273"/>
      <c r="P28" s="273"/>
      <c r="Q28" s="186"/>
      <c r="R28" s="181"/>
      <c r="S28" s="223">
        <f>IF(T27="","",T27*1.2)</f>
        <v>153.32811741885303</v>
      </c>
      <c r="T28" s="223"/>
      <c r="U28" s="91"/>
      <c r="V28" s="91">
        <f>IF(V27&gt;0,V27*20,"")</f>
        <v>97.2</v>
      </c>
      <c r="W28" s="91">
        <f>IF(W27="","",(W27*10)*AJ27)</f>
        <v>119.11719946758784</v>
      </c>
      <c r="X28" s="92">
        <f>IF(ROUNDUP(X27,1)&gt;0,IF((80+(8-ROUNDUP(X27,1))*40)&lt;0,0,80+(8-ROUNDUP(X27,1))*40),"")</f>
        <v>0</v>
      </c>
      <c r="Y28" s="93">
        <f>IF(SUM(V28,W28,X28)&gt;0,SUM(V28,W28,X28),"")</f>
        <v>216.31719946758784</v>
      </c>
      <c r="Z28" s="94">
        <f>IFERROR(IF(AE27&gt;34,(IF(OR(S28="",V28="",W28="",X28=""),"",SUM(S28,V28,W28,X28))*AI27),IF(OR(S28="",V28="",W28="",X28=""),"", SUM(S28,V28,W28,X28))),)</f>
        <v>495.32472462783079</v>
      </c>
      <c r="AA28" s="94"/>
      <c r="AB28" s="95"/>
      <c r="AC28" s="65"/>
      <c r="AD28" s="1"/>
      <c r="AE28" s="66"/>
      <c r="AF28" s="34"/>
      <c r="AH28" s="36"/>
      <c r="AI28" s="36"/>
      <c r="AJ28" s="85"/>
    </row>
    <row r="29" spans="2:36" s="8" customFormat="1" ht="20.100000000000001" customHeight="1" x14ac:dyDescent="0.2">
      <c r="B29" s="109"/>
      <c r="C29" s="112"/>
      <c r="D29" s="97"/>
      <c r="E29" s="113"/>
      <c r="F29" s="114"/>
      <c r="G29" s="115"/>
      <c r="H29" s="96"/>
      <c r="I29" s="98"/>
      <c r="J29" s="98"/>
      <c r="K29" s="116"/>
      <c r="L29" s="117"/>
      <c r="M29" s="117"/>
      <c r="N29" s="117"/>
      <c r="O29" s="118"/>
      <c r="P29" s="118"/>
      <c r="Q29" s="101" t="str">
        <f>IF(MAX(K29:M29)&gt;0,IF(MAX(K29:M29)&lt;0,0,TRUNC(MAX(K29:M29)/1)*1),"")</f>
        <v/>
      </c>
      <c r="R29" s="102" t="str">
        <f>IF(MAX(N29:P29)&gt;0,IF(MAX(N29:P29)&lt;0,0,TRUNC(MAX(N29:P29)/1)*1),"")</f>
        <v/>
      </c>
      <c r="S29" s="111" t="str">
        <f>IF(Q29="","",IF(R29="","",IF(SUM(Q29:R29)=0,"",SUM(Q29:R29))))</f>
        <v/>
      </c>
      <c r="T29" s="103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29" t="str">
        <f>IFERROR(IF(AF29=1,T29*AI29,""),)</f>
        <v/>
      </c>
      <c r="V29" s="105"/>
      <c r="W29" s="105"/>
      <c r="X29" s="105"/>
      <c r="Y29" s="106"/>
      <c r="Z29" s="107"/>
      <c r="AA29" s="107"/>
      <c r="AB29" s="108"/>
      <c r="AC29" s="65">
        <f>U5</f>
        <v>45829</v>
      </c>
      <c r="AD29" s="68" t="b">
        <f>IF(ISNUMBER(FIND("M",E29)),"m",IF(ISNUMBER(FIND("K",E29)),"k"))</f>
        <v>0</v>
      </c>
      <c r="AE29" s="81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5" t="str">
        <f>IF(D29="","",IF(D29&gt;193.609,1,IF(D29&lt;32,10^(0.722762521*LOG10(32/193.609)^2),10^(0.722762521*LOG10(D29/193.609)^2))))</f>
        <v/>
      </c>
    </row>
    <row r="30" spans="2:36" s="8" customFormat="1" ht="20.100000000000001" customHeight="1" x14ac:dyDescent="0.2">
      <c r="B30" s="187"/>
      <c r="C30" s="190"/>
      <c r="D30" s="181"/>
      <c r="E30" s="182"/>
      <c r="F30" s="182"/>
      <c r="G30" s="191"/>
      <c r="H30" s="183"/>
      <c r="I30" s="185"/>
      <c r="J30" s="185"/>
      <c r="K30" s="273"/>
      <c r="L30" s="273"/>
      <c r="M30" s="273"/>
      <c r="N30" s="273"/>
      <c r="O30" s="273"/>
      <c r="P30" s="273"/>
      <c r="Q30" s="186"/>
      <c r="R30" s="181"/>
      <c r="S30" s="223" t="str">
        <f>IF(T29="","",T29*1.2)</f>
        <v/>
      </c>
      <c r="T30" s="223"/>
      <c r="U30" s="91"/>
      <c r="V30" s="91" t="str">
        <f>IF(V29&gt;0,V29*20,"")</f>
        <v/>
      </c>
      <c r="W30" s="91" t="str">
        <f>IF(W29="","",(W29*10)*AJ29)</f>
        <v/>
      </c>
      <c r="X30" s="92" t="str">
        <f>IF(ROUNDUP(X29,1)&gt;0,IF((80+(8-ROUNDUP(X29,1))*40)&lt;0,0,80+(8-ROUNDUP(X29,1))*40),"")</f>
        <v/>
      </c>
      <c r="Y30" s="93" t="str">
        <f>IF(SUM(V30,W30,X30)&gt;0,SUM(V30,W30,X30),"")</f>
        <v/>
      </c>
      <c r="Z30" s="94" t="str">
        <f>IFERROR(IF(AE29&gt;34,(IF(OR(S30="",V30="",W30="",X30=""),"",SUM(S30,V30,W30,X30))*AI29),IF(OR(S30="",V30="",W30="",X30=""),"", SUM(S30,V30,W30,X30))),)</f>
        <v/>
      </c>
      <c r="AA30" s="94"/>
      <c r="AB30" s="95"/>
      <c r="AC30" s="65"/>
      <c r="AD30" s="1"/>
      <c r="AE30" s="66"/>
      <c r="AF30" s="34"/>
      <c r="AH30" s="36"/>
      <c r="AI30" s="36"/>
      <c r="AJ30" s="85"/>
    </row>
    <row r="31" spans="2:36" s="8" customFormat="1" ht="20.100000000000001" customHeight="1" x14ac:dyDescent="0.2">
      <c r="B31" s="109"/>
      <c r="C31" s="112"/>
      <c r="D31" s="97"/>
      <c r="E31" s="113"/>
      <c r="F31" s="114"/>
      <c r="G31" s="115"/>
      <c r="H31" s="96"/>
      <c r="I31" s="98" t="s">
        <v>13</v>
      </c>
      <c r="J31" s="98"/>
      <c r="K31" s="116"/>
      <c r="L31" s="117"/>
      <c r="M31" s="117"/>
      <c r="N31" s="117"/>
      <c r="O31" s="118"/>
      <c r="P31" s="118"/>
      <c r="Q31" s="101" t="str">
        <f>IF(MAX(K31:M31)&gt;0,IF(MAX(K31:M31)&lt;0,0,TRUNC(MAX(K31:M31)/1)*1),"")</f>
        <v/>
      </c>
      <c r="R31" s="102" t="str">
        <f>IF(MAX(N31:P31)&gt;0,IF(MAX(N31:P31)&lt;0,0,TRUNC(MAX(N31:P31)/1)*1),"")</f>
        <v/>
      </c>
      <c r="S31" s="111" t="str">
        <f>IF(Q31="","",IF(R31="","",IF(SUM(Q31:R31)=0,"",SUM(Q31:R31))))</f>
        <v/>
      </c>
      <c r="T31" s="103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29" t="str">
        <f>IFERROR(IF(AF31=1,T31*AI31,""),)</f>
        <v/>
      </c>
      <c r="V31" s="119"/>
      <c r="W31" s="119"/>
      <c r="X31" s="120"/>
      <c r="Y31" s="106"/>
      <c r="Z31" s="107"/>
      <c r="AA31" s="107"/>
      <c r="AB31" s="108"/>
      <c r="AC31" s="65">
        <f>U5</f>
        <v>45829</v>
      </c>
      <c r="AD31" s="68" t="b">
        <f>IF(ISNUMBER(FIND("M",E31)),"m",IF(ISNUMBER(FIND("K",E31)),"k"))</f>
        <v>0</v>
      </c>
      <c r="AE31" s="81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5" t="str">
        <f>IF(D31="","",IF(D31&gt;193.609,1,IF(D31&lt;32,10^(0.722762521*LOG10(32/193.609)^2),10^(0.722762521*LOG10(D31/193.609)^2))))</f>
        <v/>
      </c>
    </row>
    <row r="32" spans="2:36" s="8" customFormat="1" ht="20.100000000000001" customHeight="1" x14ac:dyDescent="0.2">
      <c r="B32" s="187"/>
      <c r="C32" s="190"/>
      <c r="D32" s="181"/>
      <c r="E32" s="182"/>
      <c r="F32" s="182"/>
      <c r="G32" s="191"/>
      <c r="H32" s="183"/>
      <c r="I32" s="185"/>
      <c r="J32" s="185"/>
      <c r="K32" s="273"/>
      <c r="L32" s="273"/>
      <c r="M32" s="273"/>
      <c r="N32" s="273"/>
      <c r="O32" s="273"/>
      <c r="P32" s="273"/>
      <c r="Q32" s="186"/>
      <c r="R32" s="181"/>
      <c r="S32" s="223" t="str">
        <f>IF(T31="","",T31*1.2)</f>
        <v/>
      </c>
      <c r="T32" s="223"/>
      <c r="U32" s="91"/>
      <c r="V32" s="91" t="str">
        <f>IF(V31&gt;0,V31*20,"")</f>
        <v/>
      </c>
      <c r="W32" s="91" t="str">
        <f>IF(W31="","",(W31*10)*AJ31)</f>
        <v/>
      </c>
      <c r="X32" s="92" t="str">
        <f>IF(ROUNDUP(X31,1)&gt;0,IF((80+(8-ROUNDUP(X31,1))*40)&lt;0,0,80+(8-ROUNDUP(X31,1))*40),"")</f>
        <v/>
      </c>
      <c r="Y32" s="93" t="str">
        <f>IF(SUM(V32,W32,X32)&gt;0,SUM(V32,W32,X32),"")</f>
        <v/>
      </c>
      <c r="Z32" s="94" t="str">
        <f>IFERROR(IF(AE31&gt;34,(IF(OR(S32="",V32="",W32="",X32=""),"",SUM(S32,V32,W32,X32))*AI31),IF(OR(S32="",V32="",W32="",X32=""),"", SUM(S32,V32,W32,X32))),)</f>
        <v/>
      </c>
      <c r="AA32" s="94"/>
      <c r="AB32" s="95"/>
      <c r="AC32" s="65"/>
      <c r="AD32" s="1"/>
      <c r="AE32" s="66"/>
      <c r="AF32" s="34"/>
      <c r="AH32" s="36"/>
      <c r="AI32" s="36"/>
      <c r="AJ32" s="85"/>
    </row>
    <row r="33" spans="2:35" s="6" customFormat="1" ht="18.95" customHeight="1" x14ac:dyDescent="0.2">
      <c r="D33" s="75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2">
      <c r="D34" s="75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.1" customHeight="1" x14ac:dyDescent="0.25">
      <c r="B35" s="248" t="s">
        <v>34</v>
      </c>
      <c r="C35" s="250"/>
      <c r="D35" s="76" t="s">
        <v>33</v>
      </c>
      <c r="E35" s="248" t="s">
        <v>4</v>
      </c>
      <c r="F35" s="249"/>
      <c r="G35" s="249"/>
      <c r="H35" s="250"/>
      <c r="I35" s="49" t="s">
        <v>42</v>
      </c>
      <c r="J35" s="21"/>
      <c r="K35" s="248" t="s">
        <v>34</v>
      </c>
      <c r="L35" s="249"/>
      <c r="M35" s="250"/>
      <c r="N35" s="53" t="s">
        <v>33</v>
      </c>
      <c r="O35" s="266" t="s">
        <v>4</v>
      </c>
      <c r="P35" s="267"/>
      <c r="Q35" s="267"/>
      <c r="R35" s="268"/>
      <c r="S35" s="266" t="s">
        <v>42</v>
      </c>
      <c r="T35" s="268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.100000000000001" customHeight="1" x14ac:dyDescent="0.25">
      <c r="B36" s="251" t="s">
        <v>40</v>
      </c>
      <c r="C36" s="253"/>
      <c r="D36" s="77">
        <v>1958002</v>
      </c>
      <c r="E36" s="264" t="s">
        <v>188</v>
      </c>
      <c r="F36" s="252"/>
      <c r="G36" s="252"/>
      <c r="H36" s="253"/>
      <c r="I36" s="47" t="s">
        <v>81</v>
      </c>
      <c r="J36" s="4"/>
      <c r="K36" s="251" t="s">
        <v>35</v>
      </c>
      <c r="L36" s="252"/>
      <c r="M36" s="253"/>
      <c r="N36" s="50"/>
      <c r="O36" s="221"/>
      <c r="P36" s="269"/>
      <c r="Q36" s="269"/>
      <c r="R36" s="270"/>
      <c r="S36" s="221"/>
      <c r="T36" s="222"/>
      <c r="AF36" s="1"/>
      <c r="AH36" s="35"/>
      <c r="AI36" s="35"/>
    </row>
    <row r="37" spans="2:35" s="5" customFormat="1" ht="21" customHeight="1" x14ac:dyDescent="0.25">
      <c r="B37" s="245" t="s">
        <v>36</v>
      </c>
      <c r="C37" s="247"/>
      <c r="D37" s="78">
        <v>1973011</v>
      </c>
      <c r="E37" s="265" t="s">
        <v>187</v>
      </c>
      <c r="F37" s="246"/>
      <c r="G37" s="246"/>
      <c r="H37" s="247"/>
      <c r="I37" s="47" t="s">
        <v>87</v>
      </c>
      <c r="J37" s="4"/>
      <c r="K37" s="245" t="s">
        <v>38</v>
      </c>
      <c r="L37" s="246"/>
      <c r="M37" s="247"/>
      <c r="N37" s="51"/>
      <c r="O37" s="230"/>
      <c r="P37" s="231"/>
      <c r="Q37" s="231"/>
      <c r="R37" s="232"/>
      <c r="S37" s="230"/>
      <c r="T37" s="233"/>
      <c r="AH37" s="35"/>
      <c r="AI37" s="35"/>
    </row>
    <row r="38" spans="2:35" s="5" customFormat="1" ht="18.95" customHeight="1" x14ac:dyDescent="0.25">
      <c r="B38" s="245" t="s">
        <v>36</v>
      </c>
      <c r="C38" s="247"/>
      <c r="D38" s="78">
        <v>1972005</v>
      </c>
      <c r="E38" s="265" t="s">
        <v>189</v>
      </c>
      <c r="F38" s="246"/>
      <c r="G38" s="246"/>
      <c r="H38" s="247"/>
      <c r="I38" s="47" t="s">
        <v>87</v>
      </c>
      <c r="J38" s="4"/>
      <c r="K38" s="245" t="s">
        <v>37</v>
      </c>
      <c r="L38" s="246"/>
      <c r="M38" s="247"/>
      <c r="N38" s="51"/>
      <c r="O38" s="230"/>
      <c r="P38" s="231"/>
      <c r="Q38" s="231"/>
      <c r="R38" s="232"/>
      <c r="S38" s="230"/>
      <c r="T38" s="233"/>
      <c r="V38" s="5" t="s">
        <v>54</v>
      </c>
      <c r="AH38" s="35"/>
      <c r="AI38" s="35"/>
    </row>
    <row r="39" spans="2:35" s="5" customFormat="1" ht="21" customHeight="1" x14ac:dyDescent="0.25">
      <c r="B39" s="245" t="s">
        <v>36</v>
      </c>
      <c r="C39" s="247"/>
      <c r="D39" s="78">
        <v>1997007</v>
      </c>
      <c r="E39" s="265" t="s">
        <v>192</v>
      </c>
      <c r="F39" s="246"/>
      <c r="G39" s="246"/>
      <c r="H39" s="247"/>
      <c r="I39" s="47" t="s">
        <v>87</v>
      </c>
      <c r="J39" s="4"/>
      <c r="K39" s="245" t="s">
        <v>56</v>
      </c>
      <c r="L39" s="246"/>
      <c r="M39" s="247"/>
      <c r="N39" s="51"/>
      <c r="O39" s="230"/>
      <c r="P39" s="231"/>
      <c r="Q39" s="231"/>
      <c r="R39" s="232"/>
      <c r="S39" s="230"/>
      <c r="T39" s="233"/>
      <c r="AD39" s="5" t="s">
        <v>13</v>
      </c>
      <c r="AH39" s="35"/>
      <c r="AI39" s="35"/>
    </row>
    <row r="40" spans="2:35" s="5" customFormat="1" ht="20.100000000000001" customHeight="1" x14ac:dyDescent="0.25">
      <c r="B40" s="245" t="s">
        <v>35</v>
      </c>
      <c r="C40" s="247"/>
      <c r="D40" s="78">
        <v>1961004</v>
      </c>
      <c r="E40" s="265" t="s">
        <v>185</v>
      </c>
      <c r="F40" s="246"/>
      <c r="G40" s="246"/>
      <c r="H40" s="247"/>
      <c r="I40" s="47" t="s">
        <v>81</v>
      </c>
      <c r="J40" s="4"/>
      <c r="K40" s="245"/>
      <c r="L40" s="246"/>
      <c r="M40" s="247"/>
      <c r="N40" s="51"/>
      <c r="O40" s="230"/>
      <c r="P40" s="231"/>
      <c r="Q40" s="231"/>
      <c r="R40" s="232"/>
      <c r="S40" s="230"/>
      <c r="T40" s="233"/>
      <c r="AH40" s="35"/>
      <c r="AI40" s="35"/>
    </row>
    <row r="41" spans="2:35" ht="18.95" customHeight="1" x14ac:dyDescent="0.2">
      <c r="B41" s="245" t="s">
        <v>38</v>
      </c>
      <c r="C41" s="247"/>
      <c r="D41" s="78">
        <v>1954001</v>
      </c>
      <c r="E41" s="265" t="s">
        <v>191</v>
      </c>
      <c r="F41" s="246"/>
      <c r="G41" s="246"/>
      <c r="H41" s="247"/>
      <c r="I41" s="47" t="s">
        <v>81</v>
      </c>
      <c r="J41" s="3"/>
      <c r="K41" s="245"/>
      <c r="L41" s="246"/>
      <c r="M41" s="247"/>
      <c r="N41" s="51"/>
      <c r="O41" s="230"/>
      <c r="P41" s="231"/>
      <c r="Q41" s="231"/>
      <c r="R41" s="232"/>
      <c r="S41" s="230"/>
      <c r="T41" s="233"/>
      <c r="U41" s="3"/>
      <c r="V41" s="3"/>
      <c r="W41" s="3"/>
      <c r="X41" s="3"/>
      <c r="Y41" s="3"/>
      <c r="Z41" s="3"/>
      <c r="AA41" s="3"/>
      <c r="AB41" s="3"/>
    </row>
    <row r="42" spans="2:35" ht="20.100000000000001" customHeight="1" x14ac:dyDescent="0.2">
      <c r="B42" s="228"/>
      <c r="C42" s="227"/>
      <c r="D42" s="79"/>
      <c r="E42" s="225"/>
      <c r="F42" s="226"/>
      <c r="G42" s="226"/>
      <c r="H42" s="227"/>
      <c r="I42" s="48"/>
      <c r="J42" s="3"/>
      <c r="K42" s="245"/>
      <c r="L42" s="246"/>
      <c r="M42" s="247"/>
      <c r="N42" s="51"/>
      <c r="O42" s="230"/>
      <c r="P42" s="231"/>
      <c r="Q42" s="231"/>
      <c r="R42" s="232"/>
      <c r="S42" s="230"/>
      <c r="T42" s="233"/>
      <c r="U42" s="3"/>
      <c r="V42" s="3"/>
      <c r="W42" s="3"/>
      <c r="X42" s="3"/>
      <c r="Y42" s="3"/>
      <c r="Z42" s="3"/>
      <c r="AA42" s="3"/>
      <c r="AB42" s="3"/>
    </row>
    <row r="43" spans="2:35" ht="20.100000000000001" customHeight="1" x14ac:dyDescent="0.2">
      <c r="B43" s="228"/>
      <c r="C43" s="227"/>
      <c r="D43" s="79"/>
      <c r="E43" s="225"/>
      <c r="F43" s="226"/>
      <c r="G43" s="226"/>
      <c r="H43" s="227"/>
      <c r="I43" s="48"/>
      <c r="J43" s="3"/>
      <c r="K43" s="228"/>
      <c r="L43" s="226"/>
      <c r="M43" s="227"/>
      <c r="N43" s="52"/>
      <c r="O43" s="241"/>
      <c r="P43" s="242"/>
      <c r="Q43" s="242"/>
      <c r="R43" s="243"/>
      <c r="S43" s="241"/>
      <c r="T43" s="244"/>
      <c r="U43" s="3"/>
      <c r="V43" s="3"/>
      <c r="W43" s="3"/>
      <c r="X43" s="3"/>
      <c r="Y43" s="3"/>
      <c r="Z43" s="3"/>
      <c r="AA43" s="3"/>
      <c r="AB43" s="3"/>
    </row>
    <row r="44" spans="2:35" ht="18.95" customHeight="1" x14ac:dyDescent="0.2">
      <c r="B44" s="235"/>
      <c r="C44" s="235"/>
      <c r="D44" s="234"/>
      <c r="E44" s="234"/>
      <c r="F44" s="55"/>
      <c r="G44" s="234"/>
      <c r="H44" s="234"/>
      <c r="I44" s="234"/>
      <c r="J44" s="3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2">
      <c r="B45" s="238" t="s">
        <v>41</v>
      </c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40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2">
      <c r="B46" s="228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9"/>
      <c r="U46" s="3"/>
      <c r="V46" s="3"/>
      <c r="W46" s="3"/>
      <c r="X46" s="3"/>
      <c r="Y46" s="3"/>
      <c r="Z46" s="3"/>
      <c r="AA46" s="3"/>
      <c r="AB46" s="3"/>
    </row>
    <row r="47" spans="2:35" ht="15" x14ac:dyDescent="0.25">
      <c r="B47" s="1"/>
      <c r="D47" s="73"/>
      <c r="E47" s="46"/>
      <c r="F47" s="46"/>
      <c r="G47" s="73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5" x14ac:dyDescent="0.25">
      <c r="B48" s="20"/>
      <c r="C48" s="20"/>
      <c r="D48" s="80"/>
      <c r="E48" s="13"/>
      <c r="F48" s="13"/>
      <c r="G48" s="74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2">
      <c r="E50" s="224"/>
      <c r="F50" s="224"/>
      <c r="G50" s="224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29" priority="23" stopIfTrue="1" operator="between">
      <formula>1</formula>
      <formula>300</formula>
    </cfRule>
    <cfRule type="cellIs" dxfId="28" priority="24" stopIfTrue="1" operator="lessThanOrEqual">
      <formula>0</formula>
    </cfRule>
  </conditionalFormatting>
  <conditionalFormatting sqref="K29">
    <cfRule type="cellIs" dxfId="27" priority="21" stopIfTrue="1" operator="between">
      <formula>1</formula>
      <formula>300</formula>
    </cfRule>
    <cfRule type="cellIs" dxfId="26" priority="22" stopIfTrue="1" operator="lessThanOrEqual">
      <formula>0</formula>
    </cfRule>
  </conditionalFormatting>
  <conditionalFormatting sqref="K31">
    <cfRule type="cellIs" dxfId="25" priority="19" stopIfTrue="1" operator="between">
      <formula>1</formula>
      <formula>300</formula>
    </cfRule>
    <cfRule type="cellIs" dxfId="24" priority="20" stopIfTrue="1" operator="lessThanOrEqual">
      <formula>0</formula>
    </cfRule>
  </conditionalFormatting>
  <conditionalFormatting sqref="K9:P9">
    <cfRule type="cellIs" dxfId="23" priority="13" stopIfTrue="1" operator="between">
      <formula>1</formula>
      <formula>300</formula>
    </cfRule>
    <cfRule type="cellIs" dxfId="22" priority="14" stopIfTrue="1" operator="lessThanOrEqual">
      <formula>0</formula>
    </cfRule>
  </conditionalFormatting>
  <conditionalFormatting sqref="K11:P11">
    <cfRule type="cellIs" dxfId="21" priority="11" stopIfTrue="1" operator="between">
      <formula>1</formula>
      <formula>300</formula>
    </cfRule>
    <cfRule type="cellIs" dxfId="20" priority="12" stopIfTrue="1" operator="lessThanOrEqual">
      <formula>0</formula>
    </cfRule>
  </conditionalFormatting>
  <conditionalFormatting sqref="K13:P13">
    <cfRule type="cellIs" dxfId="19" priority="7" stopIfTrue="1" operator="between">
      <formula>1</formula>
      <formula>300</formula>
    </cfRule>
    <cfRule type="cellIs" dxfId="18" priority="8" stopIfTrue="1" operator="lessThanOrEqual">
      <formula>0</formula>
    </cfRule>
  </conditionalFormatting>
  <conditionalFormatting sqref="K15:P15">
    <cfRule type="cellIs" dxfId="17" priority="9" stopIfTrue="1" operator="between">
      <formula>1</formula>
      <formula>300</formula>
    </cfRule>
    <cfRule type="cellIs" dxfId="16" priority="10" stopIfTrue="1" operator="lessThanOrEqual">
      <formula>0</formula>
    </cfRule>
  </conditionalFormatting>
  <conditionalFormatting sqref="K17:P17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K19:P19">
    <cfRule type="cellIs" dxfId="13" priority="1" stopIfTrue="1" operator="between">
      <formula>1</formula>
      <formula>300</formula>
    </cfRule>
    <cfRule type="cellIs" dxfId="12" priority="2" stopIfTrue="1" operator="lessThanOrEqual">
      <formula>0</formula>
    </cfRule>
  </conditionalFormatting>
  <conditionalFormatting sqref="K21:P21">
    <cfRule type="cellIs" dxfId="11" priority="3" stopIfTrue="1" operator="between">
      <formula>1</formula>
      <formula>300</formula>
    </cfRule>
    <cfRule type="cellIs" dxfId="10" priority="4" stopIfTrue="1" operator="lessThanOrEqual">
      <formula>0</formula>
    </cfRule>
  </conditionalFormatting>
  <conditionalFormatting sqref="K23:P23">
    <cfRule type="cellIs" dxfId="9" priority="5" stopIfTrue="1" operator="between">
      <formula>1</formula>
      <formula>300</formula>
    </cfRule>
    <cfRule type="cellIs" dxfId="8" priority="6" stopIfTrue="1" operator="lessThanOrEqual">
      <formula>0</formula>
    </cfRule>
  </conditionalFormatting>
  <conditionalFormatting sqref="K25:P25">
    <cfRule type="cellIs" dxfId="7" priority="17" stopIfTrue="1" operator="between">
      <formula>1</formula>
      <formula>300</formula>
    </cfRule>
    <cfRule type="cellIs" dxfId="6" priority="18" stopIfTrue="1" operator="lessThanOrEqual">
      <formula>0</formula>
    </cfRule>
  </conditionalFormatting>
  <conditionalFormatting sqref="L27:N27">
    <cfRule type="cellIs" dxfId="5" priority="29" stopIfTrue="1" operator="between">
      <formula>1</formula>
      <formula>300</formula>
    </cfRule>
    <cfRule type="cellIs" dxfId="4" priority="30" stopIfTrue="1" operator="lessThanOrEqual">
      <formula>0</formula>
    </cfRule>
  </conditionalFormatting>
  <conditionalFormatting sqref="L29:N29">
    <cfRule type="cellIs" dxfId="3" priority="27" stopIfTrue="1" operator="between">
      <formula>1</formula>
      <formula>300</formula>
    </cfRule>
    <cfRule type="cellIs" dxfId="2" priority="28" stopIfTrue="1" operator="lessThanOrEqual">
      <formula>0</formula>
    </cfRule>
  </conditionalFormatting>
  <conditionalFormatting sqref="L31:N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6">
    <dataValidation type="list" allowBlank="1" showInputMessage="1" showErrorMessage="1" sqref="K36:M43 B36:C43" xr:uid="{3D01317B-C0C6-45C0-8F5B-1C2949E55894}">
      <formula1>"Dommer,Stevnets leder,Jury,Sekretær,Speaker,Teknisk kontrollør, Chief Marshall,Tidtaker"</formula1>
    </dataValidation>
    <dataValidation type="list" allowBlank="1" showInputMessage="1" showErrorMessage="1" sqref="D5:I5" xr:uid="{DED2D7BE-4098-48F6-BE7C-CB8BF921CD5D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 C11 C13 C15 C17 C19 C21 C23 C25 C27 C29 C31" xr:uid="{4B0FADFD-2740-4AD3-B3C9-FAC0AE7EB53B}">
      <formula1>"44,48,53,56,58,60,63,65,69,71,77,'+77,79,86,'+86,88,94,'+94,110,'+110"</formula1>
    </dataValidation>
    <dataValidation type="list" allowBlank="1" showInputMessage="1" showErrorMessage="1" sqref="E9 F12 E13 E15 E17 E19 E21 E23 E25 E27 E29 E31 E11" xr:uid="{1FD9B2E4-4933-40F6-AE51-7B64AF2A0497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DA3A4F1F-C54B-488B-A601-77D31BABCF0B}">
      <formula1>"11-12,13-14,15-16,17-18,19-23,24-34,+35,35+"</formula1>
    </dataValidation>
    <dataValidation type="list" allowBlank="1" showInputMessage="1" showErrorMessage="1" sqref="F9 F11 F13 F15 F17 F19 F21 F23 F25 F27 F29 F31" xr:uid="{DBDB179A-5563-40F3-834E-5456D694A0E9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8BCE-A818-445C-BCC8-B4145B9EAC58}">
  <dimension ref="B1:AH73"/>
  <sheetViews>
    <sheetView showGridLines="0" zoomScale="70" zoomScaleNormal="70" workbookViewId="0">
      <selection activeCell="AH2" sqref="AH2"/>
    </sheetView>
  </sheetViews>
  <sheetFormatPr defaultRowHeight="12.75" x14ac:dyDescent="0.2"/>
  <cols>
    <col min="1" max="1" width="3.5703125" customWidth="1"/>
    <col min="2" max="2" width="10.5703125" bestFit="1" customWidth="1"/>
    <col min="3" max="3" width="12.7109375" customWidth="1"/>
    <col min="4" max="4" width="13.140625" customWidth="1"/>
    <col min="5" max="5" width="10.5703125" customWidth="1"/>
    <col min="6" max="6" width="12.7109375" customWidth="1"/>
    <col min="7" max="7" width="10.85546875" style="197" bestFit="1" customWidth="1"/>
    <col min="9" max="9" width="23.85546875" customWidth="1"/>
    <col min="10" max="10" width="14.28515625" customWidth="1"/>
    <col min="11" max="11" width="14.140625" customWidth="1"/>
    <col min="19" max="19" width="9.140625" style="194"/>
    <col min="20" max="20" width="9.140625" style="195"/>
    <col min="21" max="21" width="11.85546875" style="195" customWidth="1"/>
    <col min="22" max="22" width="9.5703125" style="195" customWidth="1"/>
    <col min="23" max="23" width="15.140625" style="195" customWidth="1"/>
    <col min="24" max="24" width="10.7109375" style="195" customWidth="1"/>
    <col min="25" max="25" width="12.7109375" style="195" customWidth="1"/>
    <col min="26" max="26" width="9.140625" style="195"/>
    <col min="27" max="27" width="12.42578125" style="195" customWidth="1"/>
    <col min="28" max="28" width="9.85546875" style="195" customWidth="1"/>
    <col min="29" max="29" width="9.7109375" style="195" customWidth="1"/>
  </cols>
  <sheetData>
    <row r="1" spans="2:34" x14ac:dyDescent="0.2">
      <c r="B1" t="s">
        <v>33</v>
      </c>
      <c r="C1" t="s">
        <v>62</v>
      </c>
      <c r="D1" t="s">
        <v>63</v>
      </c>
      <c r="E1" t="s">
        <v>64</v>
      </c>
      <c r="F1" t="s">
        <v>65</v>
      </c>
      <c r="G1" s="197" t="s">
        <v>154</v>
      </c>
      <c r="H1" t="s">
        <v>66</v>
      </c>
      <c r="I1" t="s">
        <v>4</v>
      </c>
      <c r="J1" t="s">
        <v>42</v>
      </c>
      <c r="K1" t="s">
        <v>67</v>
      </c>
      <c r="L1" t="s">
        <v>68</v>
      </c>
      <c r="M1" t="s">
        <v>69</v>
      </c>
      <c r="N1" t="s">
        <v>70</v>
      </c>
      <c r="O1" t="s">
        <v>71</v>
      </c>
      <c r="P1" t="s">
        <v>83</v>
      </c>
      <c r="Q1" t="s">
        <v>72</v>
      </c>
      <c r="R1" t="s">
        <v>73</v>
      </c>
      <c r="S1" s="194" t="s">
        <v>74</v>
      </c>
      <c r="T1" s="195" t="s">
        <v>9</v>
      </c>
      <c r="U1" s="195" t="s">
        <v>88</v>
      </c>
      <c r="V1" s="195" t="s">
        <v>75</v>
      </c>
      <c r="W1" s="195" t="s">
        <v>76</v>
      </c>
      <c r="X1" s="195" t="s">
        <v>45</v>
      </c>
      <c r="Y1" s="195" t="s">
        <v>77</v>
      </c>
      <c r="Z1" s="195" t="s">
        <v>78</v>
      </c>
      <c r="AA1" s="195" t="s">
        <v>79</v>
      </c>
      <c r="AB1" s="195" t="s">
        <v>80</v>
      </c>
      <c r="AC1" s="195" t="s">
        <v>43</v>
      </c>
      <c r="AD1" t="s">
        <v>22</v>
      </c>
      <c r="AE1" t="s">
        <v>155</v>
      </c>
      <c r="AF1" t="s">
        <v>31</v>
      </c>
      <c r="AG1" t="s">
        <v>166</v>
      </c>
      <c r="AH1" t="s">
        <v>167</v>
      </c>
    </row>
    <row r="2" spans="2:34" x14ac:dyDescent="0.2">
      <c r="B2" s="37">
        <f>'Pulje 1'!B9</f>
        <v>2005008</v>
      </c>
      <c r="C2" t="str">
        <f>'Pulje 1'!C9</f>
        <v>79</v>
      </c>
      <c r="D2">
        <f>'Pulje 1'!D9</f>
        <v>72.64</v>
      </c>
      <c r="E2" t="str">
        <f>'Pulje 1'!E9</f>
        <v>JM</v>
      </c>
      <c r="F2" t="str">
        <f>'Pulje 1'!F9</f>
        <v>19-23</v>
      </c>
      <c r="G2" s="197">
        <f>'Pulje 1'!G9</f>
        <v>38415</v>
      </c>
      <c r="H2">
        <f>'Pulje 1'!H9</f>
        <v>0</v>
      </c>
      <c r="I2" t="str">
        <f>'Pulje 1'!I9</f>
        <v xml:space="preserve">Stefan Rønnevik </v>
      </c>
      <c r="J2" t="str">
        <f>'Pulje 1'!J9</f>
        <v>Tysvær VK</v>
      </c>
      <c r="K2">
        <f>'Pulje 1'!K9</f>
        <v>115</v>
      </c>
      <c r="L2">
        <f>'Pulje 1'!L9</f>
        <v>120</v>
      </c>
      <c r="M2">
        <f>'Pulje 1'!M9</f>
        <v>-125</v>
      </c>
      <c r="N2">
        <f>'Pulje 1'!N9</f>
        <v>-140</v>
      </c>
      <c r="O2">
        <f>'Pulje 1'!O9</f>
        <v>140</v>
      </c>
      <c r="P2">
        <f>'Pulje 1'!P9</f>
        <v>-152</v>
      </c>
      <c r="Q2">
        <f>'Pulje 1'!Q9</f>
        <v>120</v>
      </c>
      <c r="R2">
        <f>'Pulje 1'!R9</f>
        <v>140</v>
      </c>
      <c r="S2" s="194">
        <f>'Pulje 1'!S9</f>
        <v>260</v>
      </c>
      <c r="T2" s="195">
        <f>'Pulje 1'!T9</f>
        <v>351.54693450660056</v>
      </c>
      <c r="U2" s="195" t="str">
        <f>'Pulje 1'!U9</f>
        <v/>
      </c>
      <c r="V2" s="195">
        <f>'Pulje 1'!V9</f>
        <v>9.9</v>
      </c>
      <c r="W2" s="195">
        <f>'Pulje 1'!V10</f>
        <v>198</v>
      </c>
      <c r="X2" s="195">
        <f>'Pulje 1'!W9</f>
        <v>11.6</v>
      </c>
      <c r="Y2" s="195">
        <f>'Pulje 1'!W10</f>
        <v>156.8440169337141</v>
      </c>
      <c r="Z2" s="195">
        <f>'Pulje 1'!X9</f>
        <v>5.97</v>
      </c>
      <c r="AA2" s="195">
        <f>'Pulje 1'!X10</f>
        <v>160</v>
      </c>
      <c r="AB2" s="195">
        <f>'Pulje 1'!Y10</f>
        <v>514.8440169337141</v>
      </c>
      <c r="AC2" s="195">
        <f>'Pulje 1'!Z10</f>
        <v>936.70033834163473</v>
      </c>
      <c r="AD2">
        <f t="shared" ref="AD2:AD44" si="0">IF(ISBLANK(G2),"",DATEDIF(G2,StevneDato,"Y"))</f>
        <v>20</v>
      </c>
      <c r="AE2">
        <v>1</v>
      </c>
      <c r="AF2" s="195" t="str">
        <f>IFERROR(IF(FIND("K",TblResultater[[#This Row],[Kategori]])&gt;0,"K"),"M")</f>
        <v>M</v>
      </c>
      <c r="AG2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5</v>
      </c>
      <c r="AH2" s="195">
        <f>IFERROR(TblResultater[[#This Row],[SortKat]]+TblResultater[[#This Row],[5-kamp]]/10000,)</f>
        <v>5.0936700338341634</v>
      </c>
    </row>
    <row r="3" spans="2:34" x14ac:dyDescent="0.2">
      <c r="B3">
        <f>'Pulje 1'!B10</f>
        <v>0</v>
      </c>
      <c r="C3">
        <f>'Pulje 1'!C10</f>
        <v>0</v>
      </c>
      <c r="D3">
        <f>'Pulje 1'!D10</f>
        <v>0</v>
      </c>
      <c r="E3">
        <f>'Pulje 1'!E10</f>
        <v>0</v>
      </c>
      <c r="F3">
        <f>'Pulje 1'!F10</f>
        <v>0</v>
      </c>
      <c r="G3">
        <f>'Pulje 1'!G10</f>
        <v>0</v>
      </c>
      <c r="H3">
        <f>'Pulje 1'!H10</f>
        <v>0</v>
      </c>
      <c r="I3">
        <f>'Pulje 1'!I10</f>
        <v>0</v>
      </c>
      <c r="J3">
        <f>'Pulje 1'!J10</f>
        <v>0</v>
      </c>
      <c r="K3">
        <f>'Pulje 1'!K10</f>
        <v>0</v>
      </c>
      <c r="L3">
        <f>'Pulje 1'!L10</f>
        <v>0</v>
      </c>
      <c r="M3">
        <f>'Pulje 1'!M10</f>
        <v>0</v>
      </c>
      <c r="N3">
        <f>'Pulje 1'!N10</f>
        <v>0</v>
      </c>
      <c r="O3">
        <f>'Pulje 1'!O10</f>
        <v>0</v>
      </c>
      <c r="P3">
        <f>'Pulje 1'!P10</f>
        <v>0</v>
      </c>
      <c r="Q3">
        <f>'Pulje 1'!Q10</f>
        <v>0</v>
      </c>
      <c r="R3">
        <f>'Pulje 1'!R10</f>
        <v>0</v>
      </c>
      <c r="S3">
        <f>'Pulje 1'!S11</f>
        <v>279</v>
      </c>
      <c r="T3" s="195">
        <f>'Pulje 1'!T10</f>
        <v>0</v>
      </c>
      <c r="U3" s="195">
        <f>'Pulje 1'!U10</f>
        <v>0</v>
      </c>
      <c r="V3" s="195">
        <f>'Pulje 1'!V10</f>
        <v>198</v>
      </c>
      <c r="W3" s="195">
        <f>'Pulje 1'!V11</f>
        <v>9.1999999999999993</v>
      </c>
      <c r="X3" s="195">
        <f>'Pulje 1'!W10</f>
        <v>156.8440169337141</v>
      </c>
      <c r="Y3" s="195">
        <f>'Pulje 1'!W11</f>
        <v>14</v>
      </c>
      <c r="Z3" s="195">
        <f>'Pulje 1'!X10</f>
        <v>160</v>
      </c>
      <c r="AA3" s="195">
        <f>'Pulje 1'!X11</f>
        <v>6.25</v>
      </c>
      <c r="AB3" s="195">
        <f>'Pulje 1'!Y11</f>
        <v>0</v>
      </c>
      <c r="AC3" s="195">
        <f>'Pulje 1'!Z11</f>
        <v>0</v>
      </c>
      <c r="AD3">
        <f t="shared" si="0"/>
        <v>125</v>
      </c>
      <c r="AE3">
        <v>1</v>
      </c>
      <c r="AF3" s="195" t="str">
        <f>IFERROR(IF(FIND("K",TblResultater[[#This Row],[Kategori]])&gt;0,"K"),"M")</f>
        <v>M</v>
      </c>
      <c r="AG3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3" s="195">
        <f>IFERROR(TblResultater[[#This Row],[SortKat]]+TblResultater[[#This Row],[5-kamp]]/10000,)</f>
        <v>7</v>
      </c>
    </row>
    <row r="4" spans="2:34" x14ac:dyDescent="0.2">
      <c r="B4" s="37">
        <f>'Pulje 1'!B11</f>
        <v>2004016</v>
      </c>
      <c r="C4" t="str">
        <f>'Pulje 1'!C11</f>
        <v>110</v>
      </c>
      <c r="D4">
        <f>'Pulje 1'!D11</f>
        <v>106.33</v>
      </c>
      <c r="E4" t="str">
        <f>'Pulje 1'!E11</f>
        <v>SM</v>
      </c>
      <c r="F4" t="str">
        <f>'Pulje 1'!F11</f>
        <v>19-23</v>
      </c>
      <c r="G4" s="197">
        <f>'Pulje 1'!G11</f>
        <v>37993</v>
      </c>
      <c r="H4">
        <f>'Pulje 1'!H11</f>
        <v>0</v>
      </c>
      <c r="I4" t="str">
        <f>'Pulje 1'!I11</f>
        <v xml:space="preserve">Alexander Eide </v>
      </c>
      <c r="J4" t="str">
        <f>'Pulje 1'!J11</f>
        <v>Haugesund VK</v>
      </c>
      <c r="K4">
        <f>'Pulje 1'!K11</f>
        <v>123</v>
      </c>
      <c r="L4">
        <f>'Pulje 1'!L11</f>
        <v>127</v>
      </c>
      <c r="M4">
        <f>'Pulje 1'!M11</f>
        <v>-128</v>
      </c>
      <c r="N4">
        <f>'Pulje 1'!N11</f>
        <v>145</v>
      </c>
      <c r="O4">
        <f>'Pulje 1'!O11</f>
        <v>152</v>
      </c>
      <c r="P4">
        <f>'Pulje 1'!P11</f>
        <v>-154</v>
      </c>
      <c r="Q4">
        <f>'Pulje 1'!Q11</f>
        <v>127</v>
      </c>
      <c r="R4">
        <f>'Pulje 1'!R11</f>
        <v>152</v>
      </c>
      <c r="S4" s="194">
        <f>'Pulje 1'!S11</f>
        <v>279</v>
      </c>
      <c r="T4" s="195">
        <f>'Pulje 1'!T11</f>
        <v>312.29452890558724</v>
      </c>
      <c r="U4" s="195" t="str">
        <f>'Pulje 1'!U11</f>
        <v/>
      </c>
      <c r="V4" s="195">
        <f>'Pulje 1'!V11</f>
        <v>9.1999999999999993</v>
      </c>
      <c r="W4" s="195">
        <f>'Pulje 1'!V12</f>
        <v>184</v>
      </c>
      <c r="X4" s="195">
        <f>'Pulje 1'!W11</f>
        <v>14</v>
      </c>
      <c r="Y4" s="195">
        <f>'Pulje 1'!W12</f>
        <v>156.70693206731977</v>
      </c>
      <c r="Z4" s="195">
        <f>'Pulje 1'!X11</f>
        <v>6.25</v>
      </c>
      <c r="AA4" s="195">
        <f>'Pulje 1'!X12</f>
        <v>148</v>
      </c>
      <c r="AB4" s="195">
        <f>'Pulje 1'!Y12</f>
        <v>488.70693206731977</v>
      </c>
      <c r="AC4" s="195">
        <f>'Pulje 1'!Z12</f>
        <v>863.46036675402434</v>
      </c>
      <c r="AD4">
        <f t="shared" si="0"/>
        <v>21</v>
      </c>
      <c r="AE4">
        <v>1</v>
      </c>
      <c r="AF4" s="195" t="str">
        <f>IFERROR(IF(FIND("K",TblResultater[[#This Row],[Kategori]])&gt;0,"K"),"M")</f>
        <v>M</v>
      </c>
      <c r="AG4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5</v>
      </c>
      <c r="AH4" s="195">
        <f>IFERROR(TblResultater[[#This Row],[SortKat]]+TblResultater[[#This Row],[5-kamp]]/10000,)</f>
        <v>5.0863460366754021</v>
      </c>
    </row>
    <row r="5" spans="2:34" x14ac:dyDescent="0.2">
      <c r="B5">
        <f>'Pulje 1'!B12</f>
        <v>0</v>
      </c>
      <c r="C5">
        <f>'Pulje 1'!C12</f>
        <v>0</v>
      </c>
      <c r="D5">
        <f>'Pulje 1'!D12</f>
        <v>0</v>
      </c>
      <c r="E5">
        <f>'Pulje 1'!E12</f>
        <v>0</v>
      </c>
      <c r="F5">
        <f>'Pulje 1'!F12</f>
        <v>0</v>
      </c>
      <c r="G5">
        <f>'Pulje 1'!G12</f>
        <v>0</v>
      </c>
      <c r="H5">
        <f>'Pulje 1'!H12</f>
        <v>0</v>
      </c>
      <c r="I5">
        <f>'Pulje 1'!I12</f>
        <v>0</v>
      </c>
      <c r="J5">
        <f>'Pulje 1'!J12</f>
        <v>0</v>
      </c>
      <c r="K5">
        <f>'Pulje 1'!K12</f>
        <v>0</v>
      </c>
      <c r="L5">
        <f>'Pulje 1'!L12</f>
        <v>0</v>
      </c>
      <c r="M5">
        <f>'Pulje 1'!M12</f>
        <v>0</v>
      </c>
      <c r="N5">
        <f>'Pulje 1'!N12</f>
        <v>0</v>
      </c>
      <c r="O5">
        <f>'Pulje 1'!O12</f>
        <v>0</v>
      </c>
      <c r="P5">
        <f>'Pulje 1'!P12</f>
        <v>0</v>
      </c>
      <c r="Q5">
        <f>'Pulje 1'!Q12</f>
        <v>0</v>
      </c>
      <c r="R5">
        <f>'Pulje 1'!R12</f>
        <v>0</v>
      </c>
      <c r="S5">
        <f>'Pulje 1'!S13</f>
        <v>275</v>
      </c>
      <c r="T5" s="195">
        <f>'Pulje 1'!T12</f>
        <v>0</v>
      </c>
      <c r="U5" s="195">
        <f>'Pulje 1'!U12</f>
        <v>0</v>
      </c>
      <c r="V5" s="195">
        <f>'Pulje 1'!V12</f>
        <v>184</v>
      </c>
      <c r="W5" s="195">
        <f>'Pulje 1'!V13</f>
        <v>7.9</v>
      </c>
      <c r="X5" s="195">
        <f>'Pulje 1'!W12</f>
        <v>156.70693206731977</v>
      </c>
      <c r="Y5" s="195">
        <f>'Pulje 1'!W13</f>
        <v>11.15</v>
      </c>
      <c r="Z5" s="195">
        <f>'Pulje 1'!X12</f>
        <v>148</v>
      </c>
      <c r="AA5" s="195">
        <f>'Pulje 1'!X13</f>
        <v>6.59</v>
      </c>
      <c r="AB5" s="195">
        <f>'Pulje 1'!Y13</f>
        <v>0</v>
      </c>
      <c r="AC5" s="195">
        <f>'Pulje 1'!Z13</f>
        <v>0</v>
      </c>
      <c r="AD5">
        <f t="shared" si="0"/>
        <v>125</v>
      </c>
      <c r="AE5">
        <v>1</v>
      </c>
      <c r="AF5" s="195" t="str">
        <f>IFERROR(IF(FIND("K",TblResultater[[#This Row],[Kategori]])&gt;0,"K"),"M")</f>
        <v>M</v>
      </c>
      <c r="AG5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5" s="195">
        <f>IFERROR(TblResultater[[#This Row],[SortKat]]+TblResultater[[#This Row],[5-kamp]]/10000,)</f>
        <v>7</v>
      </c>
    </row>
    <row r="6" spans="2:34" x14ac:dyDescent="0.2">
      <c r="B6" s="37" t="str">
        <f>'Pulje 1'!B13</f>
        <v>2000007</v>
      </c>
      <c r="C6" t="str">
        <f>'Pulje 1'!C13</f>
        <v>+110</v>
      </c>
      <c r="D6">
        <f>'Pulje 1'!D13</f>
        <v>126.51</v>
      </c>
      <c r="E6" t="str">
        <f>'Pulje 1'!E13</f>
        <v>SM</v>
      </c>
      <c r="F6" t="str">
        <f>'Pulje 1'!F13</f>
        <v>24-34</v>
      </c>
      <c r="G6" s="197">
        <f>'Pulje 1'!G13</f>
        <v>36620</v>
      </c>
      <c r="H6">
        <f>'Pulje 1'!H13</f>
        <v>0</v>
      </c>
      <c r="I6" t="str">
        <f>'Pulje 1'!I13</f>
        <v>Hans Gunnar Kvadsheim</v>
      </c>
      <c r="J6" t="str">
        <f>'Pulje 1'!J13</f>
        <v>Vigrestad IK</v>
      </c>
      <c r="K6">
        <f>'Pulje 1'!K13</f>
        <v>-120</v>
      </c>
      <c r="L6">
        <f>'Pulje 1'!L13</f>
        <v>120</v>
      </c>
      <c r="M6">
        <f>'Pulje 1'!M13</f>
        <v>-126</v>
      </c>
      <c r="N6">
        <f>'Pulje 1'!N13</f>
        <v>150</v>
      </c>
      <c r="O6">
        <f>'Pulje 1'!O13</f>
        <v>155</v>
      </c>
      <c r="P6">
        <f>'Pulje 1'!P13</f>
        <v>-160</v>
      </c>
      <c r="Q6">
        <f>'Pulje 1'!Q13</f>
        <v>120</v>
      </c>
      <c r="R6">
        <f>'Pulje 1'!R13</f>
        <v>155</v>
      </c>
      <c r="S6" s="194">
        <f>'Pulje 1'!S13</f>
        <v>275</v>
      </c>
      <c r="T6" s="195">
        <f>'Pulje 1'!T13</f>
        <v>291.08241461765903</v>
      </c>
      <c r="U6" s="195" t="str">
        <f>'Pulje 1'!U13</f>
        <v/>
      </c>
      <c r="V6" s="195">
        <f>'Pulje 1'!V13</f>
        <v>7.9</v>
      </c>
      <c r="W6" s="195">
        <f>'Pulje 1'!V14</f>
        <v>158</v>
      </c>
      <c r="X6" s="195">
        <f>'Pulje 1'!W13</f>
        <v>11.15</v>
      </c>
      <c r="Y6" s="195">
        <f>'Pulje 1'!W14</f>
        <v>118.02068810861448</v>
      </c>
      <c r="Z6" s="195">
        <f>'Pulje 1'!X13</f>
        <v>6.59</v>
      </c>
      <c r="AA6" s="195">
        <f>'Pulje 1'!X14</f>
        <v>136</v>
      </c>
      <c r="AB6" s="195">
        <f>'Pulje 1'!Y14</f>
        <v>412.02068810861448</v>
      </c>
      <c r="AC6" s="195">
        <f>'Pulje 1'!Z14</f>
        <v>761.31958564980528</v>
      </c>
      <c r="AD6">
        <f t="shared" si="0"/>
        <v>25</v>
      </c>
      <c r="AE6">
        <v>1</v>
      </c>
      <c r="AF6" s="195" t="str">
        <f>IFERROR(IF(FIND("K",TblResultater[[#This Row],[Kategori]])&gt;0,"K"),"M")</f>
        <v>M</v>
      </c>
      <c r="AG6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6</v>
      </c>
      <c r="AH6" s="195">
        <f>IFERROR(TblResultater[[#This Row],[SortKat]]+TblResultater[[#This Row],[5-kamp]]/10000,)</f>
        <v>6.0761319585649805</v>
      </c>
    </row>
    <row r="7" spans="2:34" x14ac:dyDescent="0.2">
      <c r="B7">
        <f>'Pulje 1'!B14</f>
        <v>0</v>
      </c>
      <c r="C7">
        <f>'Pulje 1'!C14</f>
        <v>0</v>
      </c>
      <c r="D7">
        <f>'Pulje 1'!D14</f>
        <v>0</v>
      </c>
      <c r="E7">
        <f>'Pulje 1'!E14</f>
        <v>0</v>
      </c>
      <c r="F7">
        <f>'Pulje 1'!F14</f>
        <v>0</v>
      </c>
      <c r="G7">
        <f>'Pulje 1'!G14</f>
        <v>0</v>
      </c>
      <c r="H7">
        <f>'Pulje 1'!H14</f>
        <v>0</v>
      </c>
      <c r="I7">
        <f>'Pulje 1'!I14</f>
        <v>0</v>
      </c>
      <c r="J7">
        <f>'Pulje 1'!J14</f>
        <v>0</v>
      </c>
      <c r="K7">
        <f>'Pulje 1'!K14</f>
        <v>0</v>
      </c>
      <c r="L7">
        <f>'Pulje 1'!L14</f>
        <v>0</v>
      </c>
      <c r="M7">
        <f>'Pulje 1'!M14</f>
        <v>0</v>
      </c>
      <c r="N7">
        <f>'Pulje 1'!N14</f>
        <v>0</v>
      </c>
      <c r="O7">
        <f>'Pulje 1'!O14</f>
        <v>0</v>
      </c>
      <c r="P7">
        <f>'Pulje 1'!P14</f>
        <v>0</v>
      </c>
      <c r="Q7">
        <f>'Pulje 1'!Q14</f>
        <v>0</v>
      </c>
      <c r="R7">
        <f>'Pulje 1'!R14</f>
        <v>0</v>
      </c>
      <c r="S7">
        <f>'Pulje 1'!S15</f>
        <v>231</v>
      </c>
      <c r="T7" s="195">
        <f>'Pulje 1'!T14</f>
        <v>0</v>
      </c>
      <c r="U7" s="195">
        <f>'Pulje 1'!U14</f>
        <v>0</v>
      </c>
      <c r="V7" s="195">
        <f>'Pulje 1'!V14</f>
        <v>158</v>
      </c>
      <c r="W7" s="195">
        <f>'Pulje 1'!V15</f>
        <v>7.95</v>
      </c>
      <c r="X7" s="195">
        <f>'Pulje 1'!W14</f>
        <v>118.02068810861448</v>
      </c>
      <c r="Y7" s="195">
        <f>'Pulje 1'!W15</f>
        <v>13.6</v>
      </c>
      <c r="Z7" s="195">
        <f>'Pulje 1'!X14</f>
        <v>136</v>
      </c>
      <c r="AA7" s="195">
        <f>'Pulje 1'!X15</f>
        <v>6.09</v>
      </c>
      <c r="AB7" s="195">
        <f>'Pulje 1'!Y15</f>
        <v>0</v>
      </c>
      <c r="AC7" s="195">
        <f>'Pulje 1'!Z15</f>
        <v>0</v>
      </c>
      <c r="AD7">
        <f t="shared" si="0"/>
        <v>125</v>
      </c>
      <c r="AE7">
        <v>1</v>
      </c>
      <c r="AF7" s="195" t="str">
        <f>IFERROR(IF(FIND("K",TblResultater[[#This Row],[Kategori]])&gt;0,"K"),"M")</f>
        <v>M</v>
      </c>
      <c r="AG7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7" s="195">
        <f>IFERROR(TblResultater[[#This Row],[SortKat]]+TblResultater[[#This Row],[5-kamp]]/10000,)</f>
        <v>7</v>
      </c>
    </row>
    <row r="8" spans="2:34" x14ac:dyDescent="0.2">
      <c r="B8" s="37" t="str">
        <f>'Pulje 1'!B15</f>
        <v>1999034</v>
      </c>
      <c r="C8" t="str">
        <f>'Pulje 1'!C15</f>
        <v>110</v>
      </c>
      <c r="D8">
        <f>'Pulje 1'!D15</f>
        <v>95.3</v>
      </c>
      <c r="E8" t="str">
        <f>'Pulje 1'!E15</f>
        <v>SM</v>
      </c>
      <c r="F8" t="str">
        <f>'Pulje 1'!F15</f>
        <v>24-34</v>
      </c>
      <c r="G8" s="197">
        <f>'Pulje 1'!G15</f>
        <v>36508</v>
      </c>
      <c r="H8">
        <f>'Pulje 1'!H15</f>
        <v>0</v>
      </c>
      <c r="I8" t="str">
        <f>'Pulje 1'!I15</f>
        <v xml:space="preserve">Sindre Rød Torsteinsen </v>
      </c>
      <c r="J8" t="str">
        <f>'Pulje 1'!J15</f>
        <v>Tysvær VK</v>
      </c>
      <c r="K8">
        <f>'Pulje 1'!K15</f>
        <v>93</v>
      </c>
      <c r="L8">
        <f>'Pulje 1'!L15</f>
        <v>98</v>
      </c>
      <c r="M8">
        <f>'Pulje 1'!M15</f>
        <v>-102</v>
      </c>
      <c r="N8">
        <f>'Pulje 1'!N15</f>
        <v>125</v>
      </c>
      <c r="O8">
        <f>'Pulje 1'!O15</f>
        <v>131</v>
      </c>
      <c r="P8">
        <f>'Pulje 1'!P15</f>
        <v>133</v>
      </c>
      <c r="Q8">
        <f>'Pulje 1'!Q15</f>
        <v>98</v>
      </c>
      <c r="R8">
        <f>'Pulje 1'!R15</f>
        <v>133</v>
      </c>
      <c r="S8" s="194">
        <f>'Pulje 1'!S15</f>
        <v>231</v>
      </c>
      <c r="T8" s="195">
        <f>'Pulje 1'!T15</f>
        <v>270.45912094654932</v>
      </c>
      <c r="U8" s="195" t="str">
        <f>'Pulje 1'!U15</f>
        <v/>
      </c>
      <c r="V8" s="195">
        <f>'Pulje 1'!V15</f>
        <v>7.95</v>
      </c>
      <c r="W8" s="195">
        <f>'Pulje 1'!V16</f>
        <v>159</v>
      </c>
      <c r="X8" s="195">
        <f>'Pulje 1'!W15</f>
        <v>13.6</v>
      </c>
      <c r="Y8" s="195">
        <f>'Pulje 1'!W16</f>
        <v>159.23134393389918</v>
      </c>
      <c r="Z8" s="195">
        <f>'Pulje 1'!X15</f>
        <v>6.09</v>
      </c>
      <c r="AA8" s="195">
        <f>'Pulje 1'!X16</f>
        <v>156</v>
      </c>
      <c r="AB8" s="195">
        <f>'Pulje 1'!Y16</f>
        <v>474.23134393389921</v>
      </c>
      <c r="AC8" s="195">
        <f>'Pulje 1'!Z16</f>
        <v>798.78228906975835</v>
      </c>
      <c r="AD8">
        <f t="shared" si="0"/>
        <v>25</v>
      </c>
      <c r="AE8">
        <v>1</v>
      </c>
      <c r="AF8" s="195" t="str">
        <f>IFERROR(IF(FIND("K",TblResultater[[#This Row],[Kategori]])&gt;0,"K"),"M")</f>
        <v>M</v>
      </c>
      <c r="AG8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6</v>
      </c>
      <c r="AH8" s="195">
        <f>IFERROR(TblResultater[[#This Row],[SortKat]]+TblResultater[[#This Row],[5-kamp]]/10000,)</f>
        <v>6.0798782289069759</v>
      </c>
    </row>
    <row r="9" spans="2:34" x14ac:dyDescent="0.2">
      <c r="B9">
        <f>'Pulje 1'!B16</f>
        <v>0</v>
      </c>
      <c r="C9">
        <f>'Pulje 1'!C16</f>
        <v>0</v>
      </c>
      <c r="D9">
        <f>'Pulje 1'!D16</f>
        <v>0</v>
      </c>
      <c r="E9">
        <f>'Pulje 1'!E16</f>
        <v>0</v>
      </c>
      <c r="F9">
        <f>'Pulje 1'!F16</f>
        <v>0</v>
      </c>
      <c r="G9">
        <f>'Pulje 1'!G16</f>
        <v>0</v>
      </c>
      <c r="H9">
        <f>'Pulje 1'!H16</f>
        <v>0</v>
      </c>
      <c r="I9">
        <f>'Pulje 1'!I16</f>
        <v>0</v>
      </c>
      <c r="J9">
        <f>'Pulje 1'!J16</f>
        <v>0</v>
      </c>
      <c r="K9">
        <f>'Pulje 1'!K16</f>
        <v>0</v>
      </c>
      <c r="L9">
        <f>'Pulje 1'!L16</f>
        <v>0</v>
      </c>
      <c r="M9">
        <f>'Pulje 1'!M16</f>
        <v>0</v>
      </c>
      <c r="N9">
        <f>'Pulje 1'!N16</f>
        <v>0</v>
      </c>
      <c r="O9">
        <f>'Pulje 1'!O16</f>
        <v>0</v>
      </c>
      <c r="P9">
        <f>'Pulje 1'!P16</f>
        <v>0</v>
      </c>
      <c r="Q9">
        <f>'Pulje 1'!Q16</f>
        <v>0</v>
      </c>
      <c r="R9">
        <f>'Pulje 1'!R16</f>
        <v>0</v>
      </c>
      <c r="S9">
        <f>'Pulje 1'!S17</f>
        <v>249</v>
      </c>
      <c r="T9" s="195">
        <f>'Pulje 1'!T16</f>
        <v>0</v>
      </c>
      <c r="U9" s="195">
        <f>'Pulje 1'!U16</f>
        <v>0</v>
      </c>
      <c r="V9" s="195">
        <f>'Pulje 1'!V16</f>
        <v>159</v>
      </c>
      <c r="W9" s="195">
        <f>'Pulje 1'!V17</f>
        <v>0</v>
      </c>
      <c r="X9" s="195">
        <f>'Pulje 1'!W16</f>
        <v>159.23134393389918</v>
      </c>
      <c r="Y9" s="195">
        <f>'Pulje 1'!W17</f>
        <v>0</v>
      </c>
      <c r="Z9" s="195">
        <f>'Pulje 1'!X16</f>
        <v>156</v>
      </c>
      <c r="AA9" s="195">
        <f>'Pulje 1'!X17</f>
        <v>0</v>
      </c>
      <c r="AB9" s="195">
        <f>'Pulje 1'!Y17</f>
        <v>0</v>
      </c>
      <c r="AC9" s="195">
        <f>'Pulje 1'!Z17</f>
        <v>0</v>
      </c>
      <c r="AD9">
        <f t="shared" si="0"/>
        <v>125</v>
      </c>
      <c r="AE9">
        <v>1</v>
      </c>
      <c r="AF9" s="195" t="str">
        <f>IFERROR(IF(FIND("K",TblResultater[[#This Row],[Kategori]])&gt;0,"K"),"M")</f>
        <v>M</v>
      </c>
      <c r="AG9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9" s="195">
        <f>IFERROR(TblResultater[[#This Row],[SortKat]]+TblResultater[[#This Row],[5-kamp]]/10000,)</f>
        <v>7</v>
      </c>
    </row>
    <row r="10" spans="2:34" x14ac:dyDescent="0.2">
      <c r="B10" s="37" t="str">
        <f>'Pulje 1'!B17</f>
        <v>1991016</v>
      </c>
      <c r="C10" t="str">
        <f>'Pulje 1'!C17</f>
        <v>110</v>
      </c>
      <c r="D10">
        <f>'Pulje 1'!D17</f>
        <v>106.41</v>
      </c>
      <c r="E10" t="str">
        <f>'Pulje 1'!E17</f>
        <v>SM</v>
      </c>
      <c r="F10" t="str">
        <f>'Pulje 1'!F17</f>
        <v>24-34</v>
      </c>
      <c r="G10" s="197">
        <f>'Pulje 1'!G17</f>
        <v>33559</v>
      </c>
      <c r="H10">
        <f>'Pulje 1'!H17</f>
        <v>0</v>
      </c>
      <c r="I10" t="str">
        <f>'Pulje 1'!I17</f>
        <v>Tord Gravdal</v>
      </c>
      <c r="J10" t="str">
        <f>'Pulje 1'!J17</f>
        <v>Vigrestad IK</v>
      </c>
      <c r="K10">
        <f>'Pulje 1'!K17</f>
        <v>100</v>
      </c>
      <c r="L10">
        <f>'Pulje 1'!L17</f>
        <v>104</v>
      </c>
      <c r="M10">
        <f>'Pulje 1'!M17</f>
        <v>107</v>
      </c>
      <c r="N10">
        <f>'Pulje 1'!N17</f>
        <v>134</v>
      </c>
      <c r="O10">
        <f>'Pulje 1'!O17</f>
        <v>138</v>
      </c>
      <c r="P10">
        <f>'Pulje 1'!P17</f>
        <v>142</v>
      </c>
      <c r="Q10">
        <f>'Pulje 1'!Q17</f>
        <v>107</v>
      </c>
      <c r="R10">
        <f>'Pulje 1'!R17</f>
        <v>142</v>
      </c>
      <c r="S10" s="194">
        <f>'Pulje 1'!S17</f>
        <v>249</v>
      </c>
      <c r="T10" s="195">
        <f>'Pulje 1'!T17</f>
        <v>278.63566850897695</v>
      </c>
      <c r="U10" s="195" t="str">
        <f>'Pulje 1'!U17</f>
        <v/>
      </c>
      <c r="V10" s="195">
        <f>'Pulje 1'!V17</f>
        <v>0</v>
      </c>
      <c r="W10" s="195" t="str">
        <f>'Pulje 1'!V18</f>
        <v/>
      </c>
      <c r="X10" s="195">
        <f>'Pulje 1'!W17</f>
        <v>0</v>
      </c>
      <c r="Y10" s="195" t="str">
        <f>'Pulje 1'!W18</f>
        <v/>
      </c>
      <c r="Z10" s="195">
        <f>'Pulje 1'!X17</f>
        <v>0</v>
      </c>
      <c r="AA10" s="195" t="str">
        <f>'Pulje 1'!X18</f>
        <v/>
      </c>
      <c r="AB10" s="195" t="str">
        <f>'Pulje 1'!Y18</f>
        <v/>
      </c>
      <c r="AC10" s="195" t="str">
        <f>'Pulje 1'!Z18</f>
        <v/>
      </c>
      <c r="AD10">
        <f t="shared" si="0"/>
        <v>33</v>
      </c>
      <c r="AE10">
        <v>1</v>
      </c>
      <c r="AF10" s="195" t="str">
        <f>IFERROR(IF(FIND("K",TblResultater[[#This Row],[Kategori]])&gt;0,"K"),"M")</f>
        <v>M</v>
      </c>
      <c r="AG10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6</v>
      </c>
      <c r="AH10" s="195">
        <f>IFERROR(TblResultater[[#This Row],[SortKat]]+TblResultater[[#This Row],[5-kamp]]/10000,)</f>
        <v>0</v>
      </c>
    </row>
    <row r="11" spans="2:34" x14ac:dyDescent="0.2">
      <c r="B11">
        <f>'Pulje 1'!B18</f>
        <v>0</v>
      </c>
      <c r="C11">
        <f>'Pulje 1'!C18</f>
        <v>0</v>
      </c>
      <c r="D11">
        <f>'Pulje 1'!D18</f>
        <v>0</v>
      </c>
      <c r="E11">
        <f>'Pulje 1'!E18</f>
        <v>0</v>
      </c>
      <c r="F11">
        <f>'Pulje 1'!F18</f>
        <v>0</v>
      </c>
      <c r="G11">
        <f>'Pulje 1'!G18</f>
        <v>0</v>
      </c>
      <c r="H11">
        <f>'Pulje 1'!H18</f>
        <v>0</v>
      </c>
      <c r="I11">
        <f>'Pulje 1'!I18</f>
        <v>0</v>
      </c>
      <c r="J11">
        <f>'Pulje 1'!J18</f>
        <v>0</v>
      </c>
      <c r="K11">
        <f>'Pulje 1'!K18</f>
        <v>0</v>
      </c>
      <c r="L11">
        <f>'Pulje 1'!L18</f>
        <v>0</v>
      </c>
      <c r="M11">
        <f>'Pulje 1'!M18</f>
        <v>0</v>
      </c>
      <c r="N11">
        <f>'Pulje 1'!N18</f>
        <v>0</v>
      </c>
      <c r="O11">
        <f>'Pulje 1'!O18</f>
        <v>0</v>
      </c>
      <c r="P11">
        <f>'Pulje 1'!P18</f>
        <v>0</v>
      </c>
      <c r="Q11">
        <f>'Pulje 1'!Q18</f>
        <v>0</v>
      </c>
      <c r="R11">
        <f>'Pulje 1'!R18</f>
        <v>0</v>
      </c>
      <c r="S11">
        <f>'Pulje 1'!S19</f>
        <v>200</v>
      </c>
      <c r="T11" s="195">
        <f>'Pulje 1'!T18</f>
        <v>0</v>
      </c>
      <c r="U11" s="195">
        <f>'Pulje 1'!U18</f>
        <v>0</v>
      </c>
      <c r="V11" s="195" t="str">
        <f>'Pulje 1'!V18</f>
        <v/>
      </c>
      <c r="W11" s="195">
        <f>'Pulje 1'!V19</f>
        <v>9.1</v>
      </c>
      <c r="X11" s="195" t="str">
        <f>'Pulje 1'!W18</f>
        <v/>
      </c>
      <c r="Y11" s="195">
        <f>'Pulje 1'!W19</f>
        <v>12.1</v>
      </c>
      <c r="Z11" s="195" t="str">
        <f>'Pulje 1'!X18</f>
        <v/>
      </c>
      <c r="AA11" s="195">
        <f>'Pulje 1'!X19</f>
        <v>6.09</v>
      </c>
      <c r="AB11" s="195">
        <f>'Pulje 1'!Y19</f>
        <v>0</v>
      </c>
      <c r="AC11" s="195">
        <f>'Pulje 1'!Z19</f>
        <v>0</v>
      </c>
      <c r="AD11">
        <f t="shared" si="0"/>
        <v>125</v>
      </c>
      <c r="AE11">
        <v>1</v>
      </c>
      <c r="AF11" s="195" t="str">
        <f>IFERROR(IF(FIND("K",TblResultater[[#This Row],[Kategori]])&gt;0,"K"),"M")</f>
        <v>M</v>
      </c>
      <c r="AG11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11" s="195">
        <f>IFERROR(TblResultater[[#This Row],[SortKat]]+TblResultater[[#This Row],[5-kamp]]/10000,)</f>
        <v>7</v>
      </c>
    </row>
    <row r="12" spans="2:34" x14ac:dyDescent="0.2">
      <c r="B12" s="37" t="str">
        <f>'Pulje 1'!B19</f>
        <v>1988026</v>
      </c>
      <c r="C12" t="str">
        <f>'Pulje 1'!C19</f>
        <v>88</v>
      </c>
      <c r="D12">
        <f>'Pulje 1'!D19</f>
        <v>85.98</v>
      </c>
      <c r="E12" t="str">
        <f>'Pulje 1'!E19</f>
        <v>M35</v>
      </c>
      <c r="F12" t="str">
        <f>'Pulje 1'!F19</f>
        <v>+35</v>
      </c>
      <c r="G12" s="197">
        <f>'Pulje 1'!G19</f>
        <v>32489</v>
      </c>
      <c r="H12">
        <f>'Pulje 1'!H19</f>
        <v>0</v>
      </c>
      <c r="I12" t="str">
        <f>'Pulje 1'!I19</f>
        <v xml:space="preserve">Helge Eikeskog </v>
      </c>
      <c r="J12" t="str">
        <f>'Pulje 1'!J19</f>
        <v>Tysvær VK</v>
      </c>
      <c r="K12">
        <f>'Pulje 1'!K19</f>
        <v>85</v>
      </c>
      <c r="L12">
        <f>'Pulje 1'!L19</f>
        <v>90</v>
      </c>
      <c r="M12">
        <f>'Pulje 1'!M19</f>
        <v>-93</v>
      </c>
      <c r="N12">
        <f>'Pulje 1'!N19</f>
        <v>110</v>
      </c>
      <c r="O12">
        <f>'Pulje 1'!O19</f>
        <v>-117</v>
      </c>
      <c r="P12">
        <f>'Pulje 1'!P19</f>
        <v>-120</v>
      </c>
      <c r="Q12">
        <f>'Pulje 1'!Q19</f>
        <v>90</v>
      </c>
      <c r="R12">
        <f>'Pulje 1'!R19</f>
        <v>110</v>
      </c>
      <c r="S12" s="194">
        <f>'Pulje 1'!S19</f>
        <v>200</v>
      </c>
      <c r="T12" s="195">
        <f>'Pulje 1'!T19</f>
        <v>245.95297243878656</v>
      </c>
      <c r="U12" s="195">
        <f>'Pulje 1'!U19</f>
        <v>269.5644577929101</v>
      </c>
      <c r="V12" s="195">
        <f>'Pulje 1'!V19</f>
        <v>9.1</v>
      </c>
      <c r="W12" s="195">
        <f>'Pulje 1'!V20</f>
        <v>182</v>
      </c>
      <c r="X12" s="195">
        <f>'Pulje 1'!W19</f>
        <v>12.1</v>
      </c>
      <c r="Y12" s="195">
        <f>'Pulje 1'!W20</f>
        <v>148.80154832546586</v>
      </c>
      <c r="Z12" s="195">
        <f>'Pulje 1'!X19</f>
        <v>6.09</v>
      </c>
      <c r="AA12" s="195">
        <f>'Pulje 1'!X20</f>
        <v>156</v>
      </c>
      <c r="AB12" s="195">
        <f>'Pulje 1'!Y20</f>
        <v>486.80154832546589</v>
      </c>
      <c r="AC12" s="195">
        <f>'Pulje 1'!Z20</f>
        <v>857.01184631620276</v>
      </c>
      <c r="AD12">
        <f t="shared" si="0"/>
        <v>36</v>
      </c>
      <c r="AE12">
        <v>1</v>
      </c>
      <c r="AF12" s="195" t="str">
        <f>IFERROR(IF(FIND("K",TblResultater[[#This Row],[Kategori]])&gt;0,"K"),"M")</f>
        <v>M</v>
      </c>
      <c r="AG12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12" s="195">
        <f>IFERROR(TblResultater[[#This Row],[SortKat]]+TblResultater[[#This Row],[5-kamp]]/10000,)</f>
        <v>7.0857011846316205</v>
      </c>
    </row>
    <row r="13" spans="2:34" x14ac:dyDescent="0.2">
      <c r="B13">
        <f>'Pulje 1'!B20</f>
        <v>0</v>
      </c>
      <c r="C13">
        <f>'Pulje 1'!C20</f>
        <v>0</v>
      </c>
      <c r="D13">
        <f>'Pulje 1'!D20</f>
        <v>0</v>
      </c>
      <c r="E13">
        <f>'Pulje 1'!E20</f>
        <v>0</v>
      </c>
      <c r="F13">
        <f>'Pulje 1'!F20</f>
        <v>0</v>
      </c>
      <c r="G13">
        <f>'Pulje 1'!G20</f>
        <v>0</v>
      </c>
      <c r="H13">
        <f>'Pulje 1'!H20</f>
        <v>0</v>
      </c>
      <c r="I13">
        <f>'Pulje 1'!I20</f>
        <v>0</v>
      </c>
      <c r="J13">
        <f>'Pulje 1'!J20</f>
        <v>0</v>
      </c>
      <c r="K13">
        <f>'Pulje 1'!K20</f>
        <v>0</v>
      </c>
      <c r="L13">
        <f>'Pulje 1'!L20</f>
        <v>0</v>
      </c>
      <c r="M13">
        <f>'Pulje 1'!M20</f>
        <v>0</v>
      </c>
      <c r="N13">
        <f>'Pulje 1'!N20</f>
        <v>0</v>
      </c>
      <c r="O13">
        <f>'Pulje 1'!O20</f>
        <v>0</v>
      </c>
      <c r="P13">
        <f>'Pulje 1'!P20</f>
        <v>0</v>
      </c>
      <c r="Q13">
        <f>'Pulje 1'!Q20</f>
        <v>0</v>
      </c>
      <c r="R13">
        <f>'Pulje 1'!R20</f>
        <v>0</v>
      </c>
      <c r="S13">
        <f>'Pulje 1'!S21</f>
        <v>170</v>
      </c>
      <c r="T13" s="195">
        <f>'Pulje 1'!T20</f>
        <v>0</v>
      </c>
      <c r="U13" s="195">
        <f>'Pulje 1'!U20</f>
        <v>0</v>
      </c>
      <c r="V13" s="195">
        <f>'Pulje 1'!V20</f>
        <v>182</v>
      </c>
      <c r="W13" s="195">
        <f>'Pulje 1'!V21</f>
        <v>7.8</v>
      </c>
      <c r="X13" s="195">
        <f>'Pulje 1'!W20</f>
        <v>148.80154832546586</v>
      </c>
      <c r="Y13" s="195">
        <f>'Pulje 1'!W21</f>
        <v>11.4</v>
      </c>
      <c r="Z13" s="195">
        <f>'Pulje 1'!X20</f>
        <v>156</v>
      </c>
      <c r="AA13" s="195">
        <f>'Pulje 1'!X21</f>
        <v>6.75</v>
      </c>
      <c r="AB13" s="195">
        <f>'Pulje 1'!Y21</f>
        <v>0</v>
      </c>
      <c r="AC13" s="195">
        <f>'Pulje 1'!Z21</f>
        <v>0</v>
      </c>
      <c r="AD13">
        <f t="shared" si="0"/>
        <v>125</v>
      </c>
      <c r="AE13">
        <v>1</v>
      </c>
      <c r="AF13" s="195" t="str">
        <f>IFERROR(IF(FIND("K",TblResultater[[#This Row],[Kategori]])&gt;0,"K"),"M")</f>
        <v>M</v>
      </c>
      <c r="AG13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13" s="195">
        <f>IFERROR(TblResultater[[#This Row],[SortKat]]+TblResultater[[#This Row],[5-kamp]]/10000,)</f>
        <v>7</v>
      </c>
    </row>
    <row r="14" spans="2:34" x14ac:dyDescent="0.2">
      <c r="B14" s="37" t="str">
        <f>'Pulje 1'!B21</f>
        <v>1979011</v>
      </c>
      <c r="C14" t="str">
        <f>'Pulje 1'!C21</f>
        <v>88</v>
      </c>
      <c r="D14">
        <f>'Pulje 1'!D21</f>
        <v>86.79</v>
      </c>
      <c r="E14" t="str">
        <f>'Pulje 1'!E21</f>
        <v>M45</v>
      </c>
      <c r="F14" t="str">
        <f>'Pulje 1'!F21</f>
        <v>+35</v>
      </c>
      <c r="G14" s="197">
        <f>'Pulje 1'!G21</f>
        <v>28941</v>
      </c>
      <c r="H14">
        <f>'Pulje 1'!H21</f>
        <v>0</v>
      </c>
      <c r="I14" t="str">
        <f>'Pulje 1'!I21</f>
        <v xml:space="preserve">Yngve Sundt </v>
      </c>
      <c r="J14" t="str">
        <f>'Pulje 1'!J21</f>
        <v>Stavanger AK</v>
      </c>
      <c r="K14">
        <f>'Pulje 1'!K21</f>
        <v>70</v>
      </c>
      <c r="L14">
        <f>'Pulje 1'!L21</f>
        <v>75</v>
      </c>
      <c r="M14">
        <f>'Pulje 1'!M21</f>
        <v>-80</v>
      </c>
      <c r="N14">
        <f>'Pulje 1'!N21</f>
        <v>90</v>
      </c>
      <c r="O14">
        <f>'Pulje 1'!O21</f>
        <v>95</v>
      </c>
      <c r="P14">
        <f>'Pulje 1'!P21</f>
        <v>-105</v>
      </c>
      <c r="Q14">
        <f>'Pulje 1'!Q21</f>
        <v>75</v>
      </c>
      <c r="R14">
        <f>'Pulje 1'!R21</f>
        <v>95</v>
      </c>
      <c r="S14" s="194">
        <f>'Pulje 1'!S21</f>
        <v>170</v>
      </c>
      <c r="T14" s="195">
        <f>'Pulje 1'!T21</f>
        <v>208.06920972612869</v>
      </c>
      <c r="U14" s="195">
        <f>'Pulje 1'!U21</f>
        <v>253.42829744642475</v>
      </c>
      <c r="V14" s="195">
        <f>'Pulje 1'!V21</f>
        <v>7.8</v>
      </c>
      <c r="W14" s="195">
        <f>'Pulje 1'!V22</f>
        <v>156</v>
      </c>
      <c r="X14" s="195">
        <f>'Pulje 1'!W21</f>
        <v>11.4</v>
      </c>
      <c r="Y14" s="195">
        <f>'Pulje 1'!W22</f>
        <v>139.52876416928629</v>
      </c>
      <c r="Z14" s="195">
        <f>'Pulje 1'!X21</f>
        <v>6.75</v>
      </c>
      <c r="AA14" s="195">
        <f>'Pulje 1'!X22</f>
        <v>128</v>
      </c>
      <c r="AB14" s="195">
        <f>'Pulje 1'!Y22</f>
        <v>423.52876416928632</v>
      </c>
      <c r="AC14" s="195">
        <f>'Pulje 1'!Z22</f>
        <v>819.97199169390035</v>
      </c>
      <c r="AD14">
        <f t="shared" si="0"/>
        <v>46</v>
      </c>
      <c r="AE14">
        <v>1</v>
      </c>
      <c r="AF14" s="195" t="str">
        <f>IFERROR(IF(FIND("K",TblResultater[[#This Row],[Kategori]])&gt;0,"K"),"M")</f>
        <v>M</v>
      </c>
      <c r="AG14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14" s="195">
        <f>IFERROR(TblResultater[[#This Row],[SortKat]]+TblResultater[[#This Row],[5-kamp]]/10000,)</f>
        <v>7.0819971991693897</v>
      </c>
    </row>
    <row r="15" spans="2:34" x14ac:dyDescent="0.2">
      <c r="B15">
        <f>'Pulje 1'!B22</f>
        <v>0</v>
      </c>
      <c r="C15">
        <f>'Pulje 1'!C22</f>
        <v>0</v>
      </c>
      <c r="D15">
        <f>'Pulje 1'!D22</f>
        <v>0</v>
      </c>
      <c r="E15">
        <f>'Pulje 1'!E22</f>
        <v>0</v>
      </c>
      <c r="F15">
        <f>'Pulje 1'!F22</f>
        <v>0</v>
      </c>
      <c r="G15">
        <f>'Pulje 1'!G22</f>
        <v>0</v>
      </c>
      <c r="H15">
        <f>'Pulje 1'!H22</f>
        <v>0</v>
      </c>
      <c r="I15">
        <f>'Pulje 1'!I22</f>
        <v>0</v>
      </c>
      <c r="J15">
        <f>'Pulje 1'!J22</f>
        <v>0</v>
      </c>
      <c r="K15">
        <f>'Pulje 1'!K22</f>
        <v>0</v>
      </c>
      <c r="L15">
        <f>'Pulje 1'!L22</f>
        <v>0</v>
      </c>
      <c r="M15">
        <f>'Pulje 1'!M22</f>
        <v>0</v>
      </c>
      <c r="N15">
        <f>'Pulje 1'!N22</f>
        <v>0</v>
      </c>
      <c r="O15">
        <f>'Pulje 1'!O22</f>
        <v>0</v>
      </c>
      <c r="P15">
        <f>'Pulje 1'!P22</f>
        <v>0</v>
      </c>
      <c r="Q15">
        <f>'Pulje 1'!Q22</f>
        <v>0</v>
      </c>
      <c r="R15">
        <f>'Pulje 1'!R22</f>
        <v>0</v>
      </c>
      <c r="S15">
        <f>'Pulje 1'!S23</f>
        <v>116</v>
      </c>
      <c r="T15" s="195">
        <f>'Pulje 1'!T22</f>
        <v>0</v>
      </c>
      <c r="U15" s="195">
        <f>'Pulje 1'!U22</f>
        <v>0</v>
      </c>
      <c r="V15" s="195">
        <f>'Pulje 1'!V22</f>
        <v>156</v>
      </c>
      <c r="W15" s="195">
        <f>'Pulje 1'!V23</f>
        <v>0</v>
      </c>
      <c r="X15" s="195">
        <f>'Pulje 1'!W22</f>
        <v>139.52876416928629</v>
      </c>
      <c r="Y15" s="195">
        <f>'Pulje 1'!W23</f>
        <v>0</v>
      </c>
      <c r="Z15" s="195">
        <f>'Pulje 1'!X22</f>
        <v>128</v>
      </c>
      <c r="AA15" s="195">
        <f>'Pulje 1'!X23</f>
        <v>7.43</v>
      </c>
      <c r="AB15" s="195">
        <f>'Pulje 1'!Y23</f>
        <v>0</v>
      </c>
      <c r="AC15" s="195">
        <f>'Pulje 1'!Z23</f>
        <v>0</v>
      </c>
      <c r="AD15">
        <f t="shared" si="0"/>
        <v>125</v>
      </c>
      <c r="AE15">
        <v>1</v>
      </c>
      <c r="AF15" s="195" t="str">
        <f>IFERROR(IF(FIND("K",TblResultater[[#This Row],[Kategori]])&gt;0,"K"),"M")</f>
        <v>M</v>
      </c>
      <c r="AG15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15" s="195">
        <f>IFERROR(TblResultater[[#This Row],[SortKat]]+TblResultater[[#This Row],[5-kamp]]/10000,)</f>
        <v>7</v>
      </c>
    </row>
    <row r="16" spans="2:34" x14ac:dyDescent="0.2">
      <c r="B16" s="37" t="str">
        <f>'Pulje 1'!B23</f>
        <v>1976013</v>
      </c>
      <c r="C16" t="str">
        <f>'Pulje 1'!C23</f>
        <v>88</v>
      </c>
      <c r="D16">
        <f>'Pulje 1'!D23</f>
        <v>83.63</v>
      </c>
      <c r="E16" t="str">
        <f>'Pulje 1'!E23</f>
        <v>M45</v>
      </c>
      <c r="F16" t="str">
        <f>'Pulje 1'!F23</f>
        <v>+35</v>
      </c>
      <c r="G16" s="197">
        <f>'Pulje 1'!G23</f>
        <v>27987</v>
      </c>
      <c r="H16">
        <f>'Pulje 1'!H23</f>
        <v>0</v>
      </c>
      <c r="I16" t="str">
        <f>'Pulje 1'!I23</f>
        <v xml:space="preserve">Vidar Leithe Sandvik </v>
      </c>
      <c r="J16" t="str">
        <f>'Pulje 1'!J23</f>
        <v>Tysvær VK</v>
      </c>
      <c r="K16">
        <f>'Pulje 1'!K23</f>
        <v>50</v>
      </c>
      <c r="L16">
        <f>'Pulje 1'!L23</f>
        <v>-55</v>
      </c>
      <c r="M16">
        <f>'Pulje 1'!M23</f>
        <v>-55</v>
      </c>
      <c r="N16">
        <f>'Pulje 1'!N23</f>
        <v>60</v>
      </c>
      <c r="O16">
        <f>'Pulje 1'!O23</f>
        <v>65</v>
      </c>
      <c r="P16">
        <f>'Pulje 1'!P23</f>
        <v>66</v>
      </c>
      <c r="Q16">
        <f>'Pulje 1'!Q23</f>
        <v>50</v>
      </c>
      <c r="R16">
        <f>'Pulje 1'!R23</f>
        <v>66</v>
      </c>
      <c r="S16" s="194">
        <f>'Pulje 1'!S23</f>
        <v>116</v>
      </c>
      <c r="T16" s="195">
        <f>'Pulje 1'!T23</f>
        <v>144.71642658832045</v>
      </c>
      <c r="U16" s="195">
        <f>'Pulje 1'!U23</f>
        <v>182.7768467810487</v>
      </c>
      <c r="V16" s="195">
        <f>'Pulje 1'!V23</f>
        <v>0</v>
      </c>
      <c r="W16" s="195" t="str">
        <f>'Pulje 1'!V24</f>
        <v/>
      </c>
      <c r="X16" s="195">
        <f>'Pulje 1'!W23</f>
        <v>0</v>
      </c>
      <c r="Y16" s="195">
        <f>'Pulje 1'!W24</f>
        <v>0</v>
      </c>
      <c r="Z16" s="195">
        <f>'Pulje 1'!X23</f>
        <v>7.43</v>
      </c>
      <c r="AA16" s="195">
        <f>'Pulje 1'!X24</f>
        <v>100</v>
      </c>
      <c r="AB16" s="195">
        <f>'Pulje 1'!Y24</f>
        <v>100</v>
      </c>
      <c r="AC16" s="195">
        <f>'Pulje 1'!Z24</f>
        <v>0</v>
      </c>
      <c r="AD16">
        <f t="shared" si="0"/>
        <v>48</v>
      </c>
      <c r="AE16">
        <v>1</v>
      </c>
      <c r="AF16" s="195" t="str">
        <f>IFERROR(IF(FIND("K",TblResultater[[#This Row],[Kategori]])&gt;0,"K"),"M")</f>
        <v>M</v>
      </c>
      <c r="AG16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16" s="195">
        <f>IFERROR(TblResultater[[#This Row],[SortKat]]+TblResultater[[#This Row],[5-kamp]]/10000,)</f>
        <v>7</v>
      </c>
    </row>
    <row r="17" spans="2:34" x14ac:dyDescent="0.2">
      <c r="B17">
        <f>'Pulje 1'!B24</f>
        <v>0</v>
      </c>
      <c r="C17">
        <f>'Pulje 1'!C24</f>
        <v>0</v>
      </c>
      <c r="D17">
        <f>'Pulje 1'!D24</f>
        <v>0</v>
      </c>
      <c r="E17">
        <f>'Pulje 1'!E24</f>
        <v>0</v>
      </c>
      <c r="F17">
        <f>'Pulje 1'!F24</f>
        <v>0</v>
      </c>
      <c r="G17">
        <f>'Pulje 1'!G24</f>
        <v>0</v>
      </c>
      <c r="H17">
        <f>'Pulje 1'!H24</f>
        <v>0</v>
      </c>
      <c r="I17">
        <f>'Pulje 1'!I24</f>
        <v>0</v>
      </c>
      <c r="J17">
        <f>'Pulje 1'!J24</f>
        <v>0</v>
      </c>
      <c r="K17">
        <f>'Pulje 1'!K24</f>
        <v>0</v>
      </c>
      <c r="L17">
        <f>'Pulje 1'!L24</f>
        <v>0</v>
      </c>
      <c r="M17">
        <f>'Pulje 1'!M24</f>
        <v>0</v>
      </c>
      <c r="N17">
        <f>'Pulje 1'!N24</f>
        <v>0</v>
      </c>
      <c r="O17">
        <f>'Pulje 1'!O24</f>
        <v>0</v>
      </c>
      <c r="P17">
        <f>'Pulje 1'!P24</f>
        <v>0</v>
      </c>
      <c r="Q17">
        <f>'Pulje 1'!Q24</f>
        <v>0</v>
      </c>
      <c r="R17">
        <f>'Pulje 1'!R24</f>
        <v>0</v>
      </c>
      <c r="S17" t="str">
        <f>'Pulje 1'!S25</f>
        <v/>
      </c>
      <c r="T17" s="195">
        <f>'Pulje 1'!T24</f>
        <v>0</v>
      </c>
      <c r="U17" s="195">
        <f>'Pulje 1'!U24</f>
        <v>0</v>
      </c>
      <c r="V17" s="195" t="str">
        <f>'Pulje 1'!V24</f>
        <v/>
      </c>
      <c r="W17" s="195">
        <f>'Pulje 1'!V25</f>
        <v>0</v>
      </c>
      <c r="X17" s="195">
        <f>'Pulje 1'!W24</f>
        <v>0</v>
      </c>
      <c r="Y17" s="195">
        <f>'Pulje 1'!W25</f>
        <v>0</v>
      </c>
      <c r="Z17" s="195">
        <f>'Pulje 1'!X24</f>
        <v>100</v>
      </c>
      <c r="AA17" s="195">
        <f>'Pulje 1'!X25</f>
        <v>0</v>
      </c>
      <c r="AB17" s="195">
        <f>'Pulje 1'!Y25</f>
        <v>0</v>
      </c>
      <c r="AC17" s="195">
        <f>'Pulje 1'!Z25</f>
        <v>0</v>
      </c>
      <c r="AD17">
        <f t="shared" si="0"/>
        <v>125</v>
      </c>
      <c r="AE17">
        <v>1</v>
      </c>
      <c r="AF17" s="195" t="str">
        <f>IFERROR(IF(FIND("K",TblResultater[[#This Row],[Kategori]])&gt;0,"K"),"M")</f>
        <v>M</v>
      </c>
      <c r="AG17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17" s="195">
        <f>IFERROR(TblResultater[[#This Row],[SortKat]]+TblResultater[[#This Row],[5-kamp]]/10000,)</f>
        <v>7</v>
      </c>
    </row>
    <row r="18" spans="2:34" x14ac:dyDescent="0.2">
      <c r="B18" s="37">
        <f>'Pulje 1'!B25</f>
        <v>0</v>
      </c>
      <c r="C18">
        <f>'Pulje 1'!C25</f>
        <v>0</v>
      </c>
      <c r="D18">
        <f>'Pulje 1'!D25</f>
        <v>0</v>
      </c>
      <c r="E18">
        <f>'Pulje 1'!E25</f>
        <v>0</v>
      </c>
      <c r="F18">
        <f>'Pulje 1'!F25</f>
        <v>0</v>
      </c>
      <c r="G18" s="197">
        <f>'Pulje 1'!G25</f>
        <v>0</v>
      </c>
      <c r="H18">
        <f>'Pulje 1'!H25</f>
        <v>0</v>
      </c>
      <c r="I18">
        <f>'Pulje 1'!I25</f>
        <v>0</v>
      </c>
      <c r="J18">
        <f>'Pulje 1'!J25</f>
        <v>0</v>
      </c>
      <c r="K18">
        <f>'Pulje 1'!K25</f>
        <v>0</v>
      </c>
      <c r="L18">
        <f>'Pulje 1'!L25</f>
        <v>0</v>
      </c>
      <c r="M18">
        <f>'Pulje 1'!M25</f>
        <v>0</v>
      </c>
      <c r="N18">
        <f>'Pulje 1'!N25</f>
        <v>0</v>
      </c>
      <c r="O18">
        <f>'Pulje 1'!O25</f>
        <v>0</v>
      </c>
      <c r="P18">
        <f>'Pulje 1'!P25</f>
        <v>0</v>
      </c>
      <c r="Q18" t="str">
        <f>'Pulje 1'!Q25</f>
        <v/>
      </c>
      <c r="R18" t="str">
        <f>'Pulje 1'!R25</f>
        <v/>
      </c>
      <c r="S18" s="194" t="str">
        <f>'Pulje 1'!S25</f>
        <v/>
      </c>
      <c r="T18" s="195" t="str">
        <f>'Pulje 1'!T25</f>
        <v/>
      </c>
      <c r="U18" s="195" t="str">
        <f>'Pulje 1'!U25</f>
        <v/>
      </c>
      <c r="V18" s="195">
        <f>'Pulje 1'!V25</f>
        <v>0</v>
      </c>
      <c r="W18" s="195" t="str">
        <f>'Pulje 1'!V26</f>
        <v/>
      </c>
      <c r="X18" s="195">
        <f>'Pulje 1'!W25</f>
        <v>0</v>
      </c>
      <c r="Y18" s="195" t="str">
        <f>'Pulje 1'!W26</f>
        <v/>
      </c>
      <c r="Z18" s="195">
        <f>'Pulje 1'!X25</f>
        <v>0</v>
      </c>
      <c r="AA18" s="195" t="str">
        <f>'Pulje 1'!X26</f>
        <v/>
      </c>
      <c r="AB18" s="195" t="str">
        <f>'Pulje 1'!Y26</f>
        <v/>
      </c>
      <c r="AC18" s="195" t="str">
        <f>'Pulje 1'!Z26</f>
        <v/>
      </c>
      <c r="AD18">
        <f t="shared" si="0"/>
        <v>125</v>
      </c>
      <c r="AE18">
        <v>1</v>
      </c>
      <c r="AF18" s="195" t="str">
        <f>IFERROR(IF(FIND("K",TblResultater[[#This Row],[Kategori]])&gt;0,"K"),"M")</f>
        <v>M</v>
      </c>
      <c r="AG18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18" s="195">
        <f>IFERROR(TblResultater[[#This Row],[SortKat]]+TblResultater[[#This Row],[5-kamp]]/10000,)</f>
        <v>0</v>
      </c>
    </row>
    <row r="19" spans="2:34" x14ac:dyDescent="0.2">
      <c r="B19">
        <f>'Pulje 1'!B26</f>
        <v>0</v>
      </c>
      <c r="C19">
        <f>'Pulje 1'!C26</f>
        <v>0</v>
      </c>
      <c r="D19">
        <f>'Pulje 1'!D26</f>
        <v>0</v>
      </c>
      <c r="E19">
        <f>'Pulje 1'!E26</f>
        <v>0</v>
      </c>
      <c r="F19">
        <f>'Pulje 1'!F26</f>
        <v>0</v>
      </c>
      <c r="G19">
        <f>'Pulje 1'!G26</f>
        <v>0</v>
      </c>
      <c r="H19">
        <f>'Pulje 1'!H26</f>
        <v>0</v>
      </c>
      <c r="I19">
        <f>'Pulje 1'!I26</f>
        <v>0</v>
      </c>
      <c r="J19">
        <f>'Pulje 1'!J26</f>
        <v>0</v>
      </c>
      <c r="K19">
        <f>'Pulje 1'!K26</f>
        <v>0</v>
      </c>
      <c r="L19">
        <f>'Pulje 1'!L26</f>
        <v>0</v>
      </c>
      <c r="M19">
        <f>'Pulje 1'!M26</f>
        <v>0</v>
      </c>
      <c r="N19">
        <f>'Pulje 1'!N26</f>
        <v>0</v>
      </c>
      <c r="O19">
        <f>'Pulje 1'!O26</f>
        <v>0</v>
      </c>
      <c r="P19">
        <f>'Pulje 1'!P26</f>
        <v>0</v>
      </c>
      <c r="Q19">
        <f>'Pulje 1'!Q26</f>
        <v>0</v>
      </c>
      <c r="R19">
        <f>'Pulje 1'!R26</f>
        <v>0</v>
      </c>
      <c r="S19">
        <f>'Pulje 1'!S27</f>
        <v>133</v>
      </c>
      <c r="T19" s="195">
        <f>'Pulje 1'!T26</f>
        <v>0</v>
      </c>
      <c r="U19" s="195">
        <f>'Pulje 1'!U26</f>
        <v>0</v>
      </c>
      <c r="V19" s="195" t="str">
        <f>'Pulje 1'!V26</f>
        <v/>
      </c>
      <c r="W19" s="195">
        <f>'Pulje 1'!V27</f>
        <v>6.5</v>
      </c>
      <c r="X19" s="195" t="str">
        <f>'Pulje 1'!W26</f>
        <v/>
      </c>
      <c r="Y19" s="195">
        <f>'Pulje 1'!W27</f>
        <v>9.1</v>
      </c>
      <c r="Z19" s="195" t="str">
        <f>'Pulje 1'!X26</f>
        <v/>
      </c>
      <c r="AA19" s="195">
        <f>'Pulje 1'!X27</f>
        <v>7.63</v>
      </c>
      <c r="AB19" s="195">
        <f>'Pulje 1'!Y27</f>
        <v>0</v>
      </c>
      <c r="AC19" s="195">
        <f>'Pulje 1'!Z27</f>
        <v>0</v>
      </c>
      <c r="AD19">
        <f t="shared" si="0"/>
        <v>125</v>
      </c>
      <c r="AE19">
        <v>1</v>
      </c>
      <c r="AF19" s="195" t="str">
        <f>IFERROR(IF(FIND("K",TblResultater[[#This Row],[Kategori]])&gt;0,"K"),"M")</f>
        <v>M</v>
      </c>
      <c r="AG19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19" s="195">
        <f>IFERROR(TblResultater[[#This Row],[SortKat]]+TblResultater[[#This Row],[5-kamp]]/10000,)</f>
        <v>7</v>
      </c>
    </row>
    <row r="20" spans="2:34" x14ac:dyDescent="0.2">
      <c r="B20" s="37" t="str">
        <f>'Pulje 1'!B27</f>
        <v>1966006</v>
      </c>
      <c r="C20">
        <f>'Pulje 1'!C27</f>
        <v>88</v>
      </c>
      <c r="D20">
        <f>'Pulje 1'!D27</f>
        <v>85.84</v>
      </c>
      <c r="E20" t="str">
        <f>'Pulje 1'!E27</f>
        <v>M55</v>
      </c>
      <c r="F20" t="str">
        <f>'Pulje 1'!F27</f>
        <v>+35</v>
      </c>
      <c r="G20" s="197">
        <f>'Pulje 1'!G27</f>
        <v>24153</v>
      </c>
      <c r="H20">
        <f>'Pulje 1'!H27</f>
        <v>0</v>
      </c>
      <c r="I20" t="str">
        <f>'Pulje 1'!I27</f>
        <v xml:space="preserve">Jan Gunnar Reke </v>
      </c>
      <c r="J20" t="str">
        <f>'Pulje 1'!J27</f>
        <v>Stavanger AK</v>
      </c>
      <c r="K20">
        <f>'Pulje 1'!K27</f>
        <v>-55</v>
      </c>
      <c r="L20">
        <f>'Pulje 1'!L27</f>
        <v>55</v>
      </c>
      <c r="M20">
        <f>'Pulje 1'!M27</f>
        <v>-58</v>
      </c>
      <c r="N20">
        <f>'Pulje 1'!N27</f>
        <v>75</v>
      </c>
      <c r="O20">
        <f>'Pulje 1'!O27</f>
        <v>-78</v>
      </c>
      <c r="P20">
        <f>'Pulje 1'!P27</f>
        <v>78</v>
      </c>
      <c r="Q20">
        <f>'Pulje 1'!Q27</f>
        <v>55</v>
      </c>
      <c r="R20">
        <f>'Pulje 1'!R27</f>
        <v>78</v>
      </c>
      <c r="S20" s="194">
        <f>'Pulje 1'!S27</f>
        <v>133</v>
      </c>
      <c r="T20" s="195">
        <f>'Pulje 1'!T27</f>
        <v>163.6947438429325</v>
      </c>
      <c r="U20" s="195">
        <f>'Pulje 1'!U27</f>
        <v>243.57777883828356</v>
      </c>
      <c r="V20" s="195">
        <f>'Pulje 1'!V27</f>
        <v>6.5</v>
      </c>
      <c r="W20" s="195">
        <f>'Pulje 1'!V28</f>
        <v>130</v>
      </c>
      <c r="X20" s="195">
        <f>'Pulje 1'!W27</f>
        <v>9.1</v>
      </c>
      <c r="Y20" s="195">
        <f>'Pulje 1'!W28</f>
        <v>112.00166683990118</v>
      </c>
      <c r="Z20" s="195">
        <f>'Pulje 1'!X27</f>
        <v>7.63</v>
      </c>
      <c r="AA20" s="195">
        <f>'Pulje 1'!X28</f>
        <v>92.000000000000028</v>
      </c>
      <c r="AB20" s="195">
        <f>'Pulje 1'!Y28</f>
        <v>334.00166683990119</v>
      </c>
      <c r="AC20" s="195">
        <f>'Pulje 1'!Z28</f>
        <v>789.28781486371315</v>
      </c>
      <c r="AD20">
        <f t="shared" si="0"/>
        <v>59</v>
      </c>
      <c r="AE20">
        <v>1</v>
      </c>
      <c r="AF20" s="195" t="str">
        <f>IFERROR(IF(FIND("K",TblResultater[[#This Row],[Kategori]])&gt;0,"K"),"M")</f>
        <v>M</v>
      </c>
      <c r="AG20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20" s="195">
        <f>IFERROR(TblResultater[[#This Row],[SortKat]]+TblResultater[[#This Row],[5-kamp]]/10000,)</f>
        <v>7.0789287814863711</v>
      </c>
    </row>
    <row r="21" spans="2:34" x14ac:dyDescent="0.2">
      <c r="B21">
        <f>'Pulje 1'!B28</f>
        <v>0</v>
      </c>
      <c r="C21">
        <f>'Pulje 1'!C28</f>
        <v>0</v>
      </c>
      <c r="D21">
        <f>'Pulje 1'!D28</f>
        <v>0</v>
      </c>
      <c r="E21">
        <f>'Pulje 1'!E28</f>
        <v>0</v>
      </c>
      <c r="F21">
        <f>'Pulje 1'!F28</f>
        <v>0</v>
      </c>
      <c r="G21">
        <f>'Pulje 1'!G28</f>
        <v>0</v>
      </c>
      <c r="H21">
        <f>'Pulje 1'!H28</f>
        <v>0</v>
      </c>
      <c r="I21">
        <f>'Pulje 1'!I28</f>
        <v>0</v>
      </c>
      <c r="J21">
        <f>'Pulje 1'!J28</f>
        <v>0</v>
      </c>
      <c r="K21">
        <f>'Pulje 1'!K28</f>
        <v>0</v>
      </c>
      <c r="L21">
        <f>'Pulje 1'!L28</f>
        <v>0</v>
      </c>
      <c r="M21">
        <f>'Pulje 1'!M28</f>
        <v>0</v>
      </c>
      <c r="N21">
        <f>'Pulje 1'!N28</f>
        <v>0</v>
      </c>
      <c r="O21">
        <f>'Pulje 1'!O28</f>
        <v>0</v>
      </c>
      <c r="P21">
        <f>'Pulje 1'!P28</f>
        <v>0</v>
      </c>
      <c r="Q21">
        <f>'Pulje 1'!Q28</f>
        <v>0</v>
      </c>
      <c r="R21">
        <f>'Pulje 1'!R28</f>
        <v>0</v>
      </c>
      <c r="S21" t="str">
        <f>'Pulje 1'!S29</f>
        <v/>
      </c>
      <c r="T21" s="195">
        <f>'Pulje 1'!T28</f>
        <v>0</v>
      </c>
      <c r="U21" s="195">
        <f>'Pulje 1'!U28</f>
        <v>0</v>
      </c>
      <c r="V21" s="195">
        <f>'Pulje 1'!V28</f>
        <v>130</v>
      </c>
      <c r="W21" s="195">
        <f>'Pulje 1'!V29</f>
        <v>0</v>
      </c>
      <c r="X21" s="195">
        <f>'Pulje 1'!W28</f>
        <v>112.00166683990118</v>
      </c>
      <c r="Y21" s="195">
        <f>'Pulje 1'!W29</f>
        <v>0</v>
      </c>
      <c r="Z21" s="195">
        <f>'Pulje 1'!X28</f>
        <v>92.000000000000028</v>
      </c>
      <c r="AA21" s="195">
        <f>'Pulje 1'!X29</f>
        <v>0</v>
      </c>
      <c r="AB21" s="195">
        <f>'Pulje 1'!Y29</f>
        <v>0</v>
      </c>
      <c r="AC21" s="195">
        <f>'Pulje 1'!Z29</f>
        <v>0</v>
      </c>
      <c r="AD21">
        <f t="shared" si="0"/>
        <v>125</v>
      </c>
      <c r="AE21">
        <v>1</v>
      </c>
      <c r="AF21" s="195" t="str">
        <f>IFERROR(IF(FIND("K",TblResultater[[#This Row],[Kategori]])&gt;0,"K"),"M")</f>
        <v>M</v>
      </c>
      <c r="AG21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21" s="195">
        <f>IFERROR(TblResultater[[#This Row],[SortKat]]+TblResultater[[#This Row],[5-kamp]]/10000,)</f>
        <v>7</v>
      </c>
    </row>
    <row r="22" spans="2:34" x14ac:dyDescent="0.2">
      <c r="B22">
        <f>'Pulje 1'!B29</f>
        <v>0</v>
      </c>
      <c r="C22">
        <f>'Pulje 1'!C29</f>
        <v>0</v>
      </c>
      <c r="D22">
        <f>'Pulje 1'!D29</f>
        <v>0</v>
      </c>
      <c r="E22">
        <f>'Pulje 1'!E29</f>
        <v>0</v>
      </c>
      <c r="F22">
        <f>'Pulje 1'!F29</f>
        <v>0</v>
      </c>
      <c r="G22">
        <f>'Pulje 1'!G29</f>
        <v>0</v>
      </c>
      <c r="H22">
        <f>'Pulje 1'!H29</f>
        <v>0</v>
      </c>
      <c r="I22">
        <f>'Pulje 1'!I29</f>
        <v>0</v>
      </c>
      <c r="J22">
        <f>'Pulje 1'!J29</f>
        <v>0</v>
      </c>
      <c r="K22">
        <f>'Pulje 1'!K29</f>
        <v>0</v>
      </c>
      <c r="L22">
        <f>'Pulje 1'!L29</f>
        <v>0</v>
      </c>
      <c r="M22">
        <f>'Pulje 1'!M29</f>
        <v>0</v>
      </c>
      <c r="N22">
        <f>'Pulje 1'!N29</f>
        <v>0</v>
      </c>
      <c r="O22">
        <f>'Pulje 1'!O29</f>
        <v>0</v>
      </c>
      <c r="P22">
        <f>'Pulje 1'!P29</f>
        <v>0</v>
      </c>
      <c r="Q22" t="str">
        <f>'Pulje 1'!Q29</f>
        <v/>
      </c>
      <c r="R22" t="str">
        <f>'Pulje 1'!R29</f>
        <v/>
      </c>
      <c r="S22" t="str">
        <f>'Pulje 1'!S30</f>
        <v/>
      </c>
      <c r="T22" s="195" t="str">
        <f>'Pulje 1'!T29</f>
        <v/>
      </c>
      <c r="U22" s="195" t="str">
        <f>'Pulje 1'!U29</f>
        <v/>
      </c>
      <c r="V22" s="195">
        <f>'Pulje 1'!V29</f>
        <v>0</v>
      </c>
      <c r="W22" s="195" t="str">
        <f>'Pulje 1'!V30</f>
        <v/>
      </c>
      <c r="X22" s="195">
        <f>'Pulje 1'!W29</f>
        <v>0</v>
      </c>
      <c r="Y22" s="195" t="str">
        <f>'Pulje 1'!W30</f>
        <v/>
      </c>
      <c r="Z22" s="195">
        <f>'Pulje 1'!X29</f>
        <v>0</v>
      </c>
      <c r="AA22" s="195" t="str">
        <f>'Pulje 1'!X30</f>
        <v/>
      </c>
      <c r="AB22" s="195" t="str">
        <f>'Pulje 1'!Y30</f>
        <v/>
      </c>
      <c r="AC22" s="195" t="str">
        <f>'Pulje 1'!Z30</f>
        <v/>
      </c>
      <c r="AD22">
        <f t="shared" si="0"/>
        <v>125</v>
      </c>
      <c r="AE22">
        <v>1</v>
      </c>
      <c r="AF22" s="195" t="str">
        <f>IFERROR(IF(FIND("K",TblResultater[[#This Row],[Kategori]])&gt;0,"K"),"M")</f>
        <v>M</v>
      </c>
      <c r="AG22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22" s="195">
        <f>IFERROR(TblResultater[[#This Row],[SortKat]]+TblResultater[[#This Row],[5-kamp]]/10000,)</f>
        <v>0</v>
      </c>
    </row>
    <row r="23" spans="2:34" x14ac:dyDescent="0.2">
      <c r="B23">
        <f>'Pulje 1'!B30</f>
        <v>0</v>
      </c>
      <c r="C23">
        <f>'Pulje 1'!C30</f>
        <v>0</v>
      </c>
      <c r="D23">
        <f>'Pulje 1'!D30</f>
        <v>0</v>
      </c>
      <c r="E23">
        <f>'Pulje 1'!E30</f>
        <v>0</v>
      </c>
      <c r="F23">
        <f>'Pulje 1'!F30</f>
        <v>0</v>
      </c>
      <c r="G23">
        <f>'Pulje 1'!G30</f>
        <v>0</v>
      </c>
      <c r="H23">
        <f>'Pulje 1'!H30</f>
        <v>0</v>
      </c>
      <c r="I23">
        <f>'Pulje 1'!I30</f>
        <v>0</v>
      </c>
      <c r="J23">
        <f>'Pulje 1'!J30</f>
        <v>0</v>
      </c>
      <c r="K23">
        <f>'Pulje 1'!K30</f>
        <v>0</v>
      </c>
      <c r="L23">
        <f>'Pulje 1'!L30</f>
        <v>0</v>
      </c>
      <c r="M23">
        <f>'Pulje 1'!M30</f>
        <v>0</v>
      </c>
      <c r="N23">
        <f>'Pulje 1'!N30</f>
        <v>0</v>
      </c>
      <c r="O23">
        <f>'Pulje 1'!O30</f>
        <v>0</v>
      </c>
      <c r="P23">
        <f>'Pulje 1'!P30</f>
        <v>0</v>
      </c>
      <c r="Q23">
        <f>'Pulje 1'!Q30</f>
        <v>0</v>
      </c>
      <c r="R23">
        <f>'Pulje 1'!R30</f>
        <v>0</v>
      </c>
      <c r="S23" t="str">
        <f>'Pulje 1'!S31</f>
        <v/>
      </c>
      <c r="T23" s="195">
        <f>'Pulje 1'!T30</f>
        <v>0</v>
      </c>
      <c r="U23" s="195">
        <f>'Pulje 1'!U30</f>
        <v>0</v>
      </c>
      <c r="V23" s="195" t="str">
        <f>'Pulje 1'!V30</f>
        <v/>
      </c>
      <c r="W23" s="195">
        <f>'Pulje 1'!V31</f>
        <v>0</v>
      </c>
      <c r="X23" s="195" t="str">
        <f>'Pulje 1'!W30</f>
        <v/>
      </c>
      <c r="Y23" s="195">
        <f>'Pulje 1'!W31</f>
        <v>0</v>
      </c>
      <c r="Z23" s="195" t="str">
        <f>'Pulje 1'!X30</f>
        <v/>
      </c>
      <c r="AA23" s="195">
        <f>'Pulje 1'!X31</f>
        <v>0</v>
      </c>
      <c r="AB23" s="195">
        <f>'Pulje 1'!Y31</f>
        <v>0</v>
      </c>
      <c r="AC23" s="195">
        <f>'Pulje 1'!Z31</f>
        <v>0</v>
      </c>
      <c r="AD23">
        <f t="shared" si="0"/>
        <v>125</v>
      </c>
      <c r="AE23">
        <v>1</v>
      </c>
      <c r="AF23" s="195" t="str">
        <f>IFERROR(IF(FIND("K",TblResultater[[#This Row],[Kategori]])&gt;0,"K"),"M")</f>
        <v>M</v>
      </c>
      <c r="AG23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23" s="195">
        <f>IFERROR(TblResultater[[#This Row],[SortKat]]+TblResultater[[#This Row],[5-kamp]]/10000,)</f>
        <v>7</v>
      </c>
    </row>
    <row r="24" spans="2:34" x14ac:dyDescent="0.2">
      <c r="B24">
        <f>'Pulje 1'!B31</f>
        <v>0</v>
      </c>
      <c r="C24">
        <f>'Pulje 1'!C31</f>
        <v>0</v>
      </c>
      <c r="D24">
        <f>'Pulje 1'!D31</f>
        <v>0</v>
      </c>
      <c r="E24">
        <f>'Pulje 1'!E31</f>
        <v>0</v>
      </c>
      <c r="F24">
        <f>'Pulje 1'!F31</f>
        <v>0</v>
      </c>
      <c r="G24">
        <f>'Pulje 1'!G31</f>
        <v>0</v>
      </c>
      <c r="H24">
        <f>'Pulje 1'!H31</f>
        <v>0</v>
      </c>
      <c r="I24">
        <f>'Pulje 1'!I31</f>
        <v>0</v>
      </c>
      <c r="J24">
        <f>'Pulje 1'!J31</f>
        <v>0</v>
      </c>
      <c r="K24">
        <f>'Pulje 1'!K31</f>
        <v>0</v>
      </c>
      <c r="L24">
        <f>'Pulje 1'!L31</f>
        <v>0</v>
      </c>
      <c r="M24">
        <f>'Pulje 1'!M31</f>
        <v>0</v>
      </c>
      <c r="N24">
        <f>'Pulje 1'!N31</f>
        <v>0</v>
      </c>
      <c r="O24">
        <f>'Pulje 1'!O31</f>
        <v>0</v>
      </c>
      <c r="P24">
        <f>'Pulje 1'!P31</f>
        <v>0</v>
      </c>
      <c r="Q24" t="str">
        <f>'Pulje 1'!Q31</f>
        <v/>
      </c>
      <c r="R24" t="str">
        <f>'Pulje 1'!R31</f>
        <v/>
      </c>
      <c r="S24" t="str">
        <f>'Pulje 1'!S32</f>
        <v/>
      </c>
      <c r="T24" s="195" t="str">
        <f>'Pulje 1'!T31</f>
        <v/>
      </c>
      <c r="U24" s="195" t="str">
        <f>'Pulje 1'!U31</f>
        <v/>
      </c>
      <c r="V24" s="195">
        <f>'Pulje 1'!V31</f>
        <v>0</v>
      </c>
      <c r="W24" s="195" t="str">
        <f>'Pulje 1'!V32</f>
        <v/>
      </c>
      <c r="X24" s="195">
        <f>'Pulje 1'!W31</f>
        <v>0</v>
      </c>
      <c r="Y24" s="195" t="str">
        <f>'Pulje 1'!W32</f>
        <v/>
      </c>
      <c r="Z24" s="195">
        <f>'Pulje 1'!X31</f>
        <v>0</v>
      </c>
      <c r="AA24" s="195" t="str">
        <f>'Pulje 1'!X32</f>
        <v/>
      </c>
      <c r="AB24" s="195" t="str">
        <f>'Pulje 1'!Y32</f>
        <v/>
      </c>
      <c r="AC24" s="195" t="str">
        <f>'Pulje 1'!Z32</f>
        <v/>
      </c>
      <c r="AD24">
        <f t="shared" si="0"/>
        <v>125</v>
      </c>
      <c r="AE24">
        <v>1</v>
      </c>
      <c r="AF24" s="195" t="str">
        <f>IFERROR(IF(FIND("K",TblResultater[[#This Row],[Kategori]])&gt;0,"K"),"M")</f>
        <v>M</v>
      </c>
      <c r="AG24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24" s="195">
        <f>IFERROR(TblResultater[[#This Row],[SortKat]]+TblResultater[[#This Row],[5-kamp]]/10000,)</f>
        <v>0</v>
      </c>
    </row>
    <row r="25" spans="2:34" x14ac:dyDescent="0.2">
      <c r="B25">
        <f>'Pulje 1'!B32</f>
        <v>0</v>
      </c>
      <c r="C25">
        <f>'Pulje 1'!C32</f>
        <v>0</v>
      </c>
      <c r="D25">
        <f>'Pulje 1'!D32</f>
        <v>0</v>
      </c>
      <c r="E25">
        <f>'Pulje 1'!E32</f>
        <v>0</v>
      </c>
      <c r="F25">
        <f>'Pulje 1'!F32</f>
        <v>0</v>
      </c>
      <c r="G25">
        <f>'Pulje 1'!G32</f>
        <v>0</v>
      </c>
      <c r="H25">
        <f>'Pulje 1'!H32</f>
        <v>0</v>
      </c>
      <c r="I25">
        <f>'Pulje 1'!I32</f>
        <v>0</v>
      </c>
      <c r="J25">
        <f>'Pulje 1'!J32</f>
        <v>0</v>
      </c>
      <c r="K25">
        <f>'Pulje 1'!K32</f>
        <v>0</v>
      </c>
      <c r="L25">
        <f>'Pulje 1'!L32</f>
        <v>0</v>
      </c>
      <c r="M25">
        <f>'Pulje 1'!M32</f>
        <v>0</v>
      </c>
      <c r="N25">
        <f>'Pulje 1'!N32</f>
        <v>0</v>
      </c>
      <c r="O25">
        <f>'Pulje 1'!O32</f>
        <v>0</v>
      </c>
      <c r="P25">
        <f>'Pulje 1'!P32</f>
        <v>0</v>
      </c>
      <c r="Q25">
        <f>'Pulje 1'!Q32</f>
        <v>0</v>
      </c>
      <c r="R25">
        <f>'Pulje 1'!R32</f>
        <v>0</v>
      </c>
      <c r="S25">
        <f>'Pulje 1'!S33</f>
        <v>0</v>
      </c>
      <c r="T25" s="195">
        <f>'Pulje 1'!T32</f>
        <v>0</v>
      </c>
      <c r="U25" s="195">
        <f>'Pulje 1'!U32</f>
        <v>0</v>
      </c>
      <c r="V25" s="195" t="str">
        <f>'Pulje 1'!V32</f>
        <v/>
      </c>
      <c r="W25" s="195">
        <f>'Pulje 1'!V33</f>
        <v>0</v>
      </c>
      <c r="X25" s="195" t="str">
        <f>'Pulje 1'!W32</f>
        <v/>
      </c>
      <c r="Y25" s="195">
        <f>'Pulje 1'!W33</f>
        <v>0</v>
      </c>
      <c r="Z25" s="195" t="str">
        <f>'Pulje 1'!X32</f>
        <v/>
      </c>
      <c r="AA25" s="195">
        <f>'Pulje 1'!X33</f>
        <v>0</v>
      </c>
      <c r="AB25" s="195">
        <f>'Pulje 1'!Y33</f>
        <v>0</v>
      </c>
      <c r="AC25" s="195">
        <f>'Pulje 1'!Z33</f>
        <v>0</v>
      </c>
      <c r="AD25">
        <f t="shared" si="0"/>
        <v>125</v>
      </c>
      <c r="AE25">
        <v>1</v>
      </c>
      <c r="AF25" s="195" t="str">
        <f>IFERROR(IF(FIND("K",TblResultater[[#This Row],[Kategori]])&gt;0,"K"),"M")</f>
        <v>M</v>
      </c>
      <c r="AG25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25" s="195">
        <f>IFERROR(TblResultater[[#This Row],[SortKat]]+TblResultater[[#This Row],[5-kamp]]/10000,)</f>
        <v>7</v>
      </c>
    </row>
    <row r="26" spans="2:34" x14ac:dyDescent="0.2">
      <c r="B26" s="37">
        <f>'Pulje 2'!B9</f>
        <v>2013010</v>
      </c>
      <c r="C26" t="str">
        <f>'Pulje 2'!C9</f>
        <v>69</v>
      </c>
      <c r="D26">
        <f>'Pulje 2'!D9</f>
        <v>67.19</v>
      </c>
      <c r="E26" t="str">
        <f>'Pulje 2'!E9</f>
        <v>UK</v>
      </c>
      <c r="F26" t="str">
        <f>'Pulje 2'!F9</f>
        <v>11-12</v>
      </c>
      <c r="G26" s="197">
        <f>'Pulje 2'!G9</f>
        <v>41584</v>
      </c>
      <c r="H26">
        <f>'Pulje 2'!H9</f>
        <v>0</v>
      </c>
      <c r="I26" t="str">
        <f>'Pulje 2'!I9</f>
        <v xml:space="preserve">Klara Herredsvela Høyland </v>
      </c>
      <c r="J26" t="str">
        <f>'Pulje 2'!J9</f>
        <v>Vigrestad IK</v>
      </c>
      <c r="K26">
        <f>'Pulje 2'!K9</f>
        <v>23</v>
      </c>
      <c r="L26">
        <f>'Pulje 2'!L9</f>
        <v>25</v>
      </c>
      <c r="M26">
        <f>'Pulje 2'!M9</f>
        <v>27</v>
      </c>
      <c r="N26">
        <f>'Pulje 2'!N9</f>
        <v>32</v>
      </c>
      <c r="O26">
        <f>'Pulje 2'!O9</f>
        <v>34</v>
      </c>
      <c r="P26">
        <f>'Pulje 2'!P9</f>
        <v>36</v>
      </c>
      <c r="Q26">
        <f>'Pulje 2'!Q9</f>
        <v>27</v>
      </c>
      <c r="R26">
        <f>'Pulje 2'!R9</f>
        <v>36</v>
      </c>
      <c r="S26" s="194">
        <f>'Pulje 2'!S9</f>
        <v>63</v>
      </c>
      <c r="T26" s="195">
        <f>'Pulje 2'!T9</f>
        <v>79.628825177613194</v>
      </c>
      <c r="U26" s="195" t="str">
        <f>'Pulje 2'!U9</f>
        <v/>
      </c>
      <c r="V26" s="195">
        <f>'Pulje 2'!V9</f>
        <v>4.05</v>
      </c>
      <c r="W26" s="195">
        <f>'Pulje 2'!V10</f>
        <v>81</v>
      </c>
      <c r="X26" s="195">
        <f>'Pulje 2'!X9</f>
        <v>9.6199999999999992</v>
      </c>
      <c r="Y26" s="195">
        <f>'Pulje 2'!W10</f>
        <v>87.836101027088816</v>
      </c>
      <c r="Z26" s="195">
        <f>'Pulje 2'!X9</f>
        <v>9.6199999999999992</v>
      </c>
      <c r="AA26" s="195">
        <f>'Pulje 2'!X10</f>
        <v>12.000000000000028</v>
      </c>
      <c r="AB26" s="195">
        <f>'Pulje 2'!Y10</f>
        <v>180.83610102708886</v>
      </c>
      <c r="AC26" s="195">
        <f>'Pulje 2'!Z10</f>
        <v>276.39069124022467</v>
      </c>
      <c r="AD26">
        <f t="shared" si="0"/>
        <v>11</v>
      </c>
      <c r="AE26">
        <v>2</v>
      </c>
      <c r="AF26" s="195" t="str">
        <f>IFERROR(IF(FIND("K",TblResultater[[#This Row],[Kategori]])&gt;0,"K"),"M")</f>
        <v>K</v>
      </c>
      <c r="AG26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1</v>
      </c>
      <c r="AH26" s="195">
        <f>IFERROR(TblResultater[[#This Row],[SortKat]]+TblResultater[[#This Row],[5-kamp]]/10000,)</f>
        <v>1.0276390691240225</v>
      </c>
    </row>
    <row r="27" spans="2:34" x14ac:dyDescent="0.2">
      <c r="B27">
        <f>'Pulje 2'!B10</f>
        <v>0</v>
      </c>
      <c r="C27">
        <f>'Pulje 2'!C10</f>
        <v>0</v>
      </c>
      <c r="D27">
        <f>'Pulje 2'!D10</f>
        <v>0</v>
      </c>
      <c r="E27">
        <f>'Pulje 2'!E10</f>
        <v>0</v>
      </c>
      <c r="F27">
        <f>'Pulje 2'!F10</f>
        <v>0</v>
      </c>
      <c r="G27">
        <f>'Pulje 2'!G10</f>
        <v>0</v>
      </c>
      <c r="H27">
        <f>'Pulje 2'!H10</f>
        <v>0</v>
      </c>
      <c r="I27">
        <f>'Pulje 2'!I10</f>
        <v>0</v>
      </c>
      <c r="J27">
        <f>'Pulje 2'!J10</f>
        <v>0</v>
      </c>
      <c r="K27">
        <f>'Pulje 2'!K10</f>
        <v>0</v>
      </c>
      <c r="L27">
        <f>'Pulje 2'!L10</f>
        <v>0</v>
      </c>
      <c r="M27">
        <f>'Pulje 2'!M10</f>
        <v>0</v>
      </c>
      <c r="N27">
        <f>'Pulje 2'!N10</f>
        <v>0</v>
      </c>
      <c r="O27">
        <f>'Pulje 2'!O10</f>
        <v>0</v>
      </c>
      <c r="P27">
        <f>'Pulje 2'!P10</f>
        <v>0</v>
      </c>
      <c r="Q27">
        <f>'Pulje 2'!Q10</f>
        <v>0</v>
      </c>
      <c r="R27">
        <f>'Pulje 2'!R10</f>
        <v>0</v>
      </c>
      <c r="S27">
        <f>'Pulje 2'!S11</f>
        <v>44</v>
      </c>
      <c r="T27" s="195">
        <f>'Pulje 2'!T10</f>
        <v>0</v>
      </c>
      <c r="U27" s="195">
        <f>'Pulje 2'!U10</f>
        <v>0</v>
      </c>
      <c r="V27" s="195">
        <f>'Pulje 2'!V10</f>
        <v>81</v>
      </c>
      <c r="W27" s="195">
        <f>'Pulje 2'!W10</f>
        <v>87.836101027088816</v>
      </c>
      <c r="X27" s="195">
        <f>'Pulje 2'!X10</f>
        <v>12.000000000000028</v>
      </c>
      <c r="Y27" s="195">
        <f>'Pulje 2'!Y10</f>
        <v>180.83610102708886</v>
      </c>
      <c r="Z27" s="195">
        <f>'Pulje 2'!Z10</f>
        <v>276.39069124022467</v>
      </c>
      <c r="AA27" s="195">
        <f>'Pulje 2'!AA10</f>
        <v>0</v>
      </c>
      <c r="AB27" s="195">
        <f>'Pulje 2'!AB10</f>
        <v>0</v>
      </c>
      <c r="AC27" s="195">
        <f>'Pulje 2'!AC10</f>
        <v>0</v>
      </c>
      <c r="AD27">
        <f>'Pulje 2'!AD10</f>
        <v>0</v>
      </c>
      <c r="AE27">
        <v>2</v>
      </c>
      <c r="AF27" s="195" t="str">
        <f>IFERROR(IF(FIND("K",TblResultater[[#This Row],[Kategori]])&gt;0,"K"),"M")</f>
        <v>M</v>
      </c>
      <c r="AG27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27" s="195">
        <f>IFERROR(TblResultater[[#This Row],[SortKat]]+TblResultater[[#This Row],[5-kamp]]/10000,)</f>
        <v>7</v>
      </c>
    </row>
    <row r="28" spans="2:34" x14ac:dyDescent="0.2">
      <c r="B28" s="37">
        <f>'Pulje 2'!B11</f>
        <v>2013024</v>
      </c>
      <c r="C28" t="str">
        <f>'Pulje 2'!C11</f>
        <v>44</v>
      </c>
      <c r="D28">
        <f>'Pulje 2'!D11</f>
        <v>39.36</v>
      </c>
      <c r="E28" t="str">
        <f>'Pulje 2'!E11</f>
        <v>UK</v>
      </c>
      <c r="F28" t="str">
        <f>'Pulje 2'!F11</f>
        <v>11-12</v>
      </c>
      <c r="G28" s="197">
        <f>'Pulje 2'!G11</f>
        <v>41457</v>
      </c>
      <c r="H28">
        <f>'Pulje 2'!H11</f>
        <v>0</v>
      </c>
      <c r="I28" t="str">
        <f>'Pulje 2'!I11</f>
        <v xml:space="preserve">Regine Hansen Hole </v>
      </c>
      <c r="J28" t="str">
        <f>'Pulje 2'!J11</f>
        <v>Voll IL</v>
      </c>
      <c r="K28">
        <f>'Pulje 2'!K11</f>
        <v>15</v>
      </c>
      <c r="L28">
        <f>'Pulje 2'!L11</f>
        <v>18</v>
      </c>
      <c r="M28">
        <f>'Pulje 2'!M11</f>
        <v>20</v>
      </c>
      <c r="N28">
        <f>'Pulje 2'!N11</f>
        <v>21</v>
      </c>
      <c r="O28">
        <f>'Pulje 2'!O11</f>
        <v>24</v>
      </c>
      <c r="P28">
        <f>'Pulje 2'!P11</f>
        <v>-26</v>
      </c>
      <c r="Q28">
        <f>'Pulje 2'!Q11</f>
        <v>20</v>
      </c>
      <c r="R28">
        <f>'Pulje 2'!R11</f>
        <v>24</v>
      </c>
      <c r="S28" s="194">
        <f>'Pulje 2'!S11</f>
        <v>44</v>
      </c>
      <c r="T28" s="195">
        <f>'Pulje 2'!T11</f>
        <v>82.997349836951429</v>
      </c>
      <c r="U28" s="195" t="str">
        <f>'Pulje 2'!U11</f>
        <v/>
      </c>
      <c r="V28" s="195">
        <f>'Pulje 2'!V11</f>
        <v>4.88</v>
      </c>
      <c r="W28" s="195">
        <f>'Pulje 2'!V12</f>
        <v>97.6</v>
      </c>
      <c r="X28" s="195">
        <f>'Pulje 2'!X11</f>
        <v>8.16</v>
      </c>
      <c r="Y28" s="195">
        <f>'Pulje 2'!W12</f>
        <v>156.15217432083526</v>
      </c>
      <c r="Z28" s="195">
        <f>'Pulje 2'!X11</f>
        <v>8.16</v>
      </c>
      <c r="AA28" s="195">
        <f>'Pulje 2'!X12</f>
        <v>72.000000000000028</v>
      </c>
      <c r="AB28" s="195">
        <f>'Pulje 2'!Y12</f>
        <v>325.75217432083525</v>
      </c>
      <c r="AC28" s="195">
        <f>'Pulje 2'!Z12</f>
        <v>425.348994125177</v>
      </c>
      <c r="AD28">
        <f t="shared" si="0"/>
        <v>11</v>
      </c>
      <c r="AE28">
        <v>2</v>
      </c>
      <c r="AF28" s="195" t="str">
        <f>IFERROR(IF(FIND("K",TblResultater[[#This Row],[Kategori]])&gt;0,"K"),"M")</f>
        <v>K</v>
      </c>
      <c r="AG28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1</v>
      </c>
      <c r="AH28" s="195">
        <f>IFERROR(TblResultater[[#This Row],[SortKat]]+TblResultater[[#This Row],[5-kamp]]/10000,)</f>
        <v>1.0425348994125176</v>
      </c>
    </row>
    <row r="29" spans="2:34" x14ac:dyDescent="0.2">
      <c r="B29">
        <f>'Pulje 2'!B12</f>
        <v>0</v>
      </c>
      <c r="C29">
        <f>'Pulje 2'!C12</f>
        <v>0</v>
      </c>
      <c r="D29">
        <f>'Pulje 2'!D12</f>
        <v>0</v>
      </c>
      <c r="E29">
        <f>'Pulje 2'!E12</f>
        <v>0</v>
      </c>
      <c r="F29">
        <f>'Pulje 2'!F12</f>
        <v>0</v>
      </c>
      <c r="G29">
        <f>'Pulje 2'!G12</f>
        <v>0</v>
      </c>
      <c r="H29">
        <f>'Pulje 2'!H12</f>
        <v>0</v>
      </c>
      <c r="I29">
        <f>'Pulje 2'!I12</f>
        <v>0</v>
      </c>
      <c r="J29">
        <f>'Pulje 2'!J12</f>
        <v>0</v>
      </c>
      <c r="K29">
        <f>'Pulje 2'!K12</f>
        <v>0</v>
      </c>
      <c r="L29">
        <f>'Pulje 2'!L12</f>
        <v>0</v>
      </c>
      <c r="M29">
        <f>'Pulje 2'!M12</f>
        <v>0</v>
      </c>
      <c r="N29">
        <f>'Pulje 2'!N12</f>
        <v>0</v>
      </c>
      <c r="O29">
        <f>'Pulje 2'!O12</f>
        <v>0</v>
      </c>
      <c r="P29">
        <f>'Pulje 2'!P12</f>
        <v>0</v>
      </c>
      <c r="Q29">
        <f>'Pulje 2'!Q12</f>
        <v>0</v>
      </c>
      <c r="R29">
        <f>'Pulje 2'!R12</f>
        <v>0</v>
      </c>
      <c r="S29">
        <f>'Pulje 2'!S13</f>
        <v>55</v>
      </c>
      <c r="T29" s="195">
        <f>'Pulje 2'!T12</f>
        <v>0</v>
      </c>
      <c r="U29" s="195">
        <f>'Pulje 2'!U12</f>
        <v>0</v>
      </c>
      <c r="V29" s="195">
        <f>'Pulje 2'!V12</f>
        <v>97.6</v>
      </c>
      <c r="W29" s="195">
        <f>'Pulje 2'!W12</f>
        <v>156.15217432083526</v>
      </c>
      <c r="X29" s="195">
        <f>'Pulje 2'!X12</f>
        <v>72.000000000000028</v>
      </c>
      <c r="Y29" s="195">
        <f>'Pulje 2'!Y12</f>
        <v>325.75217432083525</v>
      </c>
      <c r="Z29" s="195">
        <f>'Pulje 2'!Z12</f>
        <v>425.348994125177</v>
      </c>
      <c r="AA29" s="195">
        <f>'Pulje 2'!AA12</f>
        <v>0</v>
      </c>
      <c r="AB29" s="195">
        <f>'Pulje 2'!AB12</f>
        <v>0</v>
      </c>
      <c r="AC29" s="195">
        <f>'Pulje 2'!AC12</f>
        <v>0</v>
      </c>
      <c r="AD29">
        <f>'Pulje 2'!AD12</f>
        <v>0</v>
      </c>
      <c r="AE29">
        <v>2</v>
      </c>
      <c r="AF29" s="195" t="str">
        <f>IFERROR(IF(FIND("K",TblResultater[[#This Row],[Kategori]])&gt;0,"K"),"M")</f>
        <v>M</v>
      </c>
      <c r="AG29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29" s="195">
        <f>IFERROR(TblResultater[[#This Row],[SortKat]]+TblResultater[[#This Row],[5-kamp]]/10000,)</f>
        <v>7</v>
      </c>
    </row>
    <row r="30" spans="2:34" x14ac:dyDescent="0.2">
      <c r="B30" s="37" t="str">
        <f>'Pulje 2'!B13</f>
        <v>2013014</v>
      </c>
      <c r="C30" t="str">
        <f>'Pulje 2'!C13</f>
        <v>56</v>
      </c>
      <c r="D30">
        <f>'Pulje 2'!D13</f>
        <v>40.98</v>
      </c>
      <c r="E30" t="str">
        <f>'Pulje 2'!E13</f>
        <v>UM</v>
      </c>
      <c r="F30" t="str">
        <f>'Pulje 2'!F13</f>
        <v>11-12</v>
      </c>
      <c r="G30" s="197">
        <f>'Pulje 2'!G13</f>
        <v>41632</v>
      </c>
      <c r="H30">
        <f>'Pulje 2'!H13</f>
        <v>0</v>
      </c>
      <c r="I30" t="str">
        <f>'Pulje 2'!I13</f>
        <v xml:space="preserve">Rune Vold </v>
      </c>
      <c r="J30" t="str">
        <f>'Pulje 2'!J13</f>
        <v>Vigrestad IK</v>
      </c>
      <c r="K30">
        <f>'Pulje 2'!K13</f>
        <v>20</v>
      </c>
      <c r="L30">
        <f>'Pulje 2'!L13</f>
        <v>23</v>
      </c>
      <c r="M30">
        <f>'Pulje 2'!M13</f>
        <v>25</v>
      </c>
      <c r="N30">
        <f>'Pulje 2'!N13</f>
        <v>27</v>
      </c>
      <c r="O30">
        <f>'Pulje 2'!O13</f>
        <v>30</v>
      </c>
      <c r="P30">
        <f>'Pulje 2'!P13</f>
        <v>-32</v>
      </c>
      <c r="Q30">
        <f>'Pulje 2'!Q13</f>
        <v>25</v>
      </c>
      <c r="R30">
        <f>'Pulje 2'!R13</f>
        <v>30</v>
      </c>
      <c r="S30" s="194">
        <f>'Pulje 2'!S13</f>
        <v>55</v>
      </c>
      <c r="T30" s="195">
        <f>'Pulje 2'!T13</f>
        <v>117.23058756333039</v>
      </c>
      <c r="U30" s="195" t="str">
        <f>'Pulje 2'!U13</f>
        <v/>
      </c>
      <c r="V30" s="195">
        <f>'Pulje 2'!V13</f>
        <v>5.64</v>
      </c>
      <c r="W30" s="195">
        <f>'Pulje 2'!V14</f>
        <v>112.8</v>
      </c>
      <c r="X30" s="195">
        <f>'Pulje 2'!X13</f>
        <v>7.88</v>
      </c>
      <c r="Y30" s="195">
        <f>'Pulje 2'!W14</f>
        <v>169.02519261403816</v>
      </c>
      <c r="Z30" s="195">
        <f>'Pulje 2'!X13</f>
        <v>7.88</v>
      </c>
      <c r="AA30" s="195">
        <f>'Pulje 2'!X14</f>
        <v>84.000000000000028</v>
      </c>
      <c r="AB30" s="195">
        <f>'Pulje 2'!Y14</f>
        <v>365.8251926140382</v>
      </c>
      <c r="AC30" s="195">
        <f>'Pulje 2'!Z14</f>
        <v>506.50189769003464</v>
      </c>
      <c r="AD30">
        <f t="shared" si="0"/>
        <v>11</v>
      </c>
      <c r="AE30">
        <v>2</v>
      </c>
      <c r="AF30" s="195" t="str">
        <f>IFERROR(IF(FIND("K",TblResultater[[#This Row],[Kategori]])&gt;0,"K"),"M")</f>
        <v>M</v>
      </c>
      <c r="AG30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1</v>
      </c>
      <c r="AH30" s="195">
        <f>IFERROR(TblResultater[[#This Row],[SortKat]]+TblResultater[[#This Row],[5-kamp]]/10000,)</f>
        <v>1.0506501897690035</v>
      </c>
    </row>
    <row r="31" spans="2:34" x14ac:dyDescent="0.2">
      <c r="B31">
        <f>'Pulje 2'!B14</f>
        <v>0</v>
      </c>
      <c r="C31">
        <f>'Pulje 2'!C14</f>
        <v>0</v>
      </c>
      <c r="D31">
        <f>'Pulje 2'!D14</f>
        <v>0</v>
      </c>
      <c r="E31">
        <f>'Pulje 2'!E14</f>
        <v>0</v>
      </c>
      <c r="F31">
        <f>'Pulje 2'!F14</f>
        <v>0</v>
      </c>
      <c r="G31">
        <f>'Pulje 2'!G14</f>
        <v>0</v>
      </c>
      <c r="H31">
        <f>'Pulje 2'!H14</f>
        <v>0</v>
      </c>
      <c r="I31">
        <f>'Pulje 2'!I14</f>
        <v>0</v>
      </c>
      <c r="J31">
        <f>'Pulje 2'!J14</f>
        <v>0</v>
      </c>
      <c r="K31">
        <f>'Pulje 2'!K14</f>
        <v>0</v>
      </c>
      <c r="L31">
        <f>'Pulje 2'!L14</f>
        <v>0</v>
      </c>
      <c r="M31">
        <f>'Pulje 2'!M14</f>
        <v>0</v>
      </c>
      <c r="N31">
        <f>'Pulje 2'!N14</f>
        <v>0</v>
      </c>
      <c r="O31">
        <f>'Pulje 2'!O14</f>
        <v>0</v>
      </c>
      <c r="P31">
        <f>'Pulje 2'!P14</f>
        <v>0</v>
      </c>
      <c r="Q31">
        <f>'Pulje 2'!Q14</f>
        <v>0</v>
      </c>
      <c r="R31">
        <f>'Pulje 2'!R14</f>
        <v>0</v>
      </c>
      <c r="S31">
        <f>'Pulje 2'!S15</f>
        <v>35</v>
      </c>
      <c r="T31" s="195">
        <f>'Pulje 2'!T14</f>
        <v>0</v>
      </c>
      <c r="U31" s="195">
        <f>'Pulje 2'!U14</f>
        <v>0</v>
      </c>
      <c r="V31" s="195">
        <f>'Pulje 2'!V14</f>
        <v>112.8</v>
      </c>
      <c r="W31" s="195">
        <f>'Pulje 2'!W14</f>
        <v>169.02519261403816</v>
      </c>
      <c r="X31" s="195">
        <f>'Pulje 2'!X14</f>
        <v>84.000000000000028</v>
      </c>
      <c r="Y31" s="195">
        <f>'Pulje 2'!Y14</f>
        <v>365.8251926140382</v>
      </c>
      <c r="Z31" s="195">
        <f>'Pulje 2'!Z14</f>
        <v>506.50189769003464</v>
      </c>
      <c r="AA31" s="195">
        <f>'Pulje 2'!AA14</f>
        <v>0</v>
      </c>
      <c r="AB31" s="195">
        <f>'Pulje 2'!AB14</f>
        <v>0</v>
      </c>
      <c r="AC31" s="195">
        <f>'Pulje 2'!AC14</f>
        <v>0</v>
      </c>
      <c r="AD31">
        <f>'Pulje 2'!AD14</f>
        <v>0</v>
      </c>
      <c r="AE31">
        <v>2</v>
      </c>
      <c r="AF31" s="195" t="str">
        <f>IFERROR(IF(FIND("K",TblResultater[[#This Row],[Kategori]])&gt;0,"K"),"M")</f>
        <v>M</v>
      </c>
      <c r="AG31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31" s="195">
        <f>IFERROR(TblResultater[[#This Row],[SortKat]]+TblResultater[[#This Row],[5-kamp]]/10000,)</f>
        <v>7</v>
      </c>
    </row>
    <row r="32" spans="2:34" x14ac:dyDescent="0.2">
      <c r="B32" s="37" t="str">
        <f>'Pulje 2'!B15</f>
        <v>2013015</v>
      </c>
      <c r="C32" t="str">
        <f>'Pulje 2'!C15</f>
        <v>56</v>
      </c>
      <c r="D32">
        <f>'Pulje 2'!D15</f>
        <v>33.35</v>
      </c>
      <c r="E32" t="str">
        <f>'Pulje 2'!E15</f>
        <v>UM</v>
      </c>
      <c r="F32" t="str">
        <f>'Pulje 2'!F15</f>
        <v>11-12</v>
      </c>
      <c r="G32" s="197">
        <f>'Pulje 2'!G15</f>
        <v>41565</v>
      </c>
      <c r="H32">
        <f>'Pulje 2'!H15</f>
        <v>0</v>
      </c>
      <c r="I32" t="str">
        <f>'Pulje 2'!I15</f>
        <v xml:space="preserve">Elias K. Engelsvoll </v>
      </c>
      <c r="J32" t="str">
        <f>'Pulje 2'!J15</f>
        <v>Vigrestad IK</v>
      </c>
      <c r="K32">
        <f>'Pulje 2'!K15</f>
        <v>-15</v>
      </c>
      <c r="L32">
        <f>'Pulje 2'!L15</f>
        <v>15</v>
      </c>
      <c r="M32">
        <f>'Pulje 2'!M15</f>
        <v>-18</v>
      </c>
      <c r="N32">
        <f>'Pulje 2'!N15</f>
        <v>17</v>
      </c>
      <c r="O32">
        <f>'Pulje 2'!O15</f>
        <v>19</v>
      </c>
      <c r="P32">
        <f>'Pulje 2'!P15</f>
        <v>20</v>
      </c>
      <c r="Q32">
        <f>'Pulje 2'!Q15</f>
        <v>15</v>
      </c>
      <c r="R32">
        <f>'Pulje 2'!R15</f>
        <v>20</v>
      </c>
      <c r="S32" s="194">
        <f>'Pulje 2'!S15</f>
        <v>35</v>
      </c>
      <c r="T32" s="195">
        <f>'Pulje 2'!T15</f>
        <v>92.41736581295001</v>
      </c>
      <c r="U32" s="195" t="str">
        <f>'Pulje 2'!U15</f>
        <v/>
      </c>
      <c r="V32" s="195">
        <f>'Pulje 2'!V15</f>
        <v>5.2</v>
      </c>
      <c r="W32" s="195">
        <f>'Pulje 2'!V16</f>
        <v>104</v>
      </c>
      <c r="X32" s="195">
        <f>'Pulje 2'!X15</f>
        <v>8.41</v>
      </c>
      <c r="Y32" s="195">
        <f>'Pulje 2'!W16</f>
        <v>145.75538836785259</v>
      </c>
      <c r="Z32" s="195">
        <f>'Pulje 2'!X15</f>
        <v>8.41</v>
      </c>
      <c r="AA32" s="195">
        <f>'Pulje 2'!X16</f>
        <v>60</v>
      </c>
      <c r="AB32" s="195">
        <f>'Pulje 2'!Y16</f>
        <v>309.75538836785256</v>
      </c>
      <c r="AC32" s="195">
        <f>'Pulje 2'!Z16</f>
        <v>420.65622734339263</v>
      </c>
      <c r="AD32">
        <f t="shared" si="0"/>
        <v>11</v>
      </c>
      <c r="AE32">
        <v>2</v>
      </c>
      <c r="AF32" s="195" t="str">
        <f>IFERROR(IF(FIND("K",TblResultater[[#This Row],[Kategori]])&gt;0,"K"),"M")</f>
        <v>M</v>
      </c>
      <c r="AG32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1</v>
      </c>
      <c r="AH32" s="195">
        <f>IFERROR(TblResultater[[#This Row],[SortKat]]+TblResultater[[#This Row],[5-kamp]]/10000,)</f>
        <v>1.0420656227343392</v>
      </c>
    </row>
    <row r="33" spans="2:34" x14ac:dyDescent="0.2">
      <c r="B33">
        <f>'Pulje 2'!B16</f>
        <v>0</v>
      </c>
      <c r="C33">
        <f>'Pulje 2'!C16</f>
        <v>0</v>
      </c>
      <c r="D33">
        <f>'Pulje 2'!D16</f>
        <v>0</v>
      </c>
      <c r="E33">
        <f>'Pulje 2'!E16</f>
        <v>0</v>
      </c>
      <c r="F33">
        <f>'Pulje 2'!F16</f>
        <v>0</v>
      </c>
      <c r="G33">
        <f>'Pulje 2'!G16</f>
        <v>0</v>
      </c>
      <c r="H33">
        <f>'Pulje 2'!H16</f>
        <v>0</v>
      </c>
      <c r="I33">
        <f>'Pulje 2'!I16</f>
        <v>0</v>
      </c>
      <c r="J33">
        <f>'Pulje 2'!J16</f>
        <v>0</v>
      </c>
      <c r="K33">
        <f>'Pulje 2'!K16</f>
        <v>0</v>
      </c>
      <c r="L33">
        <f>'Pulje 2'!L16</f>
        <v>0</v>
      </c>
      <c r="M33">
        <f>'Pulje 2'!M16</f>
        <v>0</v>
      </c>
      <c r="N33">
        <f>'Pulje 2'!N16</f>
        <v>0</v>
      </c>
      <c r="O33">
        <f>'Pulje 2'!O16</f>
        <v>0</v>
      </c>
      <c r="P33">
        <f>'Pulje 2'!P16</f>
        <v>0</v>
      </c>
      <c r="Q33">
        <f>'Pulje 2'!Q16</f>
        <v>0</v>
      </c>
      <c r="R33">
        <f>'Pulje 2'!R16</f>
        <v>0</v>
      </c>
      <c r="S33">
        <f>'Pulje 2'!S17</f>
        <v>39</v>
      </c>
      <c r="T33" s="195">
        <f>'Pulje 2'!T16</f>
        <v>0</v>
      </c>
      <c r="U33" s="195">
        <f>'Pulje 2'!U16</f>
        <v>0</v>
      </c>
      <c r="V33" s="195">
        <f>'Pulje 2'!V16</f>
        <v>104</v>
      </c>
      <c r="W33" s="195">
        <f>'Pulje 2'!W16</f>
        <v>145.75538836785259</v>
      </c>
      <c r="X33" s="195">
        <f>'Pulje 2'!X16</f>
        <v>60</v>
      </c>
      <c r="Y33" s="195">
        <f>'Pulje 2'!Y16</f>
        <v>309.75538836785256</v>
      </c>
      <c r="Z33" s="195">
        <f>'Pulje 2'!Z16</f>
        <v>420.65622734339263</v>
      </c>
      <c r="AA33" s="195">
        <f>'Pulje 2'!AA16</f>
        <v>0</v>
      </c>
      <c r="AB33" s="195">
        <f>'Pulje 2'!AB16</f>
        <v>0</v>
      </c>
      <c r="AC33" s="195">
        <f>'Pulje 2'!AC16</f>
        <v>0</v>
      </c>
      <c r="AD33">
        <f>'Pulje 2'!AD16</f>
        <v>0</v>
      </c>
      <c r="AE33">
        <v>2</v>
      </c>
      <c r="AF33" s="195" t="str">
        <f>IFERROR(IF(FIND("K",TblResultater[[#This Row],[Kategori]])&gt;0,"K"),"M")</f>
        <v>M</v>
      </c>
      <c r="AG33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33" s="195">
        <f>IFERROR(TblResultater[[#This Row],[SortKat]]+TblResultater[[#This Row],[5-kamp]]/10000,)</f>
        <v>7</v>
      </c>
    </row>
    <row r="34" spans="2:34" x14ac:dyDescent="0.2">
      <c r="B34" s="37" t="str">
        <f>'Pulje 2'!B17</f>
        <v>2013020</v>
      </c>
      <c r="C34" t="str">
        <f>'Pulje 2'!C17</f>
        <v>56</v>
      </c>
      <c r="D34">
        <f>'Pulje 2'!D17</f>
        <v>53.91</v>
      </c>
      <c r="E34" t="str">
        <f>'Pulje 2'!E17</f>
        <v>UM</v>
      </c>
      <c r="F34" t="str">
        <f>'Pulje 2'!F17</f>
        <v>11-12</v>
      </c>
      <c r="G34" s="197">
        <f>'Pulje 2'!G17</f>
        <v>41415</v>
      </c>
      <c r="H34">
        <f>'Pulje 2'!H17</f>
        <v>0</v>
      </c>
      <c r="I34" t="str">
        <f>'Pulje 2'!I17</f>
        <v xml:space="preserve">Joar Skåre </v>
      </c>
      <c r="J34" t="str">
        <f>'Pulje 2'!J17</f>
        <v>Voll IL</v>
      </c>
      <c r="K34">
        <f>'Pulje 2'!K17</f>
        <v>12</v>
      </c>
      <c r="L34">
        <f>'Pulje 2'!L17</f>
        <v>15</v>
      </c>
      <c r="M34">
        <f>'Pulje 2'!M17</f>
        <v>18</v>
      </c>
      <c r="N34">
        <f>'Pulje 2'!N17</f>
        <v>18</v>
      </c>
      <c r="O34">
        <f>'Pulje 2'!O17</f>
        <v>-21</v>
      </c>
      <c r="P34">
        <f>'Pulje 2'!P17</f>
        <v>21</v>
      </c>
      <c r="Q34">
        <f>'Pulje 2'!Q17</f>
        <v>18</v>
      </c>
      <c r="R34">
        <f>'Pulje 2'!R17</f>
        <v>21</v>
      </c>
      <c r="S34" s="194">
        <f>'Pulje 2'!S17</f>
        <v>39</v>
      </c>
      <c r="T34" s="195">
        <f>'Pulje 2'!T17</f>
        <v>65.147706127404348</v>
      </c>
      <c r="U34" s="195" t="str">
        <f>'Pulje 2'!U17</f>
        <v/>
      </c>
      <c r="V34" s="195">
        <f>'Pulje 2'!V17</f>
        <v>4.0999999999999996</v>
      </c>
      <c r="W34" s="195">
        <f>'Pulje 2'!V18</f>
        <v>82</v>
      </c>
      <c r="X34" s="195">
        <f>'Pulje 2'!X17</f>
        <v>9.8800000000000008</v>
      </c>
      <c r="Y34" s="195">
        <f>'Pulje 2'!W18</f>
        <v>65.64884232838439</v>
      </c>
      <c r="Z34" s="195">
        <f>'Pulje 2'!X17</f>
        <v>9.8800000000000008</v>
      </c>
      <c r="AA34" s="195">
        <f>'Pulje 2'!X18</f>
        <v>3.9999999999999858</v>
      </c>
      <c r="AB34" s="195">
        <f>'Pulje 2'!Y18</f>
        <v>151.64884232838438</v>
      </c>
      <c r="AC34" s="195">
        <f>'Pulje 2'!Z18</f>
        <v>229.82608968126959</v>
      </c>
      <c r="AD34">
        <f t="shared" si="0"/>
        <v>12</v>
      </c>
      <c r="AE34">
        <v>2</v>
      </c>
      <c r="AF34" s="195" t="str">
        <f>IFERROR(IF(FIND("K",TblResultater[[#This Row],[Kategori]])&gt;0,"K"),"M")</f>
        <v>M</v>
      </c>
      <c r="AG34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1</v>
      </c>
      <c r="AH34" s="195">
        <f>IFERROR(TblResultater[[#This Row],[SortKat]]+TblResultater[[#This Row],[5-kamp]]/10000,)</f>
        <v>1.0229826089681269</v>
      </c>
    </row>
    <row r="35" spans="2:34" x14ac:dyDescent="0.2">
      <c r="B35">
        <f>'Pulje 2'!B18</f>
        <v>0</v>
      </c>
      <c r="C35">
        <f>'Pulje 2'!C18</f>
        <v>0</v>
      </c>
      <c r="D35">
        <f>'Pulje 2'!D18</f>
        <v>0</v>
      </c>
      <c r="E35">
        <f>'Pulje 2'!E18</f>
        <v>0</v>
      </c>
      <c r="F35">
        <f>'Pulje 2'!F18</f>
        <v>0</v>
      </c>
      <c r="G35">
        <f>'Pulje 2'!G18</f>
        <v>0</v>
      </c>
      <c r="H35">
        <f>'Pulje 2'!H18</f>
        <v>0</v>
      </c>
      <c r="I35">
        <f>'Pulje 2'!I18</f>
        <v>0</v>
      </c>
      <c r="J35">
        <f>'Pulje 2'!J18</f>
        <v>0</v>
      </c>
      <c r="K35">
        <f>'Pulje 2'!K18</f>
        <v>0</v>
      </c>
      <c r="L35">
        <f>'Pulje 2'!L18</f>
        <v>0</v>
      </c>
      <c r="M35">
        <f>'Pulje 2'!M18</f>
        <v>0</v>
      </c>
      <c r="N35">
        <f>'Pulje 2'!N18</f>
        <v>0</v>
      </c>
      <c r="O35">
        <f>'Pulje 2'!O18</f>
        <v>0</v>
      </c>
      <c r="P35">
        <f>'Pulje 2'!P18</f>
        <v>0</v>
      </c>
      <c r="Q35">
        <f>'Pulje 2'!Q18</f>
        <v>0</v>
      </c>
      <c r="R35">
        <f>'Pulje 2'!R18</f>
        <v>0</v>
      </c>
      <c r="S35">
        <f>'Pulje 2'!S19</f>
        <v>49</v>
      </c>
      <c r="T35" s="195">
        <f>'Pulje 2'!T18</f>
        <v>0</v>
      </c>
      <c r="U35" s="195">
        <f>'Pulje 2'!U18</f>
        <v>0</v>
      </c>
      <c r="V35" s="195">
        <f>'Pulje 2'!V18</f>
        <v>82</v>
      </c>
      <c r="W35" s="195">
        <f>'Pulje 2'!W18</f>
        <v>65.64884232838439</v>
      </c>
      <c r="X35" s="195">
        <f>'Pulje 2'!X18</f>
        <v>3.9999999999999858</v>
      </c>
      <c r="Y35" s="195">
        <f>'Pulje 2'!Y18</f>
        <v>151.64884232838438</v>
      </c>
      <c r="Z35" s="195">
        <f>'Pulje 2'!Z18</f>
        <v>229.82608968126959</v>
      </c>
      <c r="AA35" s="195">
        <f>'Pulje 2'!AA18</f>
        <v>0</v>
      </c>
      <c r="AB35" s="195">
        <f>'Pulje 2'!AB18</f>
        <v>0</v>
      </c>
      <c r="AC35" s="195">
        <f>'Pulje 2'!AC18</f>
        <v>0</v>
      </c>
      <c r="AD35">
        <f>'Pulje 2'!AD18</f>
        <v>0</v>
      </c>
      <c r="AE35">
        <v>2</v>
      </c>
      <c r="AF35" s="195" t="str">
        <f>IFERROR(IF(FIND("K",TblResultater[[#This Row],[Kategori]])&gt;0,"K"),"M")</f>
        <v>M</v>
      </c>
      <c r="AG35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35" s="195">
        <f>IFERROR(TblResultater[[#This Row],[SortKat]]+TblResultater[[#This Row],[5-kamp]]/10000,)</f>
        <v>7</v>
      </c>
    </row>
    <row r="36" spans="2:34" x14ac:dyDescent="0.2">
      <c r="B36" s="37" t="str">
        <f>'Pulje 2'!B19</f>
        <v>2013025</v>
      </c>
      <c r="C36" t="str">
        <f>'Pulje 2'!C19</f>
        <v>56</v>
      </c>
      <c r="D36">
        <f>'Pulje 2'!D19</f>
        <v>52.23</v>
      </c>
      <c r="E36" t="str">
        <f>'Pulje 2'!E19</f>
        <v>UM</v>
      </c>
      <c r="F36" t="str">
        <f>'Pulje 2'!F19</f>
        <v>11-12</v>
      </c>
      <c r="G36" s="197">
        <f>'Pulje 2'!G19</f>
        <v>41455</v>
      </c>
      <c r="H36">
        <f>'Pulje 2'!H19</f>
        <v>0</v>
      </c>
      <c r="I36" t="str">
        <f>'Pulje 2'!I19</f>
        <v xml:space="preserve">Tristan Nicolai Hjelmervik </v>
      </c>
      <c r="J36" t="str">
        <f>'Pulje 2'!J19</f>
        <v>Voll IL</v>
      </c>
      <c r="K36">
        <f>'Pulje 2'!K19</f>
        <v>15</v>
      </c>
      <c r="L36">
        <f>'Pulje 2'!L19</f>
        <v>-18</v>
      </c>
      <c r="M36">
        <f>'Pulje 2'!M19</f>
        <v>18</v>
      </c>
      <c r="N36">
        <f>'Pulje 2'!N19</f>
        <v>28</v>
      </c>
      <c r="O36">
        <f>'Pulje 2'!O19</f>
        <v>31</v>
      </c>
      <c r="P36">
        <f>'Pulje 2'!P19</f>
        <v>-35</v>
      </c>
      <c r="Q36">
        <f>'Pulje 2'!Q19</f>
        <v>18</v>
      </c>
      <c r="R36">
        <f>'Pulje 2'!R19</f>
        <v>31</v>
      </c>
      <c r="S36" s="194">
        <f>'Pulje 2'!S19</f>
        <v>49</v>
      </c>
      <c r="T36" s="195">
        <f>'Pulje 2'!T19</f>
        <v>83.985233407723086</v>
      </c>
      <c r="U36" s="195" t="str">
        <f>'Pulje 2'!U19</f>
        <v/>
      </c>
      <c r="V36" s="195">
        <f>'Pulje 2'!V19</f>
        <v>5.1100000000000003</v>
      </c>
      <c r="W36" s="195">
        <f>'Pulje 2'!V20</f>
        <v>102.2</v>
      </c>
      <c r="X36" s="195">
        <f>'Pulje 2'!X19</f>
        <v>8.41</v>
      </c>
      <c r="Y36" s="195">
        <f>'Pulje 2'!W20</f>
        <v>125.63505324053268</v>
      </c>
      <c r="Z36" s="195">
        <f>'Pulje 2'!X19</f>
        <v>8.41</v>
      </c>
      <c r="AA36" s="195">
        <f>'Pulje 2'!X20</f>
        <v>60</v>
      </c>
      <c r="AB36" s="195">
        <f>'Pulje 2'!Y20</f>
        <v>287.83505324053272</v>
      </c>
      <c r="AC36" s="195">
        <f>'Pulje 2'!Z20</f>
        <v>388.61733332980037</v>
      </c>
      <c r="AD36">
        <f t="shared" si="0"/>
        <v>11</v>
      </c>
      <c r="AE36">
        <v>2</v>
      </c>
      <c r="AF36" s="195" t="str">
        <f>IFERROR(IF(FIND("K",TblResultater[[#This Row],[Kategori]])&gt;0,"K"),"M")</f>
        <v>M</v>
      </c>
      <c r="AG36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1</v>
      </c>
      <c r="AH36" s="195">
        <f>IFERROR(TblResultater[[#This Row],[SortKat]]+TblResultater[[#This Row],[5-kamp]]/10000,)</f>
        <v>1.0388617333329799</v>
      </c>
    </row>
    <row r="37" spans="2:34" x14ac:dyDescent="0.2">
      <c r="B37">
        <f>'Pulje 2'!B20</f>
        <v>0</v>
      </c>
      <c r="C37">
        <f>'Pulje 2'!C20</f>
        <v>0</v>
      </c>
      <c r="D37">
        <f>'Pulje 2'!D20</f>
        <v>0</v>
      </c>
      <c r="E37">
        <f>'Pulje 2'!E20</f>
        <v>0</v>
      </c>
      <c r="F37">
        <f>'Pulje 2'!F20</f>
        <v>0</v>
      </c>
      <c r="G37">
        <f>'Pulje 2'!G20</f>
        <v>0</v>
      </c>
      <c r="H37">
        <f>'Pulje 2'!H20</f>
        <v>0</v>
      </c>
      <c r="I37">
        <f>'Pulje 2'!I20</f>
        <v>0</v>
      </c>
      <c r="J37">
        <f>'Pulje 2'!J20</f>
        <v>0</v>
      </c>
      <c r="K37">
        <f>'Pulje 2'!K20</f>
        <v>0</v>
      </c>
      <c r="L37">
        <f>'Pulje 2'!L20</f>
        <v>0</v>
      </c>
      <c r="M37">
        <f>'Pulje 2'!M20</f>
        <v>0</v>
      </c>
      <c r="N37">
        <f>'Pulje 2'!N20</f>
        <v>0</v>
      </c>
      <c r="O37">
        <f>'Pulje 2'!O20</f>
        <v>0</v>
      </c>
      <c r="P37">
        <f>'Pulje 2'!P20</f>
        <v>0</v>
      </c>
      <c r="Q37">
        <f>'Pulje 2'!Q20</f>
        <v>0</v>
      </c>
      <c r="R37">
        <f>'Pulje 2'!R20</f>
        <v>0</v>
      </c>
      <c r="S37">
        <f>'Pulje 2'!S21</f>
        <v>67</v>
      </c>
      <c r="T37" s="195">
        <f>'Pulje 2'!T20</f>
        <v>0</v>
      </c>
      <c r="U37" s="195">
        <f>'Pulje 2'!U20</f>
        <v>0</v>
      </c>
      <c r="V37" s="195">
        <f>'Pulje 2'!V20</f>
        <v>102.2</v>
      </c>
      <c r="W37" s="195">
        <f>'Pulje 2'!W20</f>
        <v>125.63505324053268</v>
      </c>
      <c r="X37" s="195">
        <f>'Pulje 2'!X20</f>
        <v>60</v>
      </c>
      <c r="Y37" s="195">
        <f>'Pulje 2'!Y20</f>
        <v>287.83505324053272</v>
      </c>
      <c r="Z37" s="195">
        <f>'Pulje 2'!Z20</f>
        <v>388.61733332980037</v>
      </c>
      <c r="AA37" s="195">
        <f>'Pulje 2'!AA20</f>
        <v>0</v>
      </c>
      <c r="AB37" s="195">
        <f>'Pulje 2'!AB20</f>
        <v>0</v>
      </c>
      <c r="AC37" s="195">
        <f>'Pulje 2'!AC20</f>
        <v>0</v>
      </c>
      <c r="AD37">
        <f>'Pulje 2'!AD20</f>
        <v>0</v>
      </c>
      <c r="AE37">
        <v>2</v>
      </c>
      <c r="AF37" s="195" t="str">
        <f>IFERROR(IF(FIND("K",TblResultater[[#This Row],[Kategori]])&gt;0,"K"),"M")</f>
        <v>M</v>
      </c>
      <c r="AG37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37" s="195">
        <f>IFERROR(TblResultater[[#This Row],[SortKat]]+TblResultater[[#This Row],[5-kamp]]/10000,)</f>
        <v>7</v>
      </c>
    </row>
    <row r="38" spans="2:34" x14ac:dyDescent="0.2">
      <c r="B38" s="37" t="str">
        <f>'Pulje 2'!B21</f>
        <v>2012014</v>
      </c>
      <c r="C38" t="str">
        <f>'Pulje 2'!C21</f>
        <v>63</v>
      </c>
      <c r="D38">
        <f>'Pulje 2'!D21</f>
        <v>62.85</v>
      </c>
      <c r="E38" t="str">
        <f>'Pulje 2'!E21</f>
        <v>UK</v>
      </c>
      <c r="F38" t="str">
        <f>'Pulje 2'!F21</f>
        <v>13-14</v>
      </c>
      <c r="G38" s="197">
        <f>'Pulje 2'!G21</f>
        <v>41200</v>
      </c>
      <c r="H38">
        <f>'Pulje 2'!H21</f>
        <v>0</v>
      </c>
      <c r="I38" t="str">
        <f>'Pulje 2'!I21</f>
        <v xml:space="preserve">Martine Nordal Hetland  </v>
      </c>
      <c r="J38" t="str">
        <f>'Pulje 2'!J21</f>
        <v>Tysvær VK</v>
      </c>
      <c r="K38">
        <f>'Pulje 2'!K21</f>
        <v>-30</v>
      </c>
      <c r="L38">
        <f>'Pulje 2'!L21</f>
        <v>30</v>
      </c>
      <c r="M38">
        <f>'Pulje 2'!M21</f>
        <v>-33</v>
      </c>
      <c r="N38">
        <f>'Pulje 2'!N21</f>
        <v>-37</v>
      </c>
      <c r="O38">
        <f>'Pulje 2'!O21</f>
        <v>-37</v>
      </c>
      <c r="P38">
        <f>'Pulje 2'!P21</f>
        <v>37</v>
      </c>
      <c r="Q38">
        <f>'Pulje 2'!Q21</f>
        <v>30</v>
      </c>
      <c r="R38">
        <f>'Pulje 2'!R21</f>
        <v>37</v>
      </c>
      <c r="S38" s="194">
        <f>'Pulje 2'!S21</f>
        <v>67</v>
      </c>
      <c r="T38" s="195">
        <f>'Pulje 2'!T21</f>
        <v>88.079988409985745</v>
      </c>
      <c r="U38" s="195" t="str">
        <f>'Pulje 2'!U21</f>
        <v/>
      </c>
      <c r="V38" s="195">
        <f>'Pulje 2'!V21</f>
        <v>5.08</v>
      </c>
      <c r="W38" s="195">
        <f>'Pulje 2'!V22</f>
        <v>101.6</v>
      </c>
      <c r="X38" s="195">
        <f>'Pulje 2'!X21</f>
        <v>8.2799999999999994</v>
      </c>
      <c r="Y38" s="195">
        <f>'Pulje 2'!W22</f>
        <v>119.474417685296</v>
      </c>
      <c r="Z38" s="195">
        <f>'Pulje 2'!X21</f>
        <v>8.2799999999999994</v>
      </c>
      <c r="AA38" s="195">
        <f>'Pulje 2'!X22</f>
        <v>68.000000000000043</v>
      </c>
      <c r="AB38" s="195">
        <f>'Pulje 2'!Y22</f>
        <v>289.07441768529605</v>
      </c>
      <c r="AC38" s="195">
        <f>'Pulje 2'!Z22</f>
        <v>394.77040377727894</v>
      </c>
      <c r="AD38">
        <f t="shared" si="0"/>
        <v>12</v>
      </c>
      <c r="AE38">
        <v>2</v>
      </c>
      <c r="AF38" s="195" t="str">
        <f>IFERROR(IF(FIND("K",TblResultater[[#This Row],[Kategori]])&gt;0,"K"),"M")</f>
        <v>K</v>
      </c>
      <c r="AG38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2</v>
      </c>
      <c r="AH38" s="195">
        <f>IFERROR(TblResultater[[#This Row],[SortKat]]+TblResultater[[#This Row],[5-kamp]]/10000,)</f>
        <v>2.039477040377728</v>
      </c>
    </row>
    <row r="39" spans="2:34" x14ac:dyDescent="0.2">
      <c r="B39">
        <f>'Pulje 2'!B22</f>
        <v>0</v>
      </c>
      <c r="C39">
        <f>'Pulje 2'!C22</f>
        <v>0</v>
      </c>
      <c r="D39">
        <f>'Pulje 2'!D22</f>
        <v>0</v>
      </c>
      <c r="E39">
        <f>'Pulje 2'!E22</f>
        <v>0</v>
      </c>
      <c r="F39">
        <f>'Pulje 2'!F22</f>
        <v>0</v>
      </c>
      <c r="G39">
        <f>'Pulje 2'!G22</f>
        <v>0</v>
      </c>
      <c r="H39">
        <f>'Pulje 2'!H22</f>
        <v>0</v>
      </c>
      <c r="I39">
        <f>'Pulje 2'!I22</f>
        <v>0</v>
      </c>
      <c r="J39">
        <f>'Pulje 2'!J22</f>
        <v>0</v>
      </c>
      <c r="K39">
        <f>'Pulje 2'!K22</f>
        <v>0</v>
      </c>
      <c r="L39">
        <f>'Pulje 2'!L22</f>
        <v>0</v>
      </c>
      <c r="M39">
        <f>'Pulje 2'!M22</f>
        <v>0</v>
      </c>
      <c r="N39">
        <f>'Pulje 2'!N22</f>
        <v>0</v>
      </c>
      <c r="O39">
        <f>'Pulje 2'!O22</f>
        <v>0</v>
      </c>
      <c r="P39">
        <f>'Pulje 2'!P22</f>
        <v>0</v>
      </c>
      <c r="Q39">
        <f>'Pulje 2'!Q22</f>
        <v>0</v>
      </c>
      <c r="R39">
        <f>'Pulje 2'!R22</f>
        <v>0</v>
      </c>
      <c r="S39">
        <f>'Pulje 2'!S23</f>
        <v>59</v>
      </c>
      <c r="T39" s="195">
        <f>'Pulje 2'!T22</f>
        <v>0</v>
      </c>
      <c r="U39" s="195">
        <f>'Pulje 2'!U22</f>
        <v>0</v>
      </c>
      <c r="V39" s="195">
        <f>'Pulje 2'!V22</f>
        <v>101.6</v>
      </c>
      <c r="W39" s="195">
        <f>'Pulje 2'!W22</f>
        <v>119.474417685296</v>
      </c>
      <c r="X39" s="195">
        <f>'Pulje 2'!X22</f>
        <v>68.000000000000043</v>
      </c>
      <c r="Y39" s="195">
        <f>'Pulje 2'!Y22</f>
        <v>289.07441768529605</v>
      </c>
      <c r="Z39" s="195">
        <f>'Pulje 2'!Z22</f>
        <v>394.77040377727894</v>
      </c>
      <c r="AA39" s="195">
        <f>'Pulje 2'!AA22</f>
        <v>0</v>
      </c>
      <c r="AB39" s="195">
        <f>'Pulje 2'!AB22</f>
        <v>0</v>
      </c>
      <c r="AC39" s="195">
        <f>'Pulje 2'!AC22</f>
        <v>0</v>
      </c>
      <c r="AD39">
        <f>'Pulje 2'!AD22</f>
        <v>0</v>
      </c>
      <c r="AE39">
        <v>2</v>
      </c>
      <c r="AF39" s="195" t="str">
        <f>IFERROR(IF(FIND("K",TblResultater[[#This Row],[Kategori]])&gt;0,"K"),"M")</f>
        <v>M</v>
      </c>
      <c r="AG39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39" s="195">
        <f>IFERROR(TblResultater[[#This Row],[SortKat]]+TblResultater[[#This Row],[5-kamp]]/10000,)</f>
        <v>7</v>
      </c>
    </row>
    <row r="40" spans="2:34" x14ac:dyDescent="0.2">
      <c r="B40" s="37" t="str">
        <f>'Pulje 2'!B23</f>
        <v>2012031</v>
      </c>
      <c r="C40" t="str">
        <f>'Pulje 2'!C23</f>
        <v>53</v>
      </c>
      <c r="D40">
        <f>'Pulje 2'!D23</f>
        <v>50.65</v>
      </c>
      <c r="E40" t="str">
        <f>'Pulje 2'!E23</f>
        <v>UK</v>
      </c>
      <c r="F40" t="str">
        <f>'Pulje 2'!F23</f>
        <v>13-14</v>
      </c>
      <c r="G40" s="197">
        <f>'Pulje 2'!G23</f>
        <v>40976</v>
      </c>
      <c r="H40">
        <f>'Pulje 2'!H23</f>
        <v>0</v>
      </c>
      <c r="I40" t="str">
        <f>'Pulje 2'!I23</f>
        <v xml:space="preserve">Malin Hansen Hole </v>
      </c>
      <c r="J40" t="str">
        <f>'Pulje 2'!J23</f>
        <v>Voll IL</v>
      </c>
      <c r="K40">
        <f>'Pulje 2'!K23</f>
        <v>22</v>
      </c>
      <c r="L40">
        <f>'Pulje 2'!L23</f>
        <v>-25</v>
      </c>
      <c r="M40">
        <f>'Pulje 2'!M23</f>
        <v>25</v>
      </c>
      <c r="N40">
        <f>'Pulje 2'!N23</f>
        <v>31</v>
      </c>
      <c r="O40">
        <f>'Pulje 2'!O23</f>
        <v>34</v>
      </c>
      <c r="P40">
        <f>'Pulje 2'!P23</f>
        <v>-37</v>
      </c>
      <c r="Q40">
        <f>'Pulje 2'!Q23</f>
        <v>25</v>
      </c>
      <c r="R40">
        <f>'Pulje 2'!R23</f>
        <v>34</v>
      </c>
      <c r="S40" s="194">
        <f>'Pulje 2'!S23</f>
        <v>59</v>
      </c>
      <c r="T40" s="195">
        <f>'Pulje 2'!T23</f>
        <v>89.926120947259975</v>
      </c>
      <c r="U40" s="195" t="str">
        <f>'Pulje 2'!U23</f>
        <v/>
      </c>
      <c r="V40" s="195">
        <f>'Pulje 2'!V23</f>
        <v>5.0999999999999996</v>
      </c>
      <c r="W40" s="195">
        <f>'Pulje 2'!V24</f>
        <v>102</v>
      </c>
      <c r="X40" s="195">
        <f>'Pulje 2'!X23</f>
        <v>8.9</v>
      </c>
      <c r="Y40" s="195">
        <f>'Pulje 2'!W24</f>
        <v>130.99796141939848</v>
      </c>
      <c r="Z40" s="195">
        <f>'Pulje 2'!X23</f>
        <v>8.9</v>
      </c>
      <c r="AA40" s="195">
        <f>'Pulje 2'!X24</f>
        <v>43.999999999999986</v>
      </c>
      <c r="AB40" s="195">
        <f>'Pulje 2'!Y24</f>
        <v>276.99796141939845</v>
      </c>
      <c r="AC40" s="195">
        <f>'Pulje 2'!Z24</f>
        <v>384.90930655611044</v>
      </c>
      <c r="AD40">
        <f t="shared" si="0"/>
        <v>13</v>
      </c>
      <c r="AE40">
        <v>2</v>
      </c>
      <c r="AF40" s="195" t="str">
        <f>IFERROR(IF(FIND("K",TblResultater[[#This Row],[Kategori]])&gt;0,"K"),"M")</f>
        <v>K</v>
      </c>
      <c r="AG40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2</v>
      </c>
      <c r="AH40" s="195">
        <f>IFERROR(TblResultater[[#This Row],[SortKat]]+TblResultater[[#This Row],[5-kamp]]/10000,)</f>
        <v>2.0384909306556112</v>
      </c>
    </row>
    <row r="41" spans="2:34" x14ac:dyDescent="0.2">
      <c r="B41">
        <f>'Pulje 2'!B24</f>
        <v>0</v>
      </c>
      <c r="C41">
        <f>'Pulje 2'!C24</f>
        <v>0</v>
      </c>
      <c r="D41">
        <f>'Pulje 2'!D24</f>
        <v>0</v>
      </c>
      <c r="E41">
        <f>'Pulje 2'!E24</f>
        <v>0</v>
      </c>
      <c r="F41">
        <f>'Pulje 2'!F24</f>
        <v>0</v>
      </c>
      <c r="G41">
        <f>'Pulje 2'!G24</f>
        <v>0</v>
      </c>
      <c r="H41">
        <f>'Pulje 2'!H24</f>
        <v>0</v>
      </c>
      <c r="I41">
        <f>'Pulje 2'!I24</f>
        <v>0</v>
      </c>
      <c r="J41">
        <f>'Pulje 2'!J24</f>
        <v>0</v>
      </c>
      <c r="K41">
        <f>'Pulje 2'!K24</f>
        <v>0</v>
      </c>
      <c r="L41">
        <f>'Pulje 2'!L24</f>
        <v>0</v>
      </c>
      <c r="M41">
        <f>'Pulje 2'!M24</f>
        <v>0</v>
      </c>
      <c r="N41">
        <f>'Pulje 2'!N24</f>
        <v>0</v>
      </c>
      <c r="O41">
        <f>'Pulje 2'!O24</f>
        <v>0</v>
      </c>
      <c r="P41">
        <f>'Pulje 2'!P24</f>
        <v>0</v>
      </c>
      <c r="Q41">
        <f>'Pulje 2'!Q24</f>
        <v>0</v>
      </c>
      <c r="R41">
        <f>'Pulje 2'!R24</f>
        <v>0</v>
      </c>
      <c r="S41">
        <f>'Pulje 2'!S25</f>
        <v>76</v>
      </c>
      <c r="T41" s="195">
        <f>'Pulje 2'!T24</f>
        <v>0</v>
      </c>
      <c r="U41" s="195">
        <f>'Pulje 2'!U24</f>
        <v>0</v>
      </c>
      <c r="V41" s="195">
        <f>'Pulje 2'!V24</f>
        <v>102</v>
      </c>
      <c r="W41" s="195">
        <f>'Pulje 2'!W24</f>
        <v>130.99796141939848</v>
      </c>
      <c r="X41" s="195">
        <f>'Pulje 2'!X24</f>
        <v>43.999999999999986</v>
      </c>
      <c r="Y41" s="195">
        <f>'Pulje 2'!Y24</f>
        <v>276.99796141939845</v>
      </c>
      <c r="Z41" s="195">
        <f>'Pulje 2'!Z24</f>
        <v>384.90930655611044</v>
      </c>
      <c r="AA41" s="195">
        <f>'Pulje 2'!AA24</f>
        <v>0</v>
      </c>
      <c r="AB41" s="195">
        <f>'Pulje 2'!AB24</f>
        <v>0</v>
      </c>
      <c r="AC41" s="195">
        <f>'Pulje 2'!AC24</f>
        <v>0</v>
      </c>
      <c r="AD41">
        <f>'Pulje 2'!AD24</f>
        <v>0</v>
      </c>
      <c r="AE41">
        <v>2</v>
      </c>
      <c r="AF41" s="195" t="str">
        <f>IFERROR(IF(FIND("K",TblResultater[[#This Row],[Kategori]])&gt;0,"K"),"M")</f>
        <v>M</v>
      </c>
      <c r="AG41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41" s="195">
        <f>IFERROR(TblResultater[[#This Row],[SortKat]]+TblResultater[[#This Row],[5-kamp]]/10000,)</f>
        <v>7</v>
      </c>
    </row>
    <row r="42" spans="2:34" x14ac:dyDescent="0.2">
      <c r="B42" s="37" t="str">
        <f>'Pulje 2'!B25</f>
        <v>2011012</v>
      </c>
      <c r="C42" t="str">
        <f>'Pulje 2'!C25</f>
        <v>56</v>
      </c>
      <c r="D42">
        <f>'Pulje 2'!D25</f>
        <v>44.82</v>
      </c>
      <c r="E42" t="str">
        <f>'Pulje 2'!E25</f>
        <v>UM</v>
      </c>
      <c r="F42" t="str">
        <f>'Pulje 2'!F25</f>
        <v>13-14</v>
      </c>
      <c r="G42" s="197">
        <f>'Pulje 2'!G25</f>
        <v>40698</v>
      </c>
      <c r="H42">
        <f>'Pulje 2'!H25</f>
        <v>0</v>
      </c>
      <c r="I42" t="str">
        <f>'Pulje 2'!I25</f>
        <v>Thomas Kongsvik Vihovde</v>
      </c>
      <c r="J42" t="str">
        <f>'Pulje 2'!J25</f>
        <v>Haugesund VK</v>
      </c>
      <c r="K42">
        <f>'Pulje 2'!K25</f>
        <v>30</v>
      </c>
      <c r="L42">
        <f>'Pulje 2'!L25</f>
        <v>33</v>
      </c>
      <c r="M42">
        <f>'Pulje 2'!M25</f>
        <v>34</v>
      </c>
      <c r="N42">
        <f>'Pulje 2'!N25</f>
        <v>37</v>
      </c>
      <c r="O42">
        <f>'Pulje 2'!O25</f>
        <v>41</v>
      </c>
      <c r="P42">
        <f>'Pulje 2'!P25</f>
        <v>42</v>
      </c>
      <c r="Q42">
        <f>'Pulje 2'!Q25</f>
        <v>34</v>
      </c>
      <c r="R42">
        <f>'Pulje 2'!R25</f>
        <v>42</v>
      </c>
      <c r="S42" s="194">
        <f>'Pulje 2'!S25</f>
        <v>76</v>
      </c>
      <c r="T42" s="195">
        <f>'Pulje 2'!T25</f>
        <v>148.82164616045833</v>
      </c>
      <c r="U42" s="195" t="str">
        <f>'Pulje 2'!U25</f>
        <v/>
      </c>
      <c r="V42" s="195">
        <f>'Pulje 2'!V25</f>
        <v>6.04</v>
      </c>
      <c r="W42" s="195">
        <f>'Pulje 2'!V26</f>
        <v>120.8</v>
      </c>
      <c r="X42" s="195">
        <f>'Pulje 2'!X25</f>
        <v>7.47</v>
      </c>
      <c r="Y42" s="195">
        <f>'Pulje 2'!W26</f>
        <v>139.03074838674397</v>
      </c>
      <c r="Z42" s="195">
        <f>'Pulje 2'!X25</f>
        <v>7.47</v>
      </c>
      <c r="AA42" s="195">
        <f>'Pulje 2'!X26</f>
        <v>100</v>
      </c>
      <c r="AB42" s="195">
        <f>'Pulje 2'!Y26</f>
        <v>359.83074838674395</v>
      </c>
      <c r="AC42" s="195">
        <f>'Pulje 2'!Z26</f>
        <v>538.41672377929399</v>
      </c>
      <c r="AD42">
        <f t="shared" si="0"/>
        <v>14</v>
      </c>
      <c r="AE42">
        <v>2</v>
      </c>
      <c r="AF42" s="195" t="str">
        <f>IFERROR(IF(FIND("K",TblResultater[[#This Row],[Kategori]])&gt;0,"K"),"M")</f>
        <v>M</v>
      </c>
      <c r="AG42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2</v>
      </c>
      <c r="AH42" s="195">
        <f>IFERROR(TblResultater[[#This Row],[SortKat]]+TblResultater[[#This Row],[5-kamp]]/10000,)</f>
        <v>2.0538416723779296</v>
      </c>
    </row>
    <row r="43" spans="2:34" x14ac:dyDescent="0.2">
      <c r="B43">
        <f>'Pulje 2'!B26</f>
        <v>0</v>
      </c>
      <c r="C43">
        <f>'Pulje 2'!C26</f>
        <v>0</v>
      </c>
      <c r="D43">
        <f>'Pulje 2'!D26</f>
        <v>0</v>
      </c>
      <c r="E43">
        <f>'Pulje 2'!E26</f>
        <v>0</v>
      </c>
      <c r="F43">
        <f>'Pulje 2'!F26</f>
        <v>0</v>
      </c>
      <c r="G43">
        <f>'Pulje 2'!G26</f>
        <v>0</v>
      </c>
      <c r="H43">
        <f>'Pulje 2'!H26</f>
        <v>0</v>
      </c>
      <c r="I43">
        <f>'Pulje 2'!I26</f>
        <v>0</v>
      </c>
      <c r="J43">
        <f>'Pulje 2'!J26</f>
        <v>0</v>
      </c>
      <c r="K43">
        <f>'Pulje 2'!K26</f>
        <v>0</v>
      </c>
      <c r="L43">
        <f>'Pulje 2'!L26</f>
        <v>0</v>
      </c>
      <c r="M43">
        <f>'Pulje 2'!M26</f>
        <v>0</v>
      </c>
      <c r="N43">
        <f>'Pulje 2'!N26</f>
        <v>0</v>
      </c>
      <c r="O43">
        <f>'Pulje 2'!O26</f>
        <v>0</v>
      </c>
      <c r="P43">
        <f>'Pulje 2'!P26</f>
        <v>0</v>
      </c>
      <c r="Q43">
        <f>'Pulje 2'!Q26</f>
        <v>0</v>
      </c>
      <c r="R43">
        <f>'Pulje 2'!R26</f>
        <v>0</v>
      </c>
      <c r="S43">
        <f>'Pulje 2'!S27</f>
        <v>52</v>
      </c>
      <c r="T43" s="195">
        <f>'Pulje 2'!T26</f>
        <v>0</v>
      </c>
      <c r="U43" s="195">
        <f>'Pulje 2'!U26</f>
        <v>0</v>
      </c>
      <c r="V43" s="195">
        <f>'Pulje 2'!V26</f>
        <v>120.8</v>
      </c>
      <c r="W43" s="195">
        <f>'Pulje 2'!W26</f>
        <v>139.03074838674397</v>
      </c>
      <c r="X43" s="195">
        <f>'Pulje 2'!X26</f>
        <v>100</v>
      </c>
      <c r="Y43" s="195">
        <f>'Pulje 2'!Y26</f>
        <v>359.83074838674395</v>
      </c>
      <c r="Z43" s="195">
        <f>'Pulje 2'!Z26</f>
        <v>538.41672377929399</v>
      </c>
      <c r="AA43" s="195">
        <f>'Pulje 2'!AA26</f>
        <v>0</v>
      </c>
      <c r="AB43" s="195">
        <f>'Pulje 2'!AB26</f>
        <v>0</v>
      </c>
      <c r="AC43" s="195">
        <f>'Pulje 2'!AC26</f>
        <v>0</v>
      </c>
      <c r="AD43">
        <f>'Pulje 2'!AD26</f>
        <v>0</v>
      </c>
      <c r="AE43">
        <v>2</v>
      </c>
      <c r="AF43" s="195" t="str">
        <f>IFERROR(IF(FIND("K",TblResultater[[#This Row],[Kategori]])&gt;0,"K"),"M")</f>
        <v>M</v>
      </c>
      <c r="AG43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43" s="195">
        <f>IFERROR(TblResultater[[#This Row],[SortKat]]+TblResultater[[#This Row],[5-kamp]]/10000,)</f>
        <v>7</v>
      </c>
    </row>
    <row r="44" spans="2:34" x14ac:dyDescent="0.2">
      <c r="B44" s="37" t="str">
        <f>'Pulje 2'!B27</f>
        <v>2012018</v>
      </c>
      <c r="C44">
        <f>'Pulje 2'!C27</f>
        <v>56</v>
      </c>
      <c r="D44">
        <f>'Pulje 2'!D27</f>
        <v>40.46</v>
      </c>
      <c r="E44" t="str">
        <f>'Pulje 2'!E27</f>
        <v>UM</v>
      </c>
      <c r="F44" t="str">
        <f>'Pulje 2'!F27</f>
        <v>13-14</v>
      </c>
      <c r="G44" s="197">
        <f>'Pulje 2'!G27</f>
        <v>41199</v>
      </c>
      <c r="H44">
        <f>'Pulje 2'!H27</f>
        <v>0</v>
      </c>
      <c r="I44" t="str">
        <f>'Pulje 2'!I27</f>
        <v xml:space="preserve">Johan Sønderland </v>
      </c>
      <c r="J44" t="str">
        <f>'Pulje 2'!J27</f>
        <v>Tysvær VK</v>
      </c>
      <c r="K44">
        <f>'Pulje 2'!K27</f>
        <v>18</v>
      </c>
      <c r="L44">
        <f>'Pulje 2'!L27</f>
        <v>22</v>
      </c>
      <c r="M44">
        <f>'Pulje 2'!M27</f>
        <v>-26</v>
      </c>
      <c r="N44">
        <f>'Pulje 2'!N27</f>
        <v>25</v>
      </c>
      <c r="O44">
        <f>'Pulje 2'!O27</f>
        <v>28</v>
      </c>
      <c r="P44">
        <f>'Pulje 2'!P27</f>
        <v>30</v>
      </c>
      <c r="Q44">
        <f>'Pulje 2'!Q27</f>
        <v>22</v>
      </c>
      <c r="R44">
        <f>'Pulje 2'!R27</f>
        <v>30</v>
      </c>
      <c r="S44" s="194">
        <f>'Pulje 2'!S27</f>
        <v>52</v>
      </c>
      <c r="T44" s="195">
        <f>'Pulje 2'!T27</f>
        <v>112.23029747073274</v>
      </c>
      <c r="U44" s="195" t="str">
        <f>'Pulje 2'!U27</f>
        <v/>
      </c>
      <c r="V44" s="195">
        <f>'Pulje 2'!V27</f>
        <v>5.63</v>
      </c>
      <c r="W44" s="195">
        <f>'Pulje 2'!V28</f>
        <v>112.6</v>
      </c>
      <c r="X44" s="195">
        <f>'Pulje 2'!X27</f>
        <v>8.24</v>
      </c>
      <c r="Y44" s="195">
        <f>'Pulje 2'!W28</f>
        <v>166.40299874987485</v>
      </c>
      <c r="Z44" s="195">
        <f>'Pulje 2'!X27</f>
        <v>8.24</v>
      </c>
      <c r="AA44" s="195">
        <f>'Pulje 2'!X28</f>
        <v>68.000000000000043</v>
      </c>
      <c r="AB44" s="195">
        <f>'Pulje 2'!Y28</f>
        <v>347.00299874987491</v>
      </c>
      <c r="AC44" s="195">
        <f>'Pulje 2'!Z28</f>
        <v>481.67935571475419</v>
      </c>
      <c r="AD44">
        <f t="shared" si="0"/>
        <v>12</v>
      </c>
      <c r="AE44">
        <v>2</v>
      </c>
      <c r="AF44" s="195" t="str">
        <f>IFERROR(IF(FIND("K",TblResultater[[#This Row],[Kategori]])&gt;0,"K"),"M")</f>
        <v>M</v>
      </c>
      <c r="AG44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2</v>
      </c>
      <c r="AH44" s="195">
        <f>IFERROR(TblResultater[[#This Row],[SortKat]]+TblResultater[[#This Row],[5-kamp]]/10000,)</f>
        <v>2.0481679355714753</v>
      </c>
    </row>
    <row r="45" spans="2:34" x14ac:dyDescent="0.2">
      <c r="B45">
        <f>'Pulje 2'!B28</f>
        <v>0</v>
      </c>
      <c r="C45">
        <f>'Pulje 2'!C28</f>
        <v>0</v>
      </c>
      <c r="D45">
        <f>'Pulje 2'!D28</f>
        <v>0</v>
      </c>
      <c r="E45">
        <f>'Pulje 2'!E28</f>
        <v>0</v>
      </c>
      <c r="F45">
        <f>'Pulje 2'!F28</f>
        <v>0</v>
      </c>
      <c r="G45">
        <f>'Pulje 2'!G28</f>
        <v>0</v>
      </c>
      <c r="H45">
        <f>'Pulje 2'!H28</f>
        <v>0</v>
      </c>
      <c r="I45">
        <f>'Pulje 2'!I28</f>
        <v>0</v>
      </c>
      <c r="J45">
        <f>'Pulje 2'!J28</f>
        <v>0</v>
      </c>
      <c r="K45">
        <f>'Pulje 2'!K28</f>
        <v>0</v>
      </c>
      <c r="L45">
        <f>'Pulje 2'!L28</f>
        <v>0</v>
      </c>
      <c r="M45">
        <f>'Pulje 2'!M28</f>
        <v>0</v>
      </c>
      <c r="N45">
        <f>'Pulje 2'!N28</f>
        <v>0</v>
      </c>
      <c r="O45">
        <f>'Pulje 2'!O28</f>
        <v>0</v>
      </c>
      <c r="P45">
        <f>'Pulje 2'!P28</f>
        <v>0</v>
      </c>
      <c r="Q45">
        <f>'Pulje 2'!Q28</f>
        <v>0</v>
      </c>
      <c r="R45">
        <f>'Pulje 2'!R28</f>
        <v>0</v>
      </c>
      <c r="S45" t="str">
        <f>'Pulje 2'!S29</f>
        <v/>
      </c>
      <c r="T45" s="195">
        <f>'Pulje 2'!T28</f>
        <v>0</v>
      </c>
      <c r="U45" s="195">
        <f>'Pulje 2'!U28</f>
        <v>0</v>
      </c>
      <c r="V45" s="195">
        <f>'Pulje 2'!V28</f>
        <v>112.6</v>
      </c>
      <c r="W45" s="195">
        <f>'Pulje 2'!W28</f>
        <v>166.40299874987485</v>
      </c>
      <c r="X45" s="195">
        <f>'Pulje 2'!X28</f>
        <v>68.000000000000043</v>
      </c>
      <c r="Y45" s="195">
        <f>'Pulje 2'!Y28</f>
        <v>347.00299874987491</v>
      </c>
      <c r="Z45" s="195">
        <f>'Pulje 2'!Z28</f>
        <v>481.67935571475419</v>
      </c>
      <c r="AA45" s="195">
        <f>'Pulje 2'!AA28</f>
        <v>0</v>
      </c>
      <c r="AB45" s="195">
        <f>'Pulje 2'!AB28</f>
        <v>0</v>
      </c>
      <c r="AC45" s="195">
        <f>'Pulje 2'!AC28</f>
        <v>0</v>
      </c>
      <c r="AD45">
        <f>'Pulje 2'!AD28</f>
        <v>0</v>
      </c>
      <c r="AE45">
        <v>2</v>
      </c>
      <c r="AF45" s="195" t="str">
        <f>IFERROR(IF(FIND("K",TblResultater[[#This Row],[Kategori]])&gt;0,"K"),"M")</f>
        <v>M</v>
      </c>
      <c r="AG45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45" s="195">
        <f>IFERROR(TblResultater[[#This Row],[SortKat]]+TblResultater[[#This Row],[5-kamp]]/10000,)</f>
        <v>7</v>
      </c>
    </row>
    <row r="46" spans="2:34" x14ac:dyDescent="0.2">
      <c r="B46">
        <f>'Pulje 2'!B29</f>
        <v>0</v>
      </c>
      <c r="C46">
        <f>'Pulje 2'!C29</f>
        <v>0</v>
      </c>
      <c r="D46">
        <f>'Pulje 2'!D29</f>
        <v>0</v>
      </c>
      <c r="E46">
        <f>'Pulje 2'!E29</f>
        <v>0</v>
      </c>
      <c r="F46">
        <f>'Pulje 2'!F29</f>
        <v>0</v>
      </c>
      <c r="G46">
        <f>'Pulje 2'!G29</f>
        <v>0</v>
      </c>
      <c r="H46">
        <f>'Pulje 2'!H29</f>
        <v>0</v>
      </c>
      <c r="I46">
        <f>'Pulje 2'!I29</f>
        <v>0</v>
      </c>
      <c r="J46">
        <f>'Pulje 2'!J29</f>
        <v>0</v>
      </c>
      <c r="K46">
        <f>'Pulje 2'!K29</f>
        <v>0</v>
      </c>
      <c r="L46">
        <f>'Pulje 2'!L29</f>
        <v>0</v>
      </c>
      <c r="M46">
        <f>'Pulje 2'!M29</f>
        <v>0</v>
      </c>
      <c r="N46">
        <f>'Pulje 2'!N29</f>
        <v>0</v>
      </c>
      <c r="O46">
        <f>'Pulje 2'!O29</f>
        <v>0</v>
      </c>
      <c r="P46">
        <f>'Pulje 2'!P29</f>
        <v>0</v>
      </c>
      <c r="Q46" t="str">
        <f>'Pulje 2'!Q29</f>
        <v/>
      </c>
      <c r="R46" t="str">
        <f>'Pulje 2'!R29</f>
        <v/>
      </c>
      <c r="S46" t="str">
        <f>'Pulje 2'!S30</f>
        <v/>
      </c>
      <c r="T46" s="195" t="str">
        <f>'Pulje 2'!T29</f>
        <v/>
      </c>
      <c r="U46" s="195" t="str">
        <f>'Pulje 2'!U29</f>
        <v/>
      </c>
      <c r="V46" s="195">
        <f>'Pulje 2'!V29</f>
        <v>0</v>
      </c>
      <c r="W46" s="195">
        <f>'Pulje 2'!W29</f>
        <v>0</v>
      </c>
      <c r="X46" s="195">
        <f>'Pulje 2'!X29</f>
        <v>0</v>
      </c>
      <c r="Y46" s="195">
        <f>'Pulje 2'!Y29</f>
        <v>0</v>
      </c>
      <c r="Z46" s="195">
        <f>'Pulje 2'!Z29</f>
        <v>0</v>
      </c>
      <c r="AA46" s="195">
        <f>'Pulje 2'!AA29</f>
        <v>0</v>
      </c>
      <c r="AB46" s="195">
        <f>'Pulje 2'!AB29</f>
        <v>0</v>
      </c>
      <c r="AC46" s="195">
        <f>'Pulje 2'!AC29</f>
        <v>45829</v>
      </c>
      <c r="AD46" t="b">
        <f>'Pulje 2'!AD29</f>
        <v>0</v>
      </c>
      <c r="AE46">
        <v>2</v>
      </c>
      <c r="AF46" s="195" t="str">
        <f>IFERROR(IF(FIND("K",TblResultater[[#This Row],[Kategori]])&gt;0,"K"),"M")</f>
        <v>M</v>
      </c>
      <c r="AG46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46" s="195">
        <f>IFERROR(TblResultater[[#This Row],[SortKat]]+TblResultater[[#This Row],[5-kamp]]/10000,)</f>
        <v>11.5829</v>
      </c>
    </row>
    <row r="47" spans="2:34" x14ac:dyDescent="0.2">
      <c r="B47">
        <f>'Pulje 2'!B30</f>
        <v>0</v>
      </c>
      <c r="C47">
        <f>'Pulje 2'!C30</f>
        <v>0</v>
      </c>
      <c r="D47">
        <f>'Pulje 2'!D30</f>
        <v>0</v>
      </c>
      <c r="E47">
        <f>'Pulje 2'!E30</f>
        <v>0</v>
      </c>
      <c r="F47">
        <f>'Pulje 2'!F30</f>
        <v>0</v>
      </c>
      <c r="G47">
        <f>'Pulje 2'!G30</f>
        <v>0</v>
      </c>
      <c r="H47">
        <f>'Pulje 2'!H30</f>
        <v>0</v>
      </c>
      <c r="I47">
        <f>'Pulje 2'!I30</f>
        <v>0</v>
      </c>
      <c r="J47">
        <f>'Pulje 2'!J30</f>
        <v>0</v>
      </c>
      <c r="K47">
        <f>'Pulje 2'!K30</f>
        <v>0</v>
      </c>
      <c r="L47">
        <f>'Pulje 2'!L30</f>
        <v>0</v>
      </c>
      <c r="M47">
        <f>'Pulje 2'!M30</f>
        <v>0</v>
      </c>
      <c r="N47">
        <f>'Pulje 2'!N30</f>
        <v>0</v>
      </c>
      <c r="O47">
        <f>'Pulje 2'!O30</f>
        <v>0</v>
      </c>
      <c r="P47">
        <f>'Pulje 2'!P30</f>
        <v>0</v>
      </c>
      <c r="Q47">
        <f>'Pulje 2'!Q30</f>
        <v>0</v>
      </c>
      <c r="R47">
        <f>'Pulje 2'!R30</f>
        <v>0</v>
      </c>
      <c r="S47" t="str">
        <f>'Pulje 2'!S31</f>
        <v/>
      </c>
      <c r="T47" s="195">
        <f>'Pulje 2'!T30</f>
        <v>0</v>
      </c>
      <c r="U47" s="195">
        <f>'Pulje 2'!U30</f>
        <v>0</v>
      </c>
      <c r="V47" s="195" t="str">
        <f>'Pulje 2'!V30</f>
        <v/>
      </c>
      <c r="W47" s="195" t="str">
        <f>'Pulje 2'!W30</f>
        <v/>
      </c>
      <c r="X47" s="195" t="str">
        <f>'Pulje 2'!X30</f>
        <v/>
      </c>
      <c r="Y47" s="195" t="str">
        <f>'Pulje 2'!Y30</f>
        <v/>
      </c>
      <c r="Z47" s="195" t="str">
        <f>'Pulje 2'!Z30</f>
        <v/>
      </c>
      <c r="AA47" s="195">
        <f>'Pulje 2'!AA30</f>
        <v>0</v>
      </c>
      <c r="AB47" s="195">
        <f>'Pulje 2'!AB30</f>
        <v>0</v>
      </c>
      <c r="AC47" s="195">
        <f>'Pulje 2'!AC30</f>
        <v>0</v>
      </c>
      <c r="AD47">
        <f>'Pulje 2'!AD30</f>
        <v>0</v>
      </c>
      <c r="AE47">
        <v>2</v>
      </c>
      <c r="AF47" s="195" t="str">
        <f>IFERROR(IF(FIND("K",TblResultater[[#This Row],[Kategori]])&gt;0,"K"),"M")</f>
        <v>M</v>
      </c>
      <c r="AG47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47" s="195">
        <f>IFERROR(TblResultater[[#This Row],[SortKat]]+TblResultater[[#This Row],[5-kamp]]/10000,)</f>
        <v>7</v>
      </c>
    </row>
    <row r="48" spans="2:34" x14ac:dyDescent="0.2">
      <c r="B48">
        <f>'Pulje 2'!B31</f>
        <v>0</v>
      </c>
      <c r="C48">
        <f>'Pulje 2'!C31</f>
        <v>0</v>
      </c>
      <c r="D48">
        <f>'Pulje 2'!D31</f>
        <v>0</v>
      </c>
      <c r="E48">
        <f>'Pulje 2'!E31</f>
        <v>0</v>
      </c>
      <c r="F48">
        <f>'Pulje 2'!F31</f>
        <v>0</v>
      </c>
      <c r="G48">
        <f>'Pulje 2'!G31</f>
        <v>0</v>
      </c>
      <c r="H48">
        <f>'Pulje 2'!H31</f>
        <v>0</v>
      </c>
      <c r="I48" t="str">
        <f>'Pulje 2'!I31</f>
        <v xml:space="preserve"> </v>
      </c>
      <c r="J48">
        <f>'Pulje 2'!J31</f>
        <v>0</v>
      </c>
      <c r="K48">
        <f>'Pulje 2'!K31</f>
        <v>0</v>
      </c>
      <c r="L48">
        <f>'Pulje 2'!L31</f>
        <v>0</v>
      </c>
      <c r="M48">
        <f>'Pulje 2'!M31</f>
        <v>0</v>
      </c>
      <c r="N48">
        <f>'Pulje 2'!N31</f>
        <v>0</v>
      </c>
      <c r="O48">
        <f>'Pulje 2'!O31</f>
        <v>0</v>
      </c>
      <c r="P48">
        <f>'Pulje 2'!P31</f>
        <v>0</v>
      </c>
      <c r="Q48" t="str">
        <f>'Pulje 2'!Q31</f>
        <v/>
      </c>
      <c r="R48" t="str">
        <f>'Pulje 2'!R31</f>
        <v/>
      </c>
      <c r="S48" t="str">
        <f>'Pulje 2'!S32</f>
        <v/>
      </c>
      <c r="T48" s="195" t="str">
        <f>'Pulje 2'!T31</f>
        <v/>
      </c>
      <c r="U48" s="195" t="str">
        <f>'Pulje 2'!U31</f>
        <v/>
      </c>
      <c r="V48" s="195">
        <f>'Pulje 2'!V31</f>
        <v>0</v>
      </c>
      <c r="W48" s="195">
        <f>'Pulje 2'!W31</f>
        <v>0</v>
      </c>
      <c r="X48" s="195">
        <f>'Pulje 2'!X31</f>
        <v>0</v>
      </c>
      <c r="Y48" s="195">
        <f>'Pulje 2'!Y31</f>
        <v>0</v>
      </c>
      <c r="Z48" s="195">
        <f>'Pulje 2'!Z31</f>
        <v>0</v>
      </c>
      <c r="AA48" s="195">
        <f>'Pulje 2'!AA31</f>
        <v>0</v>
      </c>
      <c r="AB48" s="195">
        <f>'Pulje 2'!AB31</f>
        <v>0</v>
      </c>
      <c r="AC48" s="195">
        <f>'Pulje 2'!AC31</f>
        <v>45829</v>
      </c>
      <c r="AD48" t="b">
        <f>'Pulje 2'!AD31</f>
        <v>0</v>
      </c>
      <c r="AE48">
        <v>2</v>
      </c>
      <c r="AF48" s="195" t="str">
        <f>IFERROR(IF(FIND("K",TblResultater[[#This Row],[Kategori]])&gt;0,"K"),"M")</f>
        <v>M</v>
      </c>
      <c r="AG48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48" s="195">
        <f>IFERROR(TblResultater[[#This Row],[SortKat]]+TblResultater[[#This Row],[5-kamp]]/10000,)</f>
        <v>11.5829</v>
      </c>
    </row>
    <row r="49" spans="2:34" x14ac:dyDescent="0.2">
      <c r="B49">
        <f>'Pulje 2'!B32</f>
        <v>0</v>
      </c>
      <c r="C49">
        <f>'Pulje 2'!C32</f>
        <v>0</v>
      </c>
      <c r="D49">
        <f>'Pulje 2'!D32</f>
        <v>0</v>
      </c>
      <c r="E49">
        <f>'Pulje 2'!E32</f>
        <v>0</v>
      </c>
      <c r="F49">
        <f>'Pulje 2'!F32</f>
        <v>0</v>
      </c>
      <c r="G49">
        <f>'Pulje 2'!G32</f>
        <v>0</v>
      </c>
      <c r="H49">
        <f>'Pulje 2'!H32</f>
        <v>0</v>
      </c>
      <c r="I49">
        <f>'Pulje 2'!I32</f>
        <v>0</v>
      </c>
      <c r="J49">
        <f>'Pulje 2'!J32</f>
        <v>0</v>
      </c>
      <c r="K49">
        <f>'Pulje 2'!K32</f>
        <v>0</v>
      </c>
      <c r="L49">
        <f>'Pulje 2'!L32</f>
        <v>0</v>
      </c>
      <c r="M49">
        <f>'Pulje 2'!M32</f>
        <v>0</v>
      </c>
      <c r="N49">
        <f>'Pulje 2'!N32</f>
        <v>0</v>
      </c>
      <c r="O49">
        <f>'Pulje 2'!O32</f>
        <v>0</v>
      </c>
      <c r="P49">
        <f>'Pulje 2'!P32</f>
        <v>0</v>
      </c>
      <c r="Q49">
        <f>'Pulje 2'!Q32</f>
        <v>0</v>
      </c>
      <c r="R49">
        <f>'Pulje 2'!R32</f>
        <v>0</v>
      </c>
      <c r="S49">
        <f>'Pulje 2'!S33</f>
        <v>0</v>
      </c>
      <c r="T49" s="195">
        <f>'Pulje 2'!T32</f>
        <v>0</v>
      </c>
      <c r="U49" s="195">
        <f>'Pulje 2'!U32</f>
        <v>0</v>
      </c>
      <c r="V49" s="195" t="str">
        <f>'Pulje 2'!V32</f>
        <v/>
      </c>
      <c r="W49" s="195" t="str">
        <f>'Pulje 2'!W32</f>
        <v/>
      </c>
      <c r="X49" s="195" t="str">
        <f>'Pulje 2'!X32</f>
        <v/>
      </c>
      <c r="Y49" s="195" t="str">
        <f>'Pulje 2'!Y32</f>
        <v/>
      </c>
      <c r="Z49" s="195" t="str">
        <f>'Pulje 2'!Z32</f>
        <v/>
      </c>
      <c r="AA49" s="195">
        <f>'Pulje 2'!AA32</f>
        <v>0</v>
      </c>
      <c r="AB49" s="195">
        <f>'Pulje 2'!AB32</f>
        <v>0</v>
      </c>
      <c r="AC49" s="195">
        <f>'Pulje 2'!AC32</f>
        <v>0</v>
      </c>
      <c r="AD49">
        <f>'Pulje 2'!AD32</f>
        <v>0</v>
      </c>
      <c r="AE49">
        <v>2</v>
      </c>
      <c r="AF49" s="195" t="str">
        <f>IFERROR(IF(FIND("K",TblResultater[[#This Row],[Kategori]])&gt;0,"K"),"M")</f>
        <v>M</v>
      </c>
      <c r="AG49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49" s="195">
        <f>IFERROR(TblResultater[[#This Row],[SortKat]]+TblResultater[[#This Row],[5-kamp]]/10000,)</f>
        <v>7</v>
      </c>
    </row>
    <row r="50" spans="2:34" x14ac:dyDescent="0.2">
      <c r="B50" s="37" t="str">
        <f>'Pulje 3'!B9</f>
        <v>2009003</v>
      </c>
      <c r="C50" t="str">
        <f>'Pulje 3'!C9</f>
        <v>63</v>
      </c>
      <c r="D50">
        <f>'Pulje 3'!D9</f>
        <v>59.39</v>
      </c>
      <c r="E50" t="str">
        <f>'Pulje 3'!E9</f>
        <v>UK</v>
      </c>
      <c r="F50" t="str">
        <f>'Pulje 3'!F9</f>
        <v>15-16</v>
      </c>
      <c r="G50" s="197">
        <f>'Pulje 3'!G9</f>
        <v>39927</v>
      </c>
      <c r="H50">
        <f>'Pulje 3'!H9</f>
        <v>0</v>
      </c>
      <c r="I50" t="str">
        <f>'Pulje 3'!I9</f>
        <v xml:space="preserve">Lea Berge Jensen </v>
      </c>
      <c r="J50" t="str">
        <f>'Pulje 3'!J9</f>
        <v>Vigrestad IK</v>
      </c>
      <c r="K50">
        <f>'Pulje 3'!K9</f>
        <v>54</v>
      </c>
      <c r="L50">
        <f>'Pulje 3'!L9</f>
        <v>56</v>
      </c>
      <c r="M50">
        <f>'Pulje 3'!M9</f>
        <v>58</v>
      </c>
      <c r="N50">
        <f>'Pulje 3'!N9</f>
        <v>67</v>
      </c>
      <c r="O50">
        <f>'Pulje 3'!O9</f>
        <v>70</v>
      </c>
      <c r="P50">
        <f>'Pulje 3'!P9</f>
        <v>-72</v>
      </c>
      <c r="Q50">
        <f>'Pulje 3'!Q9</f>
        <v>58</v>
      </c>
      <c r="R50">
        <f>'Pulje 3'!R9</f>
        <v>70</v>
      </c>
      <c r="S50" s="194">
        <f>'Pulje 3'!S9</f>
        <v>128</v>
      </c>
      <c r="T50" s="195">
        <f>'Pulje 3'!T9</f>
        <v>174.39239985779915</v>
      </c>
      <c r="U50" s="195" t="str">
        <f>'Pulje 3'!U9</f>
        <v/>
      </c>
      <c r="V50" s="195">
        <f>'Pulje 3'!V9</f>
        <v>6.83</v>
      </c>
      <c r="W50" s="195">
        <f>'Pulje 3'!V10</f>
        <v>136.6</v>
      </c>
      <c r="X50" s="195">
        <f>'Pulje 3'!X9</f>
        <v>7</v>
      </c>
      <c r="Y50" s="195">
        <f>'Pulje 3'!W10</f>
        <v>152.22205489266796</v>
      </c>
      <c r="Z50" s="195">
        <f>'Pulje 3'!X9</f>
        <v>7</v>
      </c>
      <c r="AA50" s="195">
        <f>'Pulje 3'!X10</f>
        <v>120</v>
      </c>
      <c r="AB50" s="195">
        <f>'Pulje 3'!Y10</f>
        <v>408.82205489266795</v>
      </c>
      <c r="AC50" s="195">
        <f>'Pulje 3'!Z10</f>
        <v>618.09293472202694</v>
      </c>
      <c r="AD50">
        <f t="shared" ref="AD50" si="1">IF(ISBLANK(G50),"",DATEDIF(G50,StevneDato,"Y"))</f>
        <v>16</v>
      </c>
      <c r="AE50">
        <v>3</v>
      </c>
      <c r="AF50" s="195" t="str">
        <f>IFERROR(IF(FIND("K",TblResultater[[#This Row],[Kategori]])&gt;0,"K"),"M")</f>
        <v>K</v>
      </c>
      <c r="AG50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3</v>
      </c>
      <c r="AH50" s="195">
        <f>IFERROR(TblResultater[[#This Row],[SortKat]]+TblResultater[[#This Row],[5-kamp]]/10000,)</f>
        <v>3.0618092934722028</v>
      </c>
    </row>
    <row r="51" spans="2:34" x14ac:dyDescent="0.2">
      <c r="B51">
        <f>'Pulje 3'!B10</f>
        <v>0</v>
      </c>
      <c r="C51">
        <f>'Pulje 3'!C10</f>
        <v>0</v>
      </c>
      <c r="D51">
        <f>'Pulje 3'!D10</f>
        <v>0</v>
      </c>
      <c r="E51">
        <f>'Pulje 3'!E10</f>
        <v>0</v>
      </c>
      <c r="F51">
        <f>'Pulje 3'!F10</f>
        <v>0</v>
      </c>
      <c r="G51">
        <f>'Pulje 3'!G10</f>
        <v>0</v>
      </c>
      <c r="H51">
        <f>'Pulje 3'!H10</f>
        <v>0</v>
      </c>
      <c r="I51">
        <f>'Pulje 3'!I10</f>
        <v>0</v>
      </c>
      <c r="J51">
        <f>'Pulje 3'!J10</f>
        <v>0</v>
      </c>
      <c r="K51">
        <f>'Pulje 3'!K10</f>
        <v>0</v>
      </c>
      <c r="L51">
        <f>'Pulje 3'!L10</f>
        <v>0</v>
      </c>
      <c r="M51">
        <f>'Pulje 3'!M10</f>
        <v>0</v>
      </c>
      <c r="N51">
        <f>'Pulje 3'!N10</f>
        <v>0</v>
      </c>
      <c r="O51">
        <f>'Pulje 3'!O10</f>
        <v>0</v>
      </c>
      <c r="P51">
        <f>'Pulje 3'!P10</f>
        <v>0</v>
      </c>
      <c r="Q51">
        <f>'Pulje 3'!Q10</f>
        <v>0</v>
      </c>
      <c r="R51">
        <f>'Pulje 3'!R10</f>
        <v>0</v>
      </c>
      <c r="S51">
        <f>'Pulje 3'!S10</f>
        <v>209.27087982935896</v>
      </c>
      <c r="T51" s="195">
        <f>'Pulje 3'!T10</f>
        <v>0</v>
      </c>
      <c r="U51" s="195">
        <f>'Pulje 3'!U10</f>
        <v>0</v>
      </c>
      <c r="V51" s="195">
        <f>'Pulje 3'!V10</f>
        <v>136.6</v>
      </c>
      <c r="W51" s="195">
        <f>'Pulje 3'!W10</f>
        <v>152.22205489266796</v>
      </c>
      <c r="X51" s="195">
        <f>'Pulje 3'!X10</f>
        <v>120</v>
      </c>
      <c r="Y51" s="195">
        <f>'Pulje 3'!Y10</f>
        <v>408.82205489266795</v>
      </c>
      <c r="Z51" s="195">
        <f>'Pulje 3'!Z10</f>
        <v>618.09293472202694</v>
      </c>
      <c r="AA51" s="195">
        <f>'Pulje 3'!AA10</f>
        <v>0</v>
      </c>
      <c r="AB51" s="195">
        <f>'Pulje 3'!AB10</f>
        <v>0</v>
      </c>
      <c r="AC51" s="195">
        <f>'Pulje 3'!AC10</f>
        <v>0</v>
      </c>
      <c r="AD51">
        <f>'Pulje 3'!AD10</f>
        <v>0</v>
      </c>
      <c r="AE51">
        <v>3</v>
      </c>
      <c r="AF51" s="195" t="str">
        <f>IFERROR(IF(FIND("K",TblResultater[[#This Row],[Kategori]])&gt;0,"K"),"M")</f>
        <v>M</v>
      </c>
      <c r="AG51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51" s="195">
        <f>IFERROR(TblResultater[[#This Row],[SortKat]]+TblResultater[[#This Row],[5-kamp]]/10000,)</f>
        <v>7</v>
      </c>
    </row>
    <row r="52" spans="2:34" x14ac:dyDescent="0.2">
      <c r="B52" s="37" t="str">
        <f>'Pulje 3'!B11</f>
        <v>2008031</v>
      </c>
      <c r="C52" t="str">
        <f>'Pulje 3'!C11</f>
        <v>69</v>
      </c>
      <c r="D52">
        <f>'Pulje 3'!D11</f>
        <v>67.13</v>
      </c>
      <c r="E52" t="str">
        <f>'Pulje 3'!E11</f>
        <v>UK</v>
      </c>
      <c r="F52" t="str">
        <f>'Pulje 3'!F11</f>
        <v>17-18</v>
      </c>
      <c r="G52" s="197">
        <f>'Pulje 3'!G11</f>
        <v>39619</v>
      </c>
      <c r="H52">
        <f>'Pulje 3'!H11</f>
        <v>0</v>
      </c>
      <c r="I52" t="str">
        <f>'Pulje 3'!I11</f>
        <v>Ingeborg Liland</v>
      </c>
      <c r="J52" t="str">
        <f>'Pulje 3'!J11</f>
        <v>Vigrestad IK</v>
      </c>
      <c r="K52">
        <f>'Pulje 3'!K11</f>
        <v>-59</v>
      </c>
      <c r="L52">
        <f>'Pulje 3'!L11</f>
        <v>-59</v>
      </c>
      <c r="M52">
        <f>'Pulje 3'!M11</f>
        <v>59</v>
      </c>
      <c r="N52">
        <f>'Pulje 3'!N11</f>
        <v>72</v>
      </c>
      <c r="O52">
        <f>'Pulje 3'!O11</f>
        <v>76</v>
      </c>
      <c r="P52">
        <f>'Pulje 3'!P11</f>
        <v>-78</v>
      </c>
      <c r="Q52">
        <f>'Pulje 3'!Q11</f>
        <v>59</v>
      </c>
      <c r="R52">
        <f>'Pulje 3'!R11</f>
        <v>76</v>
      </c>
      <c r="S52" s="194">
        <f>'Pulje 3'!S11</f>
        <v>135</v>
      </c>
      <c r="T52" s="195">
        <f>'Pulje 3'!T11</f>
        <v>170.71953258760345</v>
      </c>
      <c r="U52" s="195" t="str">
        <f>'Pulje 3'!U11</f>
        <v/>
      </c>
      <c r="V52" s="195">
        <f>'Pulje 3'!V11</f>
        <v>6.31</v>
      </c>
      <c r="W52" s="195">
        <f>'Pulje 3'!V12</f>
        <v>126.19999999999999</v>
      </c>
      <c r="X52" s="195">
        <f>'Pulje 3'!X11</f>
        <v>7.5</v>
      </c>
      <c r="Y52" s="195">
        <f>'Pulje 3'!W12</f>
        <v>115.76222587387547</v>
      </c>
      <c r="Z52" s="195">
        <f>'Pulje 3'!X11</f>
        <v>7.5</v>
      </c>
      <c r="AA52" s="195">
        <f>'Pulje 3'!X12</f>
        <v>100</v>
      </c>
      <c r="AB52" s="195">
        <f>'Pulje 3'!Y12</f>
        <v>341.96222587387547</v>
      </c>
      <c r="AC52" s="195">
        <f>'Pulje 3'!Z12</f>
        <v>546.82566497899961</v>
      </c>
      <c r="AD52">
        <f t="shared" ref="AD52" si="2">IF(ISBLANK(G52),"",DATEDIF(G52,StevneDato,"Y"))</f>
        <v>17</v>
      </c>
      <c r="AE52">
        <v>3</v>
      </c>
      <c r="AF52" s="195" t="str">
        <f>IFERROR(IF(FIND("K",TblResultater[[#This Row],[Kategori]])&gt;0,"K"),"M")</f>
        <v>K</v>
      </c>
      <c r="AG52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4</v>
      </c>
      <c r="AH52" s="195">
        <f>IFERROR(TblResultater[[#This Row],[SortKat]]+TblResultater[[#This Row],[5-kamp]]/10000,)</f>
        <v>4.0546825664978998</v>
      </c>
    </row>
    <row r="53" spans="2:34" x14ac:dyDescent="0.2">
      <c r="B53">
        <f>'Pulje 3'!B12</f>
        <v>0</v>
      </c>
      <c r="C53">
        <f>'Pulje 3'!C12</f>
        <v>0</v>
      </c>
      <c r="D53">
        <f>'Pulje 3'!D12</f>
        <v>0</v>
      </c>
      <c r="E53">
        <f>'Pulje 3'!E12</f>
        <v>0</v>
      </c>
      <c r="F53">
        <f>'Pulje 3'!F12</f>
        <v>0</v>
      </c>
      <c r="G53">
        <f>'Pulje 3'!G12</f>
        <v>0</v>
      </c>
      <c r="H53">
        <f>'Pulje 3'!H12</f>
        <v>0</v>
      </c>
      <c r="I53">
        <f>'Pulje 3'!I12</f>
        <v>0</v>
      </c>
      <c r="J53">
        <f>'Pulje 3'!J12</f>
        <v>0</v>
      </c>
      <c r="K53">
        <f>'Pulje 3'!K12</f>
        <v>0</v>
      </c>
      <c r="L53">
        <f>'Pulje 3'!L12</f>
        <v>0</v>
      </c>
      <c r="M53">
        <f>'Pulje 3'!M12</f>
        <v>0</v>
      </c>
      <c r="N53">
        <f>'Pulje 3'!N12</f>
        <v>0</v>
      </c>
      <c r="O53">
        <f>'Pulje 3'!O12</f>
        <v>0</v>
      </c>
      <c r="P53">
        <f>'Pulje 3'!P12</f>
        <v>0</v>
      </c>
      <c r="Q53">
        <f>'Pulje 3'!Q12</f>
        <v>0</v>
      </c>
      <c r="R53">
        <f>'Pulje 3'!R12</f>
        <v>0</v>
      </c>
      <c r="S53">
        <f>'Pulje 3'!S12</f>
        <v>204.86343910512414</v>
      </c>
      <c r="T53" s="195">
        <f>'Pulje 3'!T12</f>
        <v>0</v>
      </c>
      <c r="U53" s="195">
        <f>'Pulje 3'!U12</f>
        <v>0</v>
      </c>
      <c r="V53" s="195">
        <f>'Pulje 3'!V12</f>
        <v>126.19999999999999</v>
      </c>
      <c r="W53" s="195">
        <f>'Pulje 3'!W12</f>
        <v>115.76222587387547</v>
      </c>
      <c r="X53" s="195">
        <f>'Pulje 3'!X12</f>
        <v>100</v>
      </c>
      <c r="Y53" s="195">
        <f>'Pulje 3'!Y12</f>
        <v>341.96222587387547</v>
      </c>
      <c r="Z53" s="195">
        <f>'Pulje 3'!Z12</f>
        <v>546.82566497899961</v>
      </c>
      <c r="AA53" s="195">
        <f>'Pulje 3'!AA12</f>
        <v>0</v>
      </c>
      <c r="AB53" s="195">
        <f>'Pulje 3'!AB12</f>
        <v>0</v>
      </c>
      <c r="AC53" s="195">
        <f>'Pulje 3'!AC12</f>
        <v>0</v>
      </c>
      <c r="AD53">
        <f>'Pulje 3'!AD12</f>
        <v>0</v>
      </c>
      <c r="AE53">
        <v>3</v>
      </c>
      <c r="AF53" s="195" t="str">
        <f>IFERROR(IF(FIND("K",TblResultater[[#This Row],[Kategori]])&gt;0,"K"),"M")</f>
        <v>M</v>
      </c>
      <c r="AG53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53" s="195">
        <f>IFERROR(TblResultater[[#This Row],[SortKat]]+TblResultater[[#This Row],[5-kamp]]/10000,)</f>
        <v>7</v>
      </c>
    </row>
    <row r="54" spans="2:34" x14ac:dyDescent="0.2">
      <c r="B54" s="37">
        <f>'Pulje 3'!B13</f>
        <v>0</v>
      </c>
      <c r="C54">
        <f>'Pulje 3'!C13</f>
        <v>0</v>
      </c>
      <c r="D54">
        <f>'Pulje 3'!D13</f>
        <v>0</v>
      </c>
      <c r="E54">
        <f>'Pulje 3'!E13</f>
        <v>0</v>
      </c>
      <c r="F54">
        <f>'Pulje 3'!F13</f>
        <v>0</v>
      </c>
      <c r="G54" s="197">
        <f>'Pulje 3'!G13</f>
        <v>0</v>
      </c>
      <c r="H54">
        <f>'Pulje 3'!H13</f>
        <v>0</v>
      </c>
      <c r="I54">
        <f>'Pulje 3'!I13</f>
        <v>0</v>
      </c>
      <c r="J54">
        <f>'Pulje 3'!J13</f>
        <v>0</v>
      </c>
      <c r="K54">
        <f>'Pulje 3'!K13</f>
        <v>0</v>
      </c>
      <c r="L54">
        <f>'Pulje 3'!L13</f>
        <v>0</v>
      </c>
      <c r="M54">
        <f>'Pulje 3'!M13</f>
        <v>0</v>
      </c>
      <c r="N54">
        <f>'Pulje 3'!N13</f>
        <v>0</v>
      </c>
      <c r="O54">
        <f>'Pulje 3'!O13</f>
        <v>0</v>
      </c>
      <c r="P54">
        <f>'Pulje 3'!P13</f>
        <v>0</v>
      </c>
      <c r="Q54" t="str">
        <f>'Pulje 3'!Q13</f>
        <v/>
      </c>
      <c r="R54" t="str">
        <f>'Pulje 3'!R13</f>
        <v/>
      </c>
      <c r="S54" s="194" t="str">
        <f>'Pulje 3'!S13</f>
        <v/>
      </c>
      <c r="T54" s="195" t="str">
        <f>'Pulje 3'!T13</f>
        <v/>
      </c>
      <c r="U54" s="195" t="str">
        <f>'Pulje 3'!U13</f>
        <v/>
      </c>
      <c r="V54" s="195">
        <f>'Pulje 3'!V13</f>
        <v>0</v>
      </c>
      <c r="W54" s="195" t="str">
        <f>'Pulje 3'!V14</f>
        <v/>
      </c>
      <c r="X54" s="195">
        <f>'Pulje 3'!X13</f>
        <v>0</v>
      </c>
      <c r="Y54" s="195" t="str">
        <f>'Pulje 3'!W14</f>
        <v/>
      </c>
      <c r="Z54" s="195">
        <f>'Pulje 3'!X13</f>
        <v>0</v>
      </c>
      <c r="AA54" s="195" t="str">
        <f>'Pulje 3'!X14</f>
        <v/>
      </c>
      <c r="AB54" s="195" t="str">
        <f>'Pulje 3'!Y14</f>
        <v/>
      </c>
      <c r="AC54" s="195" t="str">
        <f>'Pulje 3'!Z14</f>
        <v/>
      </c>
      <c r="AD54">
        <f t="shared" ref="AD54" si="3">IF(ISBLANK(G54),"",DATEDIF(G54,StevneDato,"Y"))</f>
        <v>125</v>
      </c>
      <c r="AE54">
        <v>3</v>
      </c>
      <c r="AF54" s="195" t="str">
        <f>IFERROR(IF(FIND("K",TblResultater[[#This Row],[Kategori]])&gt;0,"K"),"M")</f>
        <v>M</v>
      </c>
      <c r="AG54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54" s="195">
        <f>IFERROR(TblResultater[[#This Row],[SortKat]]+TblResultater[[#This Row],[5-kamp]]/10000,)</f>
        <v>0</v>
      </c>
    </row>
    <row r="55" spans="2:34" x14ac:dyDescent="0.2">
      <c r="B55">
        <f>'Pulje 3'!B14</f>
        <v>0</v>
      </c>
      <c r="C55">
        <f>'Pulje 3'!C14</f>
        <v>0</v>
      </c>
      <c r="D55">
        <f>'Pulje 3'!D14</f>
        <v>0</v>
      </c>
      <c r="E55">
        <f>'Pulje 3'!E14</f>
        <v>0</v>
      </c>
      <c r="F55">
        <f>'Pulje 3'!F14</f>
        <v>0</v>
      </c>
      <c r="G55">
        <f>'Pulje 3'!G14</f>
        <v>0</v>
      </c>
      <c r="H55">
        <f>'Pulje 3'!H14</f>
        <v>0</v>
      </c>
      <c r="I55">
        <f>'Pulje 3'!I14</f>
        <v>0</v>
      </c>
      <c r="J55">
        <f>'Pulje 3'!J14</f>
        <v>0</v>
      </c>
      <c r="K55">
        <f>'Pulje 3'!K14</f>
        <v>0</v>
      </c>
      <c r="L55">
        <f>'Pulje 3'!L14</f>
        <v>0</v>
      </c>
      <c r="M55">
        <f>'Pulje 3'!M14</f>
        <v>0</v>
      </c>
      <c r="N55">
        <f>'Pulje 3'!N14</f>
        <v>0</v>
      </c>
      <c r="O55">
        <f>'Pulje 3'!O14</f>
        <v>0</v>
      </c>
      <c r="P55">
        <f>'Pulje 3'!P14</f>
        <v>0</v>
      </c>
      <c r="Q55">
        <f>'Pulje 3'!Q14</f>
        <v>0</v>
      </c>
      <c r="R55">
        <f>'Pulje 3'!R14</f>
        <v>0</v>
      </c>
      <c r="S55" t="str">
        <f>'Pulje 3'!S14</f>
        <v/>
      </c>
      <c r="T55" s="195">
        <f>'Pulje 3'!T14</f>
        <v>0</v>
      </c>
      <c r="U55" s="195">
        <f>'Pulje 3'!U14</f>
        <v>0</v>
      </c>
      <c r="V55" s="195" t="str">
        <f>'Pulje 3'!V14</f>
        <v/>
      </c>
      <c r="W55" s="195" t="str">
        <f>'Pulje 3'!W14</f>
        <v/>
      </c>
      <c r="X55" s="195" t="str">
        <f>'Pulje 3'!X14</f>
        <v/>
      </c>
      <c r="Y55" s="195" t="str">
        <f>'Pulje 3'!Y14</f>
        <v/>
      </c>
      <c r="Z55" s="195" t="str">
        <f>'Pulje 3'!Z14</f>
        <v/>
      </c>
      <c r="AA55" s="195">
        <f>'Pulje 3'!AA14</f>
        <v>0</v>
      </c>
      <c r="AB55" s="195">
        <f>'Pulje 3'!AB14</f>
        <v>0</v>
      </c>
      <c r="AC55" s="195">
        <f>'Pulje 3'!AC14</f>
        <v>0</v>
      </c>
      <c r="AD55">
        <f>'Pulje 3'!AD14</f>
        <v>0</v>
      </c>
      <c r="AE55">
        <v>3</v>
      </c>
      <c r="AF55" s="195" t="str">
        <f>IFERROR(IF(FIND("K",TblResultater[[#This Row],[Kategori]])&gt;0,"K"),"M")</f>
        <v>M</v>
      </c>
      <c r="AG55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55" s="195">
        <f>IFERROR(TblResultater[[#This Row],[SortKat]]+TblResultater[[#This Row],[5-kamp]]/10000,)</f>
        <v>7</v>
      </c>
    </row>
    <row r="56" spans="2:34" x14ac:dyDescent="0.2">
      <c r="B56" s="37" t="str">
        <f>'Pulje 3'!B15</f>
        <v>2001030</v>
      </c>
      <c r="C56" t="str">
        <f>'Pulje 3'!C15</f>
        <v>63</v>
      </c>
      <c r="D56">
        <f>'Pulje 3'!D15</f>
        <v>60.04</v>
      </c>
      <c r="E56" t="str">
        <f>'Pulje 3'!E15</f>
        <v>SK</v>
      </c>
      <c r="F56" t="str">
        <f>'Pulje 3'!F15</f>
        <v>24-34</v>
      </c>
      <c r="G56" s="197">
        <f>'Pulje 3'!G15</f>
        <v>37213</v>
      </c>
      <c r="H56">
        <f>'Pulje 3'!H15</f>
        <v>0</v>
      </c>
      <c r="I56" t="str">
        <f>'Pulje 3'!I15</f>
        <v>Andrine Hveding</v>
      </c>
      <c r="J56" t="str">
        <f>'Pulje 3'!J15</f>
        <v>Tysvær VK</v>
      </c>
      <c r="K56">
        <f>'Pulje 3'!K15</f>
        <v>48</v>
      </c>
      <c r="L56">
        <f>'Pulje 3'!L15</f>
        <v>52</v>
      </c>
      <c r="M56">
        <f>'Pulje 3'!M15</f>
        <v>57</v>
      </c>
      <c r="N56">
        <f>'Pulje 3'!N15</f>
        <v>69</v>
      </c>
      <c r="O56">
        <f>'Pulje 3'!O15</f>
        <v>74</v>
      </c>
      <c r="P56">
        <f>'Pulje 3'!P15</f>
        <v>77</v>
      </c>
      <c r="Q56">
        <f>'Pulje 3'!Q15</f>
        <v>57</v>
      </c>
      <c r="R56">
        <f>'Pulje 3'!R15</f>
        <v>77</v>
      </c>
      <c r="S56" s="194">
        <f>'Pulje 3'!S15</f>
        <v>134</v>
      </c>
      <c r="T56" s="195">
        <f>'Pulje 3'!T15</f>
        <v>181.28671241907452</v>
      </c>
      <c r="U56" s="195" t="str">
        <f>'Pulje 3'!U15</f>
        <v/>
      </c>
      <c r="V56" s="195">
        <f>'Pulje 3'!V15</f>
        <v>6.92</v>
      </c>
      <c r="W56" s="195">
        <f>'Pulje 3'!V16</f>
        <v>138.4</v>
      </c>
      <c r="X56" s="195">
        <f>'Pulje 3'!X15</f>
        <v>6.87</v>
      </c>
      <c r="Y56" s="195">
        <f>'Pulje 3'!W16</f>
        <v>155.77029660626366</v>
      </c>
      <c r="Z56" s="195">
        <f>'Pulje 3'!X15</f>
        <v>6.87</v>
      </c>
      <c r="AA56" s="195">
        <f>'Pulje 3'!X16</f>
        <v>124.00000000000003</v>
      </c>
      <c r="AB56" s="195">
        <f>'Pulje 3'!Y16</f>
        <v>418.17029660626372</v>
      </c>
      <c r="AC56" s="195">
        <f>'Pulje 3'!Z16</f>
        <v>635.71435150915306</v>
      </c>
      <c r="AD56">
        <f t="shared" ref="AD56" si="4">IF(ISBLANK(G56),"",DATEDIF(G56,StevneDato,"Y"))</f>
        <v>23</v>
      </c>
      <c r="AE56">
        <v>3</v>
      </c>
      <c r="AF56" s="195" t="str">
        <f>IFERROR(IF(FIND("K",TblResultater[[#This Row],[Kategori]])&gt;0,"K"),"M")</f>
        <v>K</v>
      </c>
      <c r="AG56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6</v>
      </c>
      <c r="AH56" s="195">
        <f>IFERROR(TblResultater[[#This Row],[SortKat]]+TblResultater[[#This Row],[5-kamp]]/10000,)</f>
        <v>6.0635714351509149</v>
      </c>
    </row>
    <row r="57" spans="2:34" x14ac:dyDescent="0.2">
      <c r="B57">
        <f>'Pulje 3'!B16</f>
        <v>0</v>
      </c>
      <c r="C57">
        <f>'Pulje 3'!C16</f>
        <v>0</v>
      </c>
      <c r="D57">
        <f>'Pulje 3'!D16</f>
        <v>0</v>
      </c>
      <c r="E57">
        <f>'Pulje 3'!E16</f>
        <v>0</v>
      </c>
      <c r="F57">
        <f>'Pulje 3'!F16</f>
        <v>0</v>
      </c>
      <c r="G57">
        <f>'Pulje 3'!G16</f>
        <v>0</v>
      </c>
      <c r="H57">
        <f>'Pulje 3'!H16</f>
        <v>0</v>
      </c>
      <c r="I57">
        <f>'Pulje 3'!I16</f>
        <v>0</v>
      </c>
      <c r="J57">
        <f>'Pulje 3'!J16</f>
        <v>0</v>
      </c>
      <c r="K57">
        <f>'Pulje 3'!K16</f>
        <v>0</v>
      </c>
      <c r="L57">
        <f>'Pulje 3'!L16</f>
        <v>0</v>
      </c>
      <c r="M57">
        <f>'Pulje 3'!M16</f>
        <v>0</v>
      </c>
      <c r="N57">
        <f>'Pulje 3'!N16</f>
        <v>0</v>
      </c>
      <c r="O57">
        <f>'Pulje 3'!O16</f>
        <v>0</v>
      </c>
      <c r="P57">
        <f>'Pulje 3'!P16</f>
        <v>0</v>
      </c>
      <c r="Q57">
        <f>'Pulje 3'!Q16</f>
        <v>0</v>
      </c>
      <c r="R57">
        <f>'Pulje 3'!R16</f>
        <v>0</v>
      </c>
      <c r="S57">
        <f>'Pulje 3'!S16</f>
        <v>217.54405490288943</v>
      </c>
      <c r="T57" s="195">
        <f>'Pulje 3'!T16</f>
        <v>0</v>
      </c>
      <c r="U57" s="195">
        <f>'Pulje 3'!U16</f>
        <v>0</v>
      </c>
      <c r="V57" s="195">
        <f>'Pulje 3'!V16</f>
        <v>138.4</v>
      </c>
      <c r="W57" s="195">
        <f>'Pulje 3'!W16</f>
        <v>155.77029660626366</v>
      </c>
      <c r="X57" s="195">
        <f>'Pulje 3'!X16</f>
        <v>124.00000000000003</v>
      </c>
      <c r="Y57" s="195">
        <f>'Pulje 3'!Y16</f>
        <v>418.17029660626372</v>
      </c>
      <c r="Z57" s="195">
        <f>'Pulje 3'!Z16</f>
        <v>635.71435150915306</v>
      </c>
      <c r="AA57" s="195">
        <f>'Pulje 3'!AA16</f>
        <v>0</v>
      </c>
      <c r="AB57" s="195">
        <f>'Pulje 3'!AB16</f>
        <v>0</v>
      </c>
      <c r="AC57" s="195">
        <f>'Pulje 3'!AC16</f>
        <v>0</v>
      </c>
      <c r="AD57">
        <f>'Pulje 3'!AD16</f>
        <v>0</v>
      </c>
      <c r="AE57">
        <v>3</v>
      </c>
      <c r="AF57" s="195" t="str">
        <f>IFERROR(IF(FIND("K",TblResultater[[#This Row],[Kategori]])&gt;0,"K"),"M")</f>
        <v>M</v>
      </c>
      <c r="AG57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57" s="195">
        <f>IFERROR(TblResultater[[#This Row],[SortKat]]+TblResultater[[#This Row],[5-kamp]]/10000,)</f>
        <v>7</v>
      </c>
    </row>
    <row r="58" spans="2:34" x14ac:dyDescent="0.2">
      <c r="B58" s="37" t="str">
        <f>'Pulje 3'!B17</f>
        <v>1982015</v>
      </c>
      <c r="C58" t="str">
        <f>'Pulje 3'!C17</f>
        <v>77</v>
      </c>
      <c r="D58">
        <f>'Pulje 3'!D17</f>
        <v>73.89</v>
      </c>
      <c r="E58" t="str">
        <f>'Pulje 3'!E17</f>
        <v>K40</v>
      </c>
      <c r="F58" t="str">
        <f>'Pulje 3'!F17</f>
        <v>+35</v>
      </c>
      <c r="G58" s="197">
        <f>'Pulje 3'!G17</f>
        <v>30000</v>
      </c>
      <c r="H58">
        <f>'Pulje 3'!H17</f>
        <v>0</v>
      </c>
      <c r="I58" t="str">
        <f>'Pulje 3'!I17</f>
        <v xml:space="preserve">Cecilie Waland </v>
      </c>
      <c r="J58" t="str">
        <f>'Pulje 3'!J17</f>
        <v>Vigrestad IK</v>
      </c>
      <c r="K58">
        <f>'Pulje 3'!K17</f>
        <v>52</v>
      </c>
      <c r="L58">
        <f>'Pulje 3'!L17</f>
        <v>56</v>
      </c>
      <c r="M58">
        <f>'Pulje 3'!M17</f>
        <v>60</v>
      </c>
      <c r="N58">
        <f>'Pulje 3'!N17</f>
        <v>73</v>
      </c>
      <c r="O58">
        <f>'Pulje 3'!O17</f>
        <v>-77</v>
      </c>
      <c r="P58">
        <f>'Pulje 3'!P17</f>
        <v>78</v>
      </c>
      <c r="Q58">
        <f>'Pulje 3'!Q17</f>
        <v>60</v>
      </c>
      <c r="R58">
        <f>'Pulje 3'!R17</f>
        <v>78</v>
      </c>
      <c r="S58" s="194">
        <f>'Pulje 3'!S17</f>
        <v>138</v>
      </c>
      <c r="T58" s="195">
        <f>'Pulje 3'!T17</f>
        <v>165.80167384538214</v>
      </c>
      <c r="U58" s="195">
        <f>'Pulje 3'!U17</f>
        <v>196.80658685446861</v>
      </c>
      <c r="V58" s="195">
        <f>'Pulje 3'!V17</f>
        <v>6.13</v>
      </c>
      <c r="W58" s="195">
        <f>'Pulje 3'!V18</f>
        <v>122.6</v>
      </c>
      <c r="X58" s="195">
        <f>'Pulje 3'!X17</f>
        <v>7.62</v>
      </c>
      <c r="Y58" s="195">
        <f>'Pulje 3'!W18</f>
        <v>108.7877389492087</v>
      </c>
      <c r="Z58" s="195">
        <f>'Pulje 3'!X17</f>
        <v>7.62</v>
      </c>
      <c r="AA58" s="195">
        <f>'Pulje 3'!X18</f>
        <v>92.000000000000028</v>
      </c>
      <c r="AB58" s="195">
        <f>'Pulje 3'!Y18</f>
        <v>323.38773894920871</v>
      </c>
      <c r="AC58" s="195">
        <f>'Pulje 3'!Z18</f>
        <v>620.02915035807314</v>
      </c>
      <c r="AD58">
        <f t="shared" ref="AD58" si="5">IF(ISBLANK(G58),"",DATEDIF(G58,StevneDato,"Y"))</f>
        <v>43</v>
      </c>
      <c r="AE58">
        <v>3</v>
      </c>
      <c r="AF58" s="195" t="str">
        <f>IFERROR(IF(FIND("K",TblResultater[[#This Row],[Kategori]])&gt;0,"K"),"M")</f>
        <v>K</v>
      </c>
      <c r="AG58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58" s="195">
        <f>IFERROR(TblResultater[[#This Row],[SortKat]]+TblResultater[[#This Row],[5-kamp]]/10000,)</f>
        <v>7.0620029150358077</v>
      </c>
    </row>
    <row r="59" spans="2:34" x14ac:dyDescent="0.2">
      <c r="B59">
        <f>'Pulje 3'!B18</f>
        <v>0</v>
      </c>
      <c r="C59">
        <f>'Pulje 3'!C18</f>
        <v>0</v>
      </c>
      <c r="D59">
        <f>'Pulje 3'!D18</f>
        <v>0</v>
      </c>
      <c r="E59">
        <f>'Pulje 3'!E18</f>
        <v>0</v>
      </c>
      <c r="F59">
        <f>'Pulje 3'!F18</f>
        <v>0</v>
      </c>
      <c r="G59">
        <f>'Pulje 3'!G18</f>
        <v>0</v>
      </c>
      <c r="H59">
        <f>'Pulje 3'!H18</f>
        <v>0</v>
      </c>
      <c r="I59">
        <f>'Pulje 3'!I18</f>
        <v>0</v>
      </c>
      <c r="J59">
        <f>'Pulje 3'!J18</f>
        <v>0</v>
      </c>
      <c r="K59">
        <f>'Pulje 3'!K18</f>
        <v>0</v>
      </c>
      <c r="L59">
        <f>'Pulje 3'!L18</f>
        <v>0</v>
      </c>
      <c r="M59">
        <f>'Pulje 3'!M18</f>
        <v>0</v>
      </c>
      <c r="N59">
        <f>'Pulje 3'!N18</f>
        <v>0</v>
      </c>
      <c r="O59">
        <f>'Pulje 3'!O18</f>
        <v>0</v>
      </c>
      <c r="P59">
        <f>'Pulje 3'!P18</f>
        <v>0</v>
      </c>
      <c r="Q59">
        <f>'Pulje 3'!Q18</f>
        <v>0</v>
      </c>
      <c r="R59">
        <f>'Pulje 3'!R18</f>
        <v>0</v>
      </c>
      <c r="S59">
        <f>'Pulje 3'!S18</f>
        <v>198.96200861445857</v>
      </c>
      <c r="T59" s="195">
        <f>'Pulje 3'!T18</f>
        <v>0</v>
      </c>
      <c r="U59" s="195">
        <f>'Pulje 3'!U18</f>
        <v>0</v>
      </c>
      <c r="V59" s="195">
        <f>'Pulje 3'!V18</f>
        <v>122.6</v>
      </c>
      <c r="W59" s="195">
        <f>'Pulje 3'!W18</f>
        <v>108.7877389492087</v>
      </c>
      <c r="X59" s="195">
        <f>'Pulje 3'!X18</f>
        <v>92.000000000000028</v>
      </c>
      <c r="Y59" s="195">
        <f>'Pulje 3'!Y18</f>
        <v>323.38773894920871</v>
      </c>
      <c r="Z59" s="195">
        <f>'Pulje 3'!Z18</f>
        <v>620.02915035807314</v>
      </c>
      <c r="AA59" s="195">
        <f>'Pulje 3'!AA18</f>
        <v>0</v>
      </c>
      <c r="AB59" s="195">
        <f>'Pulje 3'!AB18</f>
        <v>0</v>
      </c>
      <c r="AC59" s="195">
        <f>'Pulje 3'!AC18</f>
        <v>0</v>
      </c>
      <c r="AD59">
        <f>'Pulje 3'!AD18</f>
        <v>0</v>
      </c>
      <c r="AE59">
        <v>3</v>
      </c>
      <c r="AF59" s="195" t="str">
        <f>IFERROR(IF(FIND("K",TblResultater[[#This Row],[Kategori]])&gt;0,"K"),"M")</f>
        <v>M</v>
      </c>
      <c r="AG59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59" s="195">
        <f>IFERROR(TblResultater[[#This Row],[SortKat]]+TblResultater[[#This Row],[5-kamp]]/10000,)</f>
        <v>7</v>
      </c>
    </row>
    <row r="60" spans="2:34" x14ac:dyDescent="0.2">
      <c r="B60" s="37" t="str">
        <f>'Pulje 3'!B19</f>
        <v>1983008</v>
      </c>
      <c r="C60" t="str">
        <f>'Pulje 3'!C19</f>
        <v>63</v>
      </c>
      <c r="D60">
        <f>'Pulje 3'!D19</f>
        <v>62.58</v>
      </c>
      <c r="E60" t="str">
        <f>'Pulje 3'!E19</f>
        <v>K40</v>
      </c>
      <c r="F60" t="str">
        <f>'Pulje 3'!F19</f>
        <v>+35</v>
      </c>
      <c r="G60" s="197">
        <f>'Pulje 3'!G19</f>
        <v>30529</v>
      </c>
      <c r="H60">
        <f>'Pulje 3'!H19</f>
        <v>0</v>
      </c>
      <c r="I60" t="str">
        <f>'Pulje 3'!I19</f>
        <v>Nhu Tran</v>
      </c>
      <c r="J60" t="str">
        <f>'Pulje 3'!J19</f>
        <v>Stavanger AK</v>
      </c>
      <c r="K60">
        <f>'Pulje 3'!K19</f>
        <v>50</v>
      </c>
      <c r="L60">
        <f>'Pulje 3'!L19</f>
        <v>53</v>
      </c>
      <c r="M60">
        <f>'Pulje 3'!M19</f>
        <v>56</v>
      </c>
      <c r="N60">
        <f>'Pulje 3'!N19</f>
        <v>70</v>
      </c>
      <c r="O60">
        <f>'Pulje 3'!O19</f>
        <v>-74</v>
      </c>
      <c r="P60">
        <f>'Pulje 3'!P19</f>
        <v>-74</v>
      </c>
      <c r="Q60">
        <f>'Pulje 3'!Q19</f>
        <v>56</v>
      </c>
      <c r="R60">
        <f>'Pulje 3'!R19</f>
        <v>70</v>
      </c>
      <c r="S60" s="194">
        <f>'Pulje 3'!S19</f>
        <v>126</v>
      </c>
      <c r="T60" s="195">
        <f>'Pulje 3'!T19</f>
        <v>166.08070121827981</v>
      </c>
      <c r="U60" s="195">
        <f>'Pulje 3'!U19</f>
        <v>194.31442042538737</v>
      </c>
      <c r="V60" s="195">
        <f>'Pulje 3'!V19</f>
        <v>6.6</v>
      </c>
      <c r="W60" s="195">
        <f>'Pulje 3'!V20</f>
        <v>132</v>
      </c>
      <c r="X60" s="195">
        <f>'Pulje 3'!X19</f>
        <v>7.12</v>
      </c>
      <c r="Y60" s="195">
        <f>'Pulje 3'!W20</f>
        <v>140.73243630739429</v>
      </c>
      <c r="Z60" s="195">
        <f>'Pulje 3'!X19</f>
        <v>7.12</v>
      </c>
      <c r="AA60" s="195">
        <f>'Pulje 3'!X20</f>
        <v>112.00000000000003</v>
      </c>
      <c r="AB60" s="195">
        <f>'Pulje 3'!Y20</f>
        <v>384.73243630739432</v>
      </c>
      <c r="AC60" s="195">
        <f>'Pulje 3'!Z20</f>
        <v>683.31425499011618</v>
      </c>
      <c r="AD60">
        <f t="shared" ref="AD60" si="6">IF(ISBLANK(G60),"",DATEDIF(G60,StevneDato,"Y"))</f>
        <v>41</v>
      </c>
      <c r="AE60">
        <v>3</v>
      </c>
      <c r="AF60" s="195" t="str">
        <f>IFERROR(IF(FIND("K",TblResultater[[#This Row],[Kategori]])&gt;0,"K"),"M")</f>
        <v>K</v>
      </c>
      <c r="AG60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60" s="195">
        <f>IFERROR(TblResultater[[#This Row],[SortKat]]+TblResultater[[#This Row],[5-kamp]]/10000,)</f>
        <v>7.0683314254990117</v>
      </c>
    </row>
    <row r="61" spans="2:34" x14ac:dyDescent="0.2">
      <c r="B61">
        <f>'Pulje 3'!B20</f>
        <v>0</v>
      </c>
      <c r="C61">
        <f>'Pulje 3'!C20</f>
        <v>0</v>
      </c>
      <c r="D61">
        <f>'Pulje 3'!D20</f>
        <v>0</v>
      </c>
      <c r="E61">
        <f>'Pulje 3'!E20</f>
        <v>0</v>
      </c>
      <c r="F61">
        <f>'Pulje 3'!F20</f>
        <v>0</v>
      </c>
      <c r="G61">
        <f>'Pulje 3'!G20</f>
        <v>0</v>
      </c>
      <c r="H61">
        <f>'Pulje 3'!H20</f>
        <v>0</v>
      </c>
      <c r="I61">
        <f>'Pulje 3'!I20</f>
        <v>0</v>
      </c>
      <c r="J61">
        <f>'Pulje 3'!J20</f>
        <v>0</v>
      </c>
      <c r="K61">
        <f>'Pulje 3'!K20</f>
        <v>0</v>
      </c>
      <c r="L61">
        <f>'Pulje 3'!L20</f>
        <v>0</v>
      </c>
      <c r="M61">
        <f>'Pulje 3'!M20</f>
        <v>0</v>
      </c>
      <c r="N61">
        <f>'Pulje 3'!N20</f>
        <v>0</v>
      </c>
      <c r="O61">
        <f>'Pulje 3'!O20</f>
        <v>0</v>
      </c>
      <c r="P61">
        <f>'Pulje 3'!P20</f>
        <v>0</v>
      </c>
      <c r="Q61">
        <f>'Pulje 3'!Q20</f>
        <v>0</v>
      </c>
      <c r="R61">
        <f>'Pulje 3'!R20</f>
        <v>0</v>
      </c>
      <c r="S61">
        <f>'Pulje 3'!S20</f>
        <v>199.29684146193577</v>
      </c>
      <c r="T61" s="195">
        <f>'Pulje 3'!T20</f>
        <v>0</v>
      </c>
      <c r="U61" s="195">
        <f>'Pulje 3'!U20</f>
        <v>0</v>
      </c>
      <c r="V61" s="195">
        <f>'Pulje 3'!V20</f>
        <v>132</v>
      </c>
      <c r="W61" s="195">
        <f>'Pulje 3'!W20</f>
        <v>140.73243630739429</v>
      </c>
      <c r="X61" s="195">
        <f>'Pulje 3'!X20</f>
        <v>112.00000000000003</v>
      </c>
      <c r="Y61" s="195">
        <f>'Pulje 3'!Y20</f>
        <v>384.73243630739432</v>
      </c>
      <c r="Z61" s="195">
        <f>'Pulje 3'!Z20</f>
        <v>683.31425499011618</v>
      </c>
      <c r="AA61" s="195">
        <f>'Pulje 3'!AA20</f>
        <v>0</v>
      </c>
      <c r="AB61" s="195">
        <f>'Pulje 3'!AB20</f>
        <v>0</v>
      </c>
      <c r="AC61" s="195">
        <f>'Pulje 3'!AC20</f>
        <v>0</v>
      </c>
      <c r="AD61">
        <f>'Pulje 3'!AD20</f>
        <v>0</v>
      </c>
      <c r="AE61">
        <v>3</v>
      </c>
      <c r="AF61" s="195" t="str">
        <f>IFERROR(IF(FIND("K",TblResultater[[#This Row],[Kategori]])&gt;0,"K"),"M")</f>
        <v>M</v>
      </c>
      <c r="AG61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61" s="195">
        <f>IFERROR(TblResultater[[#This Row],[SortKat]]+TblResultater[[#This Row],[5-kamp]]/10000,)</f>
        <v>7</v>
      </c>
    </row>
    <row r="62" spans="2:34" x14ac:dyDescent="0.2">
      <c r="B62" s="37" t="str">
        <f>'Pulje 3'!B21</f>
        <v>1978014</v>
      </c>
      <c r="C62" t="str">
        <f>'Pulje 3'!C21</f>
        <v>+86</v>
      </c>
      <c r="D62">
        <f>'Pulje 3'!D21</f>
        <v>96.73</v>
      </c>
      <c r="E62" t="str">
        <f>'Pulje 3'!E21</f>
        <v>K45</v>
      </c>
      <c r="F62" t="str">
        <f>'Pulje 3'!F21</f>
        <v>+35</v>
      </c>
      <c r="G62" s="197">
        <f>'Pulje 3'!G21</f>
        <v>28620</v>
      </c>
      <c r="H62">
        <f>'Pulje 3'!H21</f>
        <v>0</v>
      </c>
      <c r="I62" t="str">
        <f>'Pulje 3'!I21</f>
        <v xml:space="preserve">Linda Leithe Sandvik </v>
      </c>
      <c r="J62" t="str">
        <f>'Pulje 3'!J21</f>
        <v>Tysvær VK</v>
      </c>
      <c r="K62">
        <f>'Pulje 3'!K21</f>
        <v>35</v>
      </c>
      <c r="L62">
        <f>'Pulje 3'!L21</f>
        <v>39</v>
      </c>
      <c r="M62">
        <f>'Pulje 3'!M21</f>
        <v>-42</v>
      </c>
      <c r="N62">
        <f>'Pulje 3'!N21</f>
        <v>40</v>
      </c>
      <c r="O62">
        <f>'Pulje 3'!O21</f>
        <v>45</v>
      </c>
      <c r="P62">
        <f>'Pulje 3'!P21</f>
        <v>50</v>
      </c>
      <c r="Q62">
        <f>'Pulje 3'!Q21</f>
        <v>39</v>
      </c>
      <c r="R62">
        <f>'Pulje 3'!R21</f>
        <v>50</v>
      </c>
      <c r="S62" s="194">
        <f>'Pulje 3'!S21</f>
        <v>89</v>
      </c>
      <c r="T62" s="195">
        <f>'Pulje 3'!T21</f>
        <v>95.779468531842227</v>
      </c>
      <c r="U62" s="195">
        <f>'Pulje 3'!U21</f>
        <v>121.16102769278041</v>
      </c>
      <c r="V62" s="195">
        <f>'Pulje 3'!V21</f>
        <v>0</v>
      </c>
      <c r="W62" s="195" t="str">
        <f>'Pulje 3'!V22</f>
        <v/>
      </c>
      <c r="X62" s="195">
        <f>'Pulje 3'!X21</f>
        <v>0</v>
      </c>
      <c r="Y62" s="195" t="str">
        <f>'Pulje 3'!W22</f>
        <v/>
      </c>
      <c r="Z62" s="195">
        <f>'Pulje 3'!X21</f>
        <v>0</v>
      </c>
      <c r="AA62" s="195" t="str">
        <f>'Pulje 3'!X22</f>
        <v/>
      </c>
      <c r="AB62" s="195" t="str">
        <f>'Pulje 3'!Y22</f>
        <v/>
      </c>
      <c r="AC62" s="195">
        <f>'Pulje 3'!Z22</f>
        <v>0</v>
      </c>
      <c r="AD62">
        <f t="shared" ref="AD62" si="7">IF(ISBLANK(G62),"",DATEDIF(G62,StevneDato,"Y"))</f>
        <v>47</v>
      </c>
      <c r="AE62">
        <v>3</v>
      </c>
      <c r="AF62" s="195" t="str">
        <f>IFERROR(IF(FIND("K",TblResultater[[#This Row],[Kategori]])&gt;0,"K"),"M")</f>
        <v>K</v>
      </c>
      <c r="AG62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62" s="195">
        <f>IFERROR(TblResultater[[#This Row],[SortKat]]+TblResultater[[#This Row],[5-kamp]]/10000,)</f>
        <v>7</v>
      </c>
    </row>
    <row r="63" spans="2:34" x14ac:dyDescent="0.2">
      <c r="B63">
        <f>'Pulje 3'!B22</f>
        <v>0</v>
      </c>
      <c r="C63">
        <f>'Pulje 3'!C22</f>
        <v>0</v>
      </c>
      <c r="D63">
        <f>'Pulje 3'!D22</f>
        <v>0</v>
      </c>
      <c r="E63">
        <f>'Pulje 3'!E22</f>
        <v>0</v>
      </c>
      <c r="F63">
        <f>'Pulje 3'!F22</f>
        <v>0</v>
      </c>
      <c r="G63">
        <f>'Pulje 3'!G22</f>
        <v>0</v>
      </c>
      <c r="H63">
        <f>'Pulje 3'!H22</f>
        <v>0</v>
      </c>
      <c r="I63">
        <f>'Pulje 3'!I22</f>
        <v>0</v>
      </c>
      <c r="J63">
        <f>'Pulje 3'!J22</f>
        <v>0</v>
      </c>
      <c r="K63">
        <f>'Pulje 3'!K22</f>
        <v>0</v>
      </c>
      <c r="L63">
        <f>'Pulje 3'!L22</f>
        <v>0</v>
      </c>
      <c r="M63">
        <f>'Pulje 3'!M22</f>
        <v>0</v>
      </c>
      <c r="N63">
        <f>'Pulje 3'!N22</f>
        <v>0</v>
      </c>
      <c r="O63">
        <f>'Pulje 3'!O22</f>
        <v>0</v>
      </c>
      <c r="P63">
        <f>'Pulje 3'!P22</f>
        <v>0</v>
      </c>
      <c r="Q63">
        <f>'Pulje 3'!Q22</f>
        <v>0</v>
      </c>
      <c r="R63">
        <f>'Pulje 3'!R22</f>
        <v>0</v>
      </c>
      <c r="S63">
        <f>'Pulje 3'!S22</f>
        <v>114.93536223821067</v>
      </c>
      <c r="T63" s="195">
        <f>'Pulje 3'!T22</f>
        <v>0</v>
      </c>
      <c r="U63" s="195">
        <f>'Pulje 3'!U22</f>
        <v>0</v>
      </c>
      <c r="V63" s="195" t="str">
        <f>'Pulje 3'!V22</f>
        <v/>
      </c>
      <c r="W63" s="195" t="str">
        <f>'Pulje 3'!W22</f>
        <v/>
      </c>
      <c r="X63" s="195" t="str">
        <f>'Pulje 3'!X22</f>
        <v/>
      </c>
      <c r="Y63" s="195" t="str">
        <f>'Pulje 3'!Y22</f>
        <v/>
      </c>
      <c r="Z63" s="195">
        <f>'Pulje 3'!Z22</f>
        <v>0</v>
      </c>
      <c r="AA63" s="195">
        <f>'Pulje 3'!AA22</f>
        <v>0</v>
      </c>
      <c r="AB63" s="195">
        <f>'Pulje 3'!AB22</f>
        <v>0</v>
      </c>
      <c r="AC63" s="195">
        <f>'Pulje 3'!AC22</f>
        <v>0</v>
      </c>
      <c r="AD63">
        <f>'Pulje 3'!AD22</f>
        <v>0</v>
      </c>
      <c r="AE63">
        <v>3</v>
      </c>
      <c r="AF63" s="195" t="str">
        <f>IFERROR(IF(FIND("K",TblResultater[[#This Row],[Kategori]])&gt;0,"K"),"M")</f>
        <v>M</v>
      </c>
      <c r="AG63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63" s="195">
        <f>IFERROR(TblResultater[[#This Row],[SortKat]]+TblResultater[[#This Row],[5-kamp]]/10000,)</f>
        <v>7</v>
      </c>
    </row>
    <row r="64" spans="2:34" x14ac:dyDescent="0.2">
      <c r="B64" s="37" t="str">
        <f>'Pulje 3'!B23</f>
        <v>1977019</v>
      </c>
      <c r="C64" t="str">
        <f>'Pulje 3'!C23</f>
        <v>69</v>
      </c>
      <c r="D64">
        <f>'Pulje 3'!D23</f>
        <v>68.680000000000007</v>
      </c>
      <c r="E64" t="str">
        <f>'Pulje 3'!E23</f>
        <v>K45</v>
      </c>
      <c r="F64" t="str">
        <f>'Pulje 3'!F23</f>
        <v>+35</v>
      </c>
      <c r="G64" s="197">
        <f>'Pulje 3'!G23</f>
        <v>28203</v>
      </c>
      <c r="H64">
        <f>'Pulje 3'!H23</f>
        <v>0</v>
      </c>
      <c r="I64" t="str">
        <f>'Pulje 3'!I23</f>
        <v xml:space="preserve">Turid Nese Opsanger </v>
      </c>
      <c r="J64" t="str">
        <f>'Pulje 3'!J23</f>
        <v>Voll IL</v>
      </c>
      <c r="K64">
        <f>'Pulje 3'!K23</f>
        <v>17</v>
      </c>
      <c r="L64">
        <f>'Pulje 3'!L23</f>
        <v>19</v>
      </c>
      <c r="M64">
        <f>'Pulje 3'!M23</f>
        <v>21</v>
      </c>
      <c r="N64">
        <f>'Pulje 3'!N23</f>
        <v>20</v>
      </c>
      <c r="O64">
        <f>'Pulje 3'!O23</f>
        <v>23</v>
      </c>
      <c r="P64">
        <f>'Pulje 3'!P23</f>
        <v>26</v>
      </c>
      <c r="Q64">
        <f>'Pulje 3'!Q23</f>
        <v>21</v>
      </c>
      <c r="R64">
        <f>'Pulje 3'!R23</f>
        <v>26</v>
      </c>
      <c r="S64" s="194">
        <f>'Pulje 3'!S23</f>
        <v>47</v>
      </c>
      <c r="T64" s="195">
        <f>'Pulje 3'!T23</f>
        <v>58.682475961231702</v>
      </c>
      <c r="U64" s="195">
        <f>'Pulje 3'!U23</f>
        <v>75.583029038066428</v>
      </c>
      <c r="V64" s="195">
        <f>'Pulje 3'!V23</f>
        <v>4.96</v>
      </c>
      <c r="W64" s="195">
        <f>'Pulje 3'!V24</f>
        <v>99.2</v>
      </c>
      <c r="X64" s="195">
        <f>'Pulje 3'!X23</f>
        <v>9.49</v>
      </c>
      <c r="Y64" s="195">
        <f>'Pulje 3'!W24</f>
        <v>90.361013625085931</v>
      </c>
      <c r="Z64" s="195">
        <f>'Pulje 3'!X23</f>
        <v>9.49</v>
      </c>
      <c r="AA64" s="195">
        <f>'Pulje 3'!X24</f>
        <v>20</v>
      </c>
      <c r="AB64" s="195">
        <f>'Pulje 3'!Y24</f>
        <v>209.56101362508593</v>
      </c>
      <c r="AC64" s="195">
        <f>'Pulje 3'!Z24</f>
        <v>360.61422039479038</v>
      </c>
      <c r="AD64">
        <f t="shared" ref="AD64" si="8">IF(ISBLANK(G64),"",DATEDIF(G64,StevneDato,"Y"))</f>
        <v>48</v>
      </c>
      <c r="AE64">
        <v>3</v>
      </c>
      <c r="AF64" s="195" t="str">
        <f>IFERROR(IF(FIND("K",TblResultater[[#This Row],[Kategori]])&gt;0,"K"),"M")</f>
        <v>K</v>
      </c>
      <c r="AG64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64" s="195">
        <f>IFERROR(TblResultater[[#This Row],[SortKat]]+TblResultater[[#This Row],[5-kamp]]/10000,)</f>
        <v>7.036061422039479</v>
      </c>
    </row>
    <row r="65" spans="2:34" x14ac:dyDescent="0.2">
      <c r="B65">
        <f>'Pulje 3'!B24</f>
        <v>0</v>
      </c>
      <c r="C65">
        <f>'Pulje 3'!C24</f>
        <v>0</v>
      </c>
      <c r="D65">
        <f>'Pulje 3'!D24</f>
        <v>0</v>
      </c>
      <c r="E65">
        <f>'Pulje 3'!E24</f>
        <v>0</v>
      </c>
      <c r="F65">
        <f>'Pulje 3'!F24</f>
        <v>0</v>
      </c>
      <c r="G65">
        <f>'Pulje 3'!G24</f>
        <v>0</v>
      </c>
      <c r="H65">
        <f>'Pulje 3'!H24</f>
        <v>0</v>
      </c>
      <c r="I65">
        <f>'Pulje 3'!I24</f>
        <v>0</v>
      </c>
      <c r="J65">
        <f>'Pulje 3'!J24</f>
        <v>0</v>
      </c>
      <c r="K65">
        <f>'Pulje 3'!K24</f>
        <v>0</v>
      </c>
      <c r="L65">
        <f>'Pulje 3'!L24</f>
        <v>0</v>
      </c>
      <c r="M65">
        <f>'Pulje 3'!M24</f>
        <v>0</v>
      </c>
      <c r="N65">
        <f>'Pulje 3'!N24</f>
        <v>0</v>
      </c>
      <c r="O65">
        <f>'Pulje 3'!O24</f>
        <v>0</v>
      </c>
      <c r="P65">
        <f>'Pulje 3'!P24</f>
        <v>0</v>
      </c>
      <c r="Q65">
        <f>'Pulje 3'!Q24</f>
        <v>0</v>
      </c>
      <c r="R65">
        <f>'Pulje 3'!R24</f>
        <v>0</v>
      </c>
      <c r="S65">
        <f>'Pulje 3'!S24</f>
        <v>70.41897115347804</v>
      </c>
      <c r="T65" s="195">
        <f>'Pulje 3'!T24</f>
        <v>0</v>
      </c>
      <c r="U65" s="195">
        <f>'Pulje 3'!U24</f>
        <v>0</v>
      </c>
      <c r="V65" s="195">
        <f>'Pulje 3'!V24</f>
        <v>99.2</v>
      </c>
      <c r="W65" s="195">
        <f>'Pulje 3'!W24</f>
        <v>90.361013625085931</v>
      </c>
      <c r="X65" s="195">
        <f>'Pulje 3'!X24</f>
        <v>20</v>
      </c>
      <c r="Y65" s="195">
        <f>'Pulje 3'!Y24</f>
        <v>209.56101362508593</v>
      </c>
      <c r="Z65" s="195">
        <f>'Pulje 3'!Z24</f>
        <v>360.61422039479038</v>
      </c>
      <c r="AA65" s="195">
        <f>'Pulje 3'!AA24</f>
        <v>0</v>
      </c>
      <c r="AB65" s="195">
        <f>'Pulje 3'!AB24</f>
        <v>0</v>
      </c>
      <c r="AC65" s="195">
        <f>'Pulje 3'!AC24</f>
        <v>0</v>
      </c>
      <c r="AD65">
        <f>'Pulje 3'!AD24</f>
        <v>0</v>
      </c>
      <c r="AE65">
        <v>3</v>
      </c>
      <c r="AF65" s="195" t="str">
        <f>IFERROR(IF(FIND("K",TblResultater[[#This Row],[Kategori]])&gt;0,"K"),"M")</f>
        <v>M</v>
      </c>
      <c r="AG65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65" s="195">
        <f>IFERROR(TblResultater[[#This Row],[SortKat]]+TblResultater[[#This Row],[5-kamp]]/10000,)</f>
        <v>7</v>
      </c>
    </row>
    <row r="66" spans="2:34" x14ac:dyDescent="0.2">
      <c r="B66" s="37" t="str">
        <f>'Pulje 3'!B25</f>
        <v>1976011</v>
      </c>
      <c r="C66" t="str">
        <f>'Pulje 3'!C25</f>
        <v>86</v>
      </c>
      <c r="D66">
        <f>'Pulje 3'!D25</f>
        <v>83.59</v>
      </c>
      <c r="E66" t="str">
        <f>'Pulje 3'!E25</f>
        <v>K45</v>
      </c>
      <c r="F66" t="str">
        <f>'Pulje 3'!F25</f>
        <v>+35</v>
      </c>
      <c r="G66" s="197">
        <f>'Pulje 3'!G25</f>
        <v>28012</v>
      </c>
      <c r="H66">
        <f>'Pulje 3'!H25</f>
        <v>0</v>
      </c>
      <c r="I66" t="str">
        <f>'Pulje 3'!I25</f>
        <v xml:space="preserve">Christine Berge Christiansen </v>
      </c>
      <c r="J66" t="str">
        <f>'Pulje 3'!J25</f>
        <v>Tysvær VK</v>
      </c>
      <c r="K66">
        <f>'Pulje 3'!K25</f>
        <v>37</v>
      </c>
      <c r="L66">
        <f>'Pulje 3'!L25</f>
        <v>40</v>
      </c>
      <c r="M66">
        <f>'Pulje 3'!M25</f>
        <v>-43</v>
      </c>
      <c r="N66">
        <f>'Pulje 3'!N25</f>
        <v>48</v>
      </c>
      <c r="O66">
        <f>'Pulje 3'!O25</f>
        <v>-53</v>
      </c>
      <c r="P66">
        <f>'Pulje 3'!P25</f>
        <v>-53</v>
      </c>
      <c r="Q66">
        <f>'Pulje 3'!Q25</f>
        <v>40</v>
      </c>
      <c r="R66">
        <f>'Pulje 3'!R25</f>
        <v>48</v>
      </c>
      <c r="S66" s="194">
        <f>'Pulje 3'!S25</f>
        <v>88</v>
      </c>
      <c r="T66" s="195">
        <f>'Pulje 3'!T25</f>
        <v>99.91182565305381</v>
      </c>
      <c r="U66" s="195">
        <f>'Pulje 3'!U25</f>
        <v>131.18422708245964</v>
      </c>
      <c r="V66" s="195">
        <f>'Pulje 3'!V25</f>
        <v>4.95</v>
      </c>
      <c r="W66" s="195">
        <f>'Pulje 3'!V26</f>
        <v>99</v>
      </c>
      <c r="X66" s="195">
        <f>'Pulje 3'!X25</f>
        <v>9.58</v>
      </c>
      <c r="Y66" s="195">
        <f>'Pulje 3'!W26</f>
        <v>93.340680464180082</v>
      </c>
      <c r="Z66" s="195">
        <f>'Pulje 3'!X25</f>
        <v>9.58</v>
      </c>
      <c r="AA66" s="195">
        <f>'Pulje 3'!X26</f>
        <v>16.000000000000014</v>
      </c>
      <c r="AB66" s="195">
        <f>'Pulje 3'!Y26</f>
        <v>208.34068046418008</v>
      </c>
      <c r="AC66" s="195">
        <f>'Pulje 3'!Z26</f>
        <v>430.97238594841997</v>
      </c>
      <c r="AD66">
        <f t="shared" ref="AD66" si="9">IF(ISBLANK(G66),"",DATEDIF(G66,StevneDato,"Y"))</f>
        <v>48</v>
      </c>
      <c r="AE66">
        <v>3</v>
      </c>
      <c r="AF66" s="195" t="str">
        <f>IFERROR(IF(FIND("K",TblResultater[[#This Row],[Kategori]])&gt;0,"K"),"M")</f>
        <v>K</v>
      </c>
      <c r="AG66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66" s="195">
        <f>IFERROR(TblResultater[[#This Row],[SortKat]]+TblResultater[[#This Row],[5-kamp]]/10000,)</f>
        <v>7.043097238594842</v>
      </c>
    </row>
    <row r="67" spans="2:34" x14ac:dyDescent="0.2">
      <c r="B67">
        <f>'Pulje 3'!B26</f>
        <v>0</v>
      </c>
      <c r="C67">
        <f>'Pulje 3'!C26</f>
        <v>0</v>
      </c>
      <c r="D67">
        <f>'Pulje 3'!D26</f>
        <v>0</v>
      </c>
      <c r="E67">
        <f>'Pulje 3'!E26</f>
        <v>0</v>
      </c>
      <c r="F67">
        <f>'Pulje 3'!F26</f>
        <v>0</v>
      </c>
      <c r="G67">
        <f>'Pulje 3'!G26</f>
        <v>0</v>
      </c>
      <c r="H67">
        <f>'Pulje 3'!H26</f>
        <v>0</v>
      </c>
      <c r="I67">
        <f>'Pulje 3'!I26</f>
        <v>0</v>
      </c>
      <c r="J67">
        <f>'Pulje 3'!J26</f>
        <v>0</v>
      </c>
      <c r="K67">
        <f>'Pulje 3'!K26</f>
        <v>0</v>
      </c>
      <c r="L67">
        <f>'Pulje 3'!L26</f>
        <v>0</v>
      </c>
      <c r="M67">
        <f>'Pulje 3'!M26</f>
        <v>0</v>
      </c>
      <c r="N67">
        <f>'Pulje 3'!N26</f>
        <v>0</v>
      </c>
      <c r="O67">
        <f>'Pulje 3'!O26</f>
        <v>0</v>
      </c>
      <c r="P67">
        <f>'Pulje 3'!P26</f>
        <v>0</v>
      </c>
      <c r="Q67">
        <f>'Pulje 3'!Q26</f>
        <v>0</v>
      </c>
      <c r="R67">
        <f>'Pulje 3'!R26</f>
        <v>0</v>
      </c>
      <c r="S67">
        <f>'Pulje 3'!S26</f>
        <v>119.89419078366457</v>
      </c>
      <c r="T67" s="195">
        <f>'Pulje 3'!T26</f>
        <v>0</v>
      </c>
      <c r="U67" s="195">
        <f>'Pulje 3'!U26</f>
        <v>0</v>
      </c>
      <c r="V67" s="195">
        <f>'Pulje 3'!V26</f>
        <v>99</v>
      </c>
      <c r="W67" s="195">
        <f>'Pulje 3'!W26</f>
        <v>93.340680464180082</v>
      </c>
      <c r="X67" s="195">
        <f>'Pulje 3'!X26</f>
        <v>16.000000000000014</v>
      </c>
      <c r="Y67" s="195">
        <f>'Pulje 3'!Y26</f>
        <v>208.34068046418008</v>
      </c>
      <c r="Z67" s="195">
        <f>'Pulje 3'!Z26</f>
        <v>430.97238594841997</v>
      </c>
      <c r="AA67" s="195">
        <f>'Pulje 3'!AA26</f>
        <v>0</v>
      </c>
      <c r="AB67" s="195">
        <f>'Pulje 3'!AB26</f>
        <v>0</v>
      </c>
      <c r="AC67" s="195">
        <f>'Pulje 3'!AC26</f>
        <v>0</v>
      </c>
      <c r="AD67">
        <f>'Pulje 3'!AD26</f>
        <v>0</v>
      </c>
      <c r="AE67">
        <v>3</v>
      </c>
      <c r="AF67" s="195" t="str">
        <f>IFERROR(IF(FIND("K",TblResultater[[#This Row],[Kategori]])&gt;0,"K"),"M")</f>
        <v>M</v>
      </c>
      <c r="AG67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67" s="195">
        <f>IFERROR(TblResultater[[#This Row],[SortKat]]+TblResultater[[#This Row],[5-kamp]]/10000,)</f>
        <v>7</v>
      </c>
    </row>
    <row r="68" spans="2:34" x14ac:dyDescent="0.2">
      <c r="B68" s="37" t="str">
        <f>'Pulje 3'!B27</f>
        <v>1975001</v>
      </c>
      <c r="C68">
        <f>'Pulje 3'!C27</f>
        <v>77</v>
      </c>
      <c r="D68">
        <f>'Pulje 3'!D27</f>
        <v>76.25</v>
      </c>
      <c r="E68" t="str">
        <f>'Pulje 3'!E27</f>
        <v>K50</v>
      </c>
      <c r="F68" t="str">
        <f>'Pulje 3'!F27</f>
        <v>+35</v>
      </c>
      <c r="G68" s="197">
        <f>'Pulje 3'!G27</f>
        <v>27503</v>
      </c>
      <c r="H68">
        <f>'Pulje 3'!H27</f>
        <v>0</v>
      </c>
      <c r="I68" t="str">
        <f>'Pulje 3'!I27</f>
        <v xml:space="preserve">Monika Zakrzewska </v>
      </c>
      <c r="J68" t="str">
        <f>'Pulje 3'!J27</f>
        <v>Tysvær VK</v>
      </c>
      <c r="K68">
        <f>'Pulje 3'!K27</f>
        <v>40</v>
      </c>
      <c r="L68">
        <f>'Pulje 3'!L27</f>
        <v>43</v>
      </c>
      <c r="M68">
        <f>'Pulje 3'!M27</f>
        <v>-46</v>
      </c>
      <c r="N68">
        <f>'Pulje 3'!N27</f>
        <v>58</v>
      </c>
      <c r="O68">
        <f>'Pulje 3'!O27</f>
        <v>62</v>
      </c>
      <c r="P68">
        <f>'Pulje 3'!P27</f>
        <v>65</v>
      </c>
      <c r="Q68">
        <f>'Pulje 3'!Q27</f>
        <v>43</v>
      </c>
      <c r="R68">
        <f>'Pulje 3'!R27</f>
        <v>65</v>
      </c>
      <c r="S68" s="194">
        <f>'Pulje 3'!S27</f>
        <v>108</v>
      </c>
      <c r="T68" s="195">
        <f>'Pulje 3'!T27</f>
        <v>127.77343118237754</v>
      </c>
      <c r="U68" s="195">
        <f>'Pulje 3'!U27</f>
        <v>171.21639778438592</v>
      </c>
      <c r="V68" s="195">
        <f>'Pulje 3'!V27</f>
        <v>4.8600000000000003</v>
      </c>
      <c r="W68" s="195">
        <f>'Pulje 3'!V28</f>
        <v>97.2</v>
      </c>
      <c r="X68" s="195">
        <f>'Pulje 3'!X27</f>
        <v>10.33</v>
      </c>
      <c r="Y68" s="195">
        <f>'Pulje 3'!W28</f>
        <v>119.11719946758784</v>
      </c>
      <c r="Z68" s="195">
        <f>'Pulje 3'!X27</f>
        <v>10.33</v>
      </c>
      <c r="AA68" s="195">
        <f>'Pulje 3'!X28</f>
        <v>0</v>
      </c>
      <c r="AB68" s="195">
        <f>'Pulje 3'!Y28</f>
        <v>216.31719946758784</v>
      </c>
      <c r="AC68" s="195">
        <f>'Pulje 3'!Z28</f>
        <v>495.32472462783079</v>
      </c>
      <c r="AD68">
        <f t="shared" ref="AD68" si="10">IF(ISBLANK(G68),"",DATEDIF(G68,StevneDato,"Y"))</f>
        <v>50</v>
      </c>
      <c r="AE68">
        <v>3</v>
      </c>
      <c r="AF68" s="195" t="str">
        <f>IFERROR(IF(FIND("K",TblResultater[[#This Row],[Kategori]])&gt;0,"K"),"M")</f>
        <v>K</v>
      </c>
      <c r="AG68" s="194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68" s="195">
        <f>IFERROR(TblResultater[[#This Row],[SortKat]]+TblResultater[[#This Row],[5-kamp]]/10000,)</f>
        <v>7.0495324724627828</v>
      </c>
    </row>
    <row r="69" spans="2:34" x14ac:dyDescent="0.2">
      <c r="B69">
        <f>'Pulje 3'!B28</f>
        <v>0</v>
      </c>
      <c r="C69">
        <f>'Pulje 3'!C28</f>
        <v>0</v>
      </c>
      <c r="D69">
        <f>'Pulje 3'!D28</f>
        <v>0</v>
      </c>
      <c r="E69">
        <f>'Pulje 3'!E28</f>
        <v>0</v>
      </c>
      <c r="F69">
        <f>'Pulje 3'!F28</f>
        <v>0</v>
      </c>
      <c r="G69">
        <f>'Pulje 3'!G28</f>
        <v>0</v>
      </c>
      <c r="H69">
        <f>'Pulje 3'!H28</f>
        <v>0</v>
      </c>
      <c r="I69" t="str">
        <f>'Pulje 3'!I28</f>
        <v xml:space="preserve"> </v>
      </c>
      <c r="J69">
        <f>'Pulje 3'!J28</f>
        <v>0</v>
      </c>
      <c r="K69">
        <f>'Pulje 3'!K28</f>
        <v>0</v>
      </c>
      <c r="L69">
        <f>'Pulje 3'!L28</f>
        <v>0</v>
      </c>
      <c r="M69">
        <f>'Pulje 3'!M28</f>
        <v>0</v>
      </c>
      <c r="N69">
        <f>'Pulje 3'!N28</f>
        <v>0</v>
      </c>
      <c r="O69">
        <f>'Pulje 3'!O28</f>
        <v>0</v>
      </c>
      <c r="P69">
        <f>'Pulje 3'!P28</f>
        <v>0</v>
      </c>
      <c r="Q69">
        <f>'Pulje 3'!Q28</f>
        <v>0</v>
      </c>
      <c r="R69">
        <f>'Pulje 3'!R28</f>
        <v>0</v>
      </c>
      <c r="S69">
        <f>'Pulje 3'!S28</f>
        <v>153.32811741885303</v>
      </c>
      <c r="T69" s="195">
        <f>'Pulje 3'!T28</f>
        <v>0</v>
      </c>
      <c r="U69" s="195">
        <f>'Pulje 3'!U28</f>
        <v>0</v>
      </c>
      <c r="V69" s="195">
        <f>'Pulje 3'!V28</f>
        <v>97.2</v>
      </c>
      <c r="W69" s="195">
        <f>'Pulje 3'!W28</f>
        <v>119.11719946758784</v>
      </c>
      <c r="X69" s="195">
        <f>'Pulje 3'!X28</f>
        <v>0</v>
      </c>
      <c r="Y69" s="195">
        <f>'Pulje 3'!Y28</f>
        <v>216.31719946758784</v>
      </c>
      <c r="Z69" s="195">
        <f>'Pulje 3'!Z28</f>
        <v>495.32472462783079</v>
      </c>
      <c r="AA69" s="195">
        <f>'Pulje 3'!AA28</f>
        <v>0</v>
      </c>
      <c r="AB69" s="195">
        <f>'Pulje 3'!AB28</f>
        <v>0</v>
      </c>
      <c r="AC69" s="195">
        <f>'Pulje 3'!AC28</f>
        <v>0</v>
      </c>
      <c r="AD69">
        <f>'Pulje 3'!AD28</f>
        <v>0</v>
      </c>
      <c r="AE69">
        <v>3</v>
      </c>
      <c r="AF69" s="195" t="str">
        <f>IFERROR(IF(FIND("K",TblResultater[[#This Row],[Kategori]])&gt;0,"K"),"M")</f>
        <v>M</v>
      </c>
      <c r="AG69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69" s="195">
        <f>IFERROR(TblResultater[[#This Row],[SortKat]]+TblResultater[[#This Row],[5-kamp]]/10000,)</f>
        <v>7</v>
      </c>
    </row>
    <row r="70" spans="2:34" x14ac:dyDescent="0.2">
      <c r="B70">
        <f>'Pulje 3'!B29</f>
        <v>0</v>
      </c>
      <c r="C70">
        <f>'Pulje 3'!C29</f>
        <v>0</v>
      </c>
      <c r="D70">
        <f>'Pulje 3'!D29</f>
        <v>0</v>
      </c>
      <c r="E70">
        <f>'Pulje 3'!E29</f>
        <v>0</v>
      </c>
      <c r="F70">
        <f>'Pulje 3'!F29</f>
        <v>0</v>
      </c>
      <c r="G70">
        <f>'Pulje 3'!G29</f>
        <v>0</v>
      </c>
      <c r="H70">
        <f>'Pulje 3'!H29</f>
        <v>0</v>
      </c>
      <c r="I70">
        <f>'Pulje 3'!I29</f>
        <v>0</v>
      </c>
      <c r="J70">
        <f>'Pulje 3'!J29</f>
        <v>0</v>
      </c>
      <c r="K70">
        <f>'Pulje 3'!K29</f>
        <v>0</v>
      </c>
      <c r="L70">
        <f>'Pulje 3'!L29</f>
        <v>0</v>
      </c>
      <c r="M70">
        <f>'Pulje 3'!M29</f>
        <v>0</v>
      </c>
      <c r="N70">
        <f>'Pulje 3'!N29</f>
        <v>0</v>
      </c>
      <c r="O70">
        <f>'Pulje 3'!O29</f>
        <v>0</v>
      </c>
      <c r="P70">
        <f>'Pulje 3'!P29</f>
        <v>0</v>
      </c>
      <c r="Q70" t="str">
        <f>'Pulje 3'!Q29</f>
        <v/>
      </c>
      <c r="R70" t="str">
        <f>'Pulje 3'!R29</f>
        <v/>
      </c>
      <c r="S70" t="str">
        <f>'Pulje 3'!S29</f>
        <v/>
      </c>
      <c r="T70" s="195" t="str">
        <f>'Pulje 3'!T29</f>
        <v/>
      </c>
      <c r="U70" s="195" t="str">
        <f>'Pulje 3'!U29</f>
        <v/>
      </c>
      <c r="V70" s="195">
        <f>'Pulje 3'!V29</f>
        <v>0</v>
      </c>
      <c r="W70" s="195">
        <f>'Pulje 3'!W29</f>
        <v>0</v>
      </c>
      <c r="X70" s="195">
        <f>'Pulje 3'!X29</f>
        <v>0</v>
      </c>
      <c r="Y70" s="195">
        <f>'Pulje 3'!Y29</f>
        <v>0</v>
      </c>
      <c r="Z70" s="195">
        <f>'Pulje 3'!Z29</f>
        <v>0</v>
      </c>
      <c r="AA70" s="195">
        <f>'Pulje 3'!AA29</f>
        <v>0</v>
      </c>
      <c r="AB70" s="195">
        <f>'Pulje 3'!AB29</f>
        <v>0</v>
      </c>
      <c r="AC70" s="195">
        <f>'Pulje 3'!AC29</f>
        <v>45829</v>
      </c>
      <c r="AD70" t="b">
        <f>'Pulje 3'!AD29</f>
        <v>0</v>
      </c>
      <c r="AE70">
        <v>3</v>
      </c>
      <c r="AF70" s="195" t="str">
        <f>IFERROR(IF(FIND("K",TblResultater[[#This Row],[Kategori]])&gt;0,"K"),"M")</f>
        <v>M</v>
      </c>
      <c r="AG70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70" s="195">
        <f>IFERROR(TblResultater[[#This Row],[SortKat]]+TblResultater[[#This Row],[5-kamp]]/10000,)</f>
        <v>11.5829</v>
      </c>
    </row>
    <row r="71" spans="2:34" x14ac:dyDescent="0.2">
      <c r="B71">
        <f>'Pulje 3'!B30</f>
        <v>0</v>
      </c>
      <c r="C71">
        <f>'Pulje 3'!C30</f>
        <v>0</v>
      </c>
      <c r="D71">
        <f>'Pulje 3'!D30</f>
        <v>0</v>
      </c>
      <c r="E71">
        <f>'Pulje 3'!E30</f>
        <v>0</v>
      </c>
      <c r="F71">
        <f>'Pulje 3'!F30</f>
        <v>0</v>
      </c>
      <c r="G71">
        <f>'Pulje 3'!G30</f>
        <v>0</v>
      </c>
      <c r="H71">
        <f>'Pulje 3'!H30</f>
        <v>0</v>
      </c>
      <c r="I71">
        <f>'Pulje 3'!I30</f>
        <v>0</v>
      </c>
      <c r="J71">
        <f>'Pulje 3'!J30</f>
        <v>0</v>
      </c>
      <c r="K71">
        <f>'Pulje 3'!K30</f>
        <v>0</v>
      </c>
      <c r="L71">
        <f>'Pulje 3'!L30</f>
        <v>0</v>
      </c>
      <c r="M71">
        <f>'Pulje 3'!M30</f>
        <v>0</v>
      </c>
      <c r="N71">
        <f>'Pulje 3'!N30</f>
        <v>0</v>
      </c>
      <c r="O71">
        <f>'Pulje 3'!O30</f>
        <v>0</v>
      </c>
      <c r="P71">
        <f>'Pulje 3'!P30</f>
        <v>0</v>
      </c>
      <c r="Q71">
        <f>'Pulje 3'!Q30</f>
        <v>0</v>
      </c>
      <c r="R71">
        <f>'Pulje 3'!R30</f>
        <v>0</v>
      </c>
      <c r="S71" t="str">
        <f>'Pulje 3'!S30</f>
        <v/>
      </c>
      <c r="T71" s="195">
        <f>'Pulje 3'!T30</f>
        <v>0</v>
      </c>
      <c r="U71" s="195">
        <f>'Pulje 3'!U30</f>
        <v>0</v>
      </c>
      <c r="V71" s="195" t="str">
        <f>'Pulje 3'!V30</f>
        <v/>
      </c>
      <c r="W71" s="195" t="str">
        <f>'Pulje 3'!W30</f>
        <v/>
      </c>
      <c r="X71" s="195" t="str">
        <f>'Pulje 3'!X30</f>
        <v/>
      </c>
      <c r="Y71" s="195" t="str">
        <f>'Pulje 3'!Y30</f>
        <v/>
      </c>
      <c r="Z71" s="195" t="str">
        <f>'Pulje 3'!Z30</f>
        <v/>
      </c>
      <c r="AA71" s="195">
        <f>'Pulje 3'!AA30</f>
        <v>0</v>
      </c>
      <c r="AB71" s="195">
        <f>'Pulje 3'!AB30</f>
        <v>0</v>
      </c>
      <c r="AC71" s="195">
        <f>'Pulje 3'!AC30</f>
        <v>0</v>
      </c>
      <c r="AD71">
        <f>'Pulje 3'!AD30</f>
        <v>0</v>
      </c>
      <c r="AE71">
        <v>3</v>
      </c>
      <c r="AF71" s="195" t="str">
        <f>IFERROR(IF(FIND("K",TblResultater[[#This Row],[Kategori]])&gt;0,"K"),"M")</f>
        <v>M</v>
      </c>
      <c r="AG71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71" s="195">
        <f>IFERROR(TblResultater[[#This Row],[SortKat]]+TblResultater[[#This Row],[5-kamp]]/10000,)</f>
        <v>7</v>
      </c>
    </row>
    <row r="72" spans="2:34" x14ac:dyDescent="0.2">
      <c r="B72">
        <f>'Pulje 3'!B31</f>
        <v>0</v>
      </c>
      <c r="C72">
        <f>'Pulje 3'!C31</f>
        <v>0</v>
      </c>
      <c r="D72">
        <f>'Pulje 3'!D31</f>
        <v>0</v>
      </c>
      <c r="E72">
        <f>'Pulje 3'!E31</f>
        <v>0</v>
      </c>
      <c r="F72">
        <f>'Pulje 3'!F31</f>
        <v>0</v>
      </c>
      <c r="G72">
        <f>'Pulje 3'!G31</f>
        <v>0</v>
      </c>
      <c r="H72">
        <f>'Pulje 3'!H31</f>
        <v>0</v>
      </c>
      <c r="I72" t="str">
        <f>'Pulje 3'!I31</f>
        <v xml:space="preserve"> </v>
      </c>
      <c r="J72">
        <f>'Pulje 3'!J31</f>
        <v>0</v>
      </c>
      <c r="K72">
        <f>'Pulje 3'!K31</f>
        <v>0</v>
      </c>
      <c r="L72">
        <f>'Pulje 3'!L31</f>
        <v>0</v>
      </c>
      <c r="M72">
        <f>'Pulje 3'!M31</f>
        <v>0</v>
      </c>
      <c r="N72">
        <f>'Pulje 3'!N31</f>
        <v>0</v>
      </c>
      <c r="O72">
        <f>'Pulje 3'!O31</f>
        <v>0</v>
      </c>
      <c r="P72">
        <f>'Pulje 3'!P31</f>
        <v>0</v>
      </c>
      <c r="Q72" t="str">
        <f>'Pulje 3'!Q31</f>
        <v/>
      </c>
      <c r="R72" t="str">
        <f>'Pulje 3'!R31</f>
        <v/>
      </c>
      <c r="S72" t="str">
        <f>'Pulje 3'!S31</f>
        <v/>
      </c>
      <c r="T72" s="195" t="str">
        <f>'Pulje 3'!T31</f>
        <v/>
      </c>
      <c r="U72" s="195" t="str">
        <f>'Pulje 3'!U31</f>
        <v/>
      </c>
      <c r="V72" s="195">
        <f>'Pulje 3'!V31</f>
        <v>0</v>
      </c>
      <c r="W72" s="195">
        <f>'Pulje 3'!W31</f>
        <v>0</v>
      </c>
      <c r="X72" s="195">
        <f>'Pulje 3'!X31</f>
        <v>0</v>
      </c>
      <c r="Y72" s="195">
        <f>'Pulje 3'!Y31</f>
        <v>0</v>
      </c>
      <c r="Z72" s="195">
        <f>'Pulje 3'!Z31</f>
        <v>0</v>
      </c>
      <c r="AA72" s="195">
        <f>'Pulje 3'!AA31</f>
        <v>0</v>
      </c>
      <c r="AB72" s="195">
        <f>'Pulje 3'!AB31</f>
        <v>0</v>
      </c>
      <c r="AC72" s="195">
        <f>'Pulje 3'!AC31</f>
        <v>45829</v>
      </c>
      <c r="AD72" t="b">
        <f>'Pulje 3'!AD31</f>
        <v>0</v>
      </c>
      <c r="AE72">
        <v>3</v>
      </c>
      <c r="AF72" s="195" t="str">
        <f>IFERROR(IF(FIND("K",TblResultater[[#This Row],[Kategori]])&gt;0,"K"),"M")</f>
        <v>M</v>
      </c>
      <c r="AG72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72" s="195">
        <f>IFERROR(TblResultater[[#This Row],[SortKat]]+TblResultater[[#This Row],[5-kamp]]/10000,)</f>
        <v>11.5829</v>
      </c>
    </row>
    <row r="73" spans="2:34" x14ac:dyDescent="0.2">
      <c r="B73">
        <f>'Pulje 3'!B32</f>
        <v>0</v>
      </c>
      <c r="C73">
        <f>'Pulje 3'!C32</f>
        <v>0</v>
      </c>
      <c r="D73">
        <f>'Pulje 3'!D32</f>
        <v>0</v>
      </c>
      <c r="E73">
        <f>'Pulje 3'!E32</f>
        <v>0</v>
      </c>
      <c r="F73">
        <f>'Pulje 3'!F32</f>
        <v>0</v>
      </c>
      <c r="G73">
        <f>'Pulje 3'!G32</f>
        <v>0</v>
      </c>
      <c r="H73">
        <f>'Pulje 3'!H32</f>
        <v>0</v>
      </c>
      <c r="I73">
        <f>'Pulje 3'!I32</f>
        <v>0</v>
      </c>
      <c r="J73">
        <f>'Pulje 3'!J32</f>
        <v>0</v>
      </c>
      <c r="K73">
        <f>'Pulje 3'!K32</f>
        <v>0</v>
      </c>
      <c r="L73">
        <f>'Pulje 3'!L32</f>
        <v>0</v>
      </c>
      <c r="M73">
        <f>'Pulje 3'!M32</f>
        <v>0</v>
      </c>
      <c r="N73">
        <f>'Pulje 3'!N32</f>
        <v>0</v>
      </c>
      <c r="O73">
        <f>'Pulje 3'!O32</f>
        <v>0</v>
      </c>
      <c r="P73">
        <f>'Pulje 3'!P32</f>
        <v>0</v>
      </c>
      <c r="Q73">
        <f>'Pulje 3'!Q32</f>
        <v>0</v>
      </c>
      <c r="R73">
        <f>'Pulje 3'!R32</f>
        <v>0</v>
      </c>
      <c r="S73" t="str">
        <f>'Pulje 3'!S32</f>
        <v/>
      </c>
      <c r="T73" s="195">
        <f>'Pulje 3'!T32</f>
        <v>0</v>
      </c>
      <c r="U73" s="195">
        <f>'Pulje 3'!U32</f>
        <v>0</v>
      </c>
      <c r="V73" s="195" t="str">
        <f>'Pulje 3'!V32</f>
        <v/>
      </c>
      <c r="W73" s="195" t="str">
        <f>'Pulje 3'!W32</f>
        <v/>
      </c>
      <c r="X73" s="195" t="str">
        <f>'Pulje 3'!X32</f>
        <v/>
      </c>
      <c r="Y73" s="195" t="str">
        <f>'Pulje 3'!Y32</f>
        <v/>
      </c>
      <c r="Z73" s="195" t="str">
        <f>'Pulje 3'!Z32</f>
        <v/>
      </c>
      <c r="AA73" s="195">
        <f>'Pulje 3'!AA32</f>
        <v>0</v>
      </c>
      <c r="AB73" s="195">
        <f>'Pulje 3'!AB32</f>
        <v>0</v>
      </c>
      <c r="AC73" s="195">
        <f>'Pulje 3'!AC32</f>
        <v>0</v>
      </c>
      <c r="AD73">
        <f>'Pulje 3'!AD32</f>
        <v>0</v>
      </c>
      <c r="AE73">
        <v>3</v>
      </c>
      <c r="AF73" s="195" t="str">
        <f>IFERROR(IF(FIND("K",TblResultater[[#This Row],[Kategori]])&gt;0,"K"),"M")</f>
        <v>M</v>
      </c>
      <c r="AG73" s="195">
        <f>IF(TblResultater[[#This Row],[Kategori5K]]="11-12",1,IF(TblResultater[[#This Row],[Kategori5K]]="13-14",2,IF(TblResultater[[#This Row],[Kategori5K]]="15-16",3,IF(TblResultater[[#This Row],[Kategori5K]]="17-18",4,IF(TblResultater[[#This Row],[Kategori5K]]="19-23",5,IF(TblResultater[[#This Row],[Kategori5K]]="24-34",6,7))))))</f>
        <v>7</v>
      </c>
      <c r="AH73" s="195">
        <f>IFERROR(TblResultater[[#This Row],[SortKat]]+TblResultater[[#This Row],[5-kamp]]/10000,)</f>
        <v>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62A25-D0EE-4511-8DF2-C39E539CF0A3}">
  <dimension ref="A1:K24"/>
  <sheetViews>
    <sheetView showGridLines="0" zoomScale="170" zoomScaleNormal="170" workbookViewId="0">
      <selection activeCell="B3" sqref="B3"/>
    </sheetView>
  </sheetViews>
  <sheetFormatPr defaultRowHeight="12.75" x14ac:dyDescent="0.2"/>
  <cols>
    <col min="1" max="1" width="6.5703125" customWidth="1"/>
    <col min="2" max="2" width="4.7109375" customWidth="1"/>
    <col min="3" max="3" width="9.140625" customWidth="1"/>
    <col min="4" max="4" width="10.42578125" customWidth="1"/>
    <col min="5" max="5" width="28" bestFit="1" customWidth="1"/>
    <col min="6" max="6" width="13.140625" bestFit="1" customWidth="1"/>
    <col min="7" max="7" width="10.7109375" bestFit="1" customWidth="1"/>
    <col min="8" max="8" width="17" bestFit="1" customWidth="1"/>
    <col min="9" max="9" width="14" bestFit="1" customWidth="1"/>
    <col min="10" max="10" width="13.7109375" bestFit="1" customWidth="1"/>
    <col min="11" max="11" width="10.42578125" bestFit="1" customWidth="1"/>
    <col min="12" max="15" width="16.85546875" bestFit="1" customWidth="1"/>
    <col min="16" max="16" width="14.42578125" bestFit="1" customWidth="1"/>
  </cols>
  <sheetData>
    <row r="1" spans="1:11" x14ac:dyDescent="0.2">
      <c r="A1" s="193" t="s">
        <v>33</v>
      </c>
      <c r="B1" t="s">
        <v>89</v>
      </c>
    </row>
    <row r="2" spans="1:11" x14ac:dyDescent="0.2">
      <c r="A2" s="193" t="s">
        <v>155</v>
      </c>
      <c r="B2" t="s">
        <v>159</v>
      </c>
    </row>
    <row r="3" spans="1:11" x14ac:dyDescent="0.2">
      <c r="A3" s="193" t="s">
        <v>31</v>
      </c>
      <c r="B3" s="216" t="s">
        <v>165</v>
      </c>
    </row>
    <row r="5" spans="1:11" x14ac:dyDescent="0.2">
      <c r="A5" s="160" t="s">
        <v>166</v>
      </c>
      <c r="B5" s="160" t="s">
        <v>167</v>
      </c>
      <c r="C5" s="160" t="s">
        <v>65</v>
      </c>
      <c r="D5" s="160" t="s">
        <v>63</v>
      </c>
      <c r="E5" s="160" t="s">
        <v>4</v>
      </c>
      <c r="F5" s="160" t="s">
        <v>42</v>
      </c>
      <c r="G5" t="s">
        <v>160</v>
      </c>
      <c r="H5" t="s">
        <v>161</v>
      </c>
      <c r="I5" t="s">
        <v>162</v>
      </c>
      <c r="J5" t="s">
        <v>163</v>
      </c>
      <c r="K5" t="s">
        <v>164</v>
      </c>
    </row>
    <row r="6" spans="1:11" x14ac:dyDescent="0.2">
      <c r="A6">
        <v>1</v>
      </c>
      <c r="B6">
        <v>1.0425348994125176</v>
      </c>
      <c r="C6" t="s">
        <v>114</v>
      </c>
      <c r="D6" s="195">
        <v>39.36</v>
      </c>
      <c r="E6" t="s">
        <v>116</v>
      </c>
      <c r="F6" t="s">
        <v>84</v>
      </c>
      <c r="G6" s="195">
        <v>325.75217432083525</v>
      </c>
      <c r="H6" s="195">
        <v>97.6</v>
      </c>
      <c r="I6" s="195">
        <v>156.15217432083526</v>
      </c>
      <c r="J6" s="195">
        <v>72.000000000000028</v>
      </c>
      <c r="K6" s="196">
        <v>425.348994125177</v>
      </c>
    </row>
    <row r="7" spans="1:11" x14ac:dyDescent="0.2">
      <c r="A7">
        <v>1</v>
      </c>
      <c r="B7">
        <v>1.0276390691240225</v>
      </c>
      <c r="C7" t="s">
        <v>114</v>
      </c>
      <c r="D7" s="195">
        <v>67.19</v>
      </c>
      <c r="E7" t="s">
        <v>115</v>
      </c>
      <c r="F7" t="s">
        <v>81</v>
      </c>
      <c r="G7" s="195">
        <v>180.83610102708886</v>
      </c>
      <c r="H7" s="195">
        <v>81</v>
      </c>
      <c r="I7" s="195">
        <v>87.836101027088816</v>
      </c>
      <c r="J7" s="195">
        <v>12.000000000000028</v>
      </c>
      <c r="K7" s="196">
        <v>276.39069124022467</v>
      </c>
    </row>
    <row r="8" spans="1:11" x14ac:dyDescent="0.2">
      <c r="G8" s="195"/>
      <c r="H8" s="195"/>
      <c r="I8" s="195"/>
      <c r="J8" s="195"/>
      <c r="K8" s="196"/>
    </row>
    <row r="9" spans="1:11" x14ac:dyDescent="0.2">
      <c r="A9">
        <v>2</v>
      </c>
      <c r="B9">
        <v>2.039477040377728</v>
      </c>
      <c r="C9" t="s">
        <v>126</v>
      </c>
      <c r="D9" s="195">
        <v>62.85</v>
      </c>
      <c r="E9" t="s">
        <v>127</v>
      </c>
      <c r="F9" t="s">
        <v>86</v>
      </c>
      <c r="G9" s="195">
        <v>289.07441768529605</v>
      </c>
      <c r="H9" s="195">
        <v>101.6</v>
      </c>
      <c r="I9" s="195">
        <v>119.474417685296</v>
      </c>
      <c r="J9" s="195">
        <v>68.000000000000043</v>
      </c>
      <c r="K9" s="196">
        <v>394.77040377727894</v>
      </c>
    </row>
    <row r="10" spans="1:11" x14ac:dyDescent="0.2">
      <c r="A10">
        <v>2</v>
      </c>
      <c r="B10">
        <v>2.0384909306556112</v>
      </c>
      <c r="C10" t="s">
        <v>126</v>
      </c>
      <c r="D10" s="195">
        <v>50.65</v>
      </c>
      <c r="E10" t="s">
        <v>129</v>
      </c>
      <c r="F10" t="s">
        <v>84</v>
      </c>
      <c r="G10" s="195">
        <v>276.99796141939845</v>
      </c>
      <c r="H10" s="195">
        <v>102</v>
      </c>
      <c r="I10" s="195">
        <v>130.99796141939848</v>
      </c>
      <c r="J10" s="195">
        <v>43.999999999999986</v>
      </c>
      <c r="K10" s="196">
        <v>384.90930655611044</v>
      </c>
    </row>
    <row r="11" spans="1:11" x14ac:dyDescent="0.2">
      <c r="G11" s="195"/>
      <c r="H11" s="195"/>
      <c r="I11" s="195"/>
      <c r="J11" s="195"/>
      <c r="K11" s="196"/>
    </row>
    <row r="12" spans="1:11" x14ac:dyDescent="0.2">
      <c r="A12">
        <v>3</v>
      </c>
      <c r="B12">
        <v>3.0618092934722028</v>
      </c>
      <c r="C12" t="s">
        <v>134</v>
      </c>
      <c r="D12" s="195">
        <v>59.39</v>
      </c>
      <c r="E12" t="s">
        <v>135</v>
      </c>
      <c r="F12" t="s">
        <v>81</v>
      </c>
      <c r="G12" s="195">
        <v>408.82205489266795</v>
      </c>
      <c r="H12" s="195">
        <v>136.6</v>
      </c>
      <c r="I12" s="195">
        <v>152.22205489266796</v>
      </c>
      <c r="J12" s="195">
        <v>120</v>
      </c>
      <c r="K12" s="196">
        <v>618.09293472202694</v>
      </c>
    </row>
    <row r="13" spans="1:11" x14ac:dyDescent="0.2">
      <c r="G13" s="195"/>
      <c r="H13" s="195"/>
      <c r="I13" s="195"/>
      <c r="J13" s="195"/>
      <c r="K13" s="196"/>
    </row>
    <row r="14" spans="1:11" x14ac:dyDescent="0.2">
      <c r="A14">
        <v>4</v>
      </c>
      <c r="B14">
        <v>4.0546825664978998</v>
      </c>
      <c r="C14" t="s">
        <v>136</v>
      </c>
      <c r="D14" s="195">
        <v>67.13</v>
      </c>
      <c r="E14" t="s">
        <v>156</v>
      </c>
      <c r="F14" t="s">
        <v>81</v>
      </c>
      <c r="G14" s="195">
        <v>341.96222587387547</v>
      </c>
      <c r="H14" s="195">
        <v>126.19999999999999</v>
      </c>
      <c r="I14" s="195">
        <v>115.76222587387547</v>
      </c>
      <c r="J14" s="195">
        <v>100</v>
      </c>
      <c r="K14" s="196">
        <v>546.82566497899961</v>
      </c>
    </row>
    <row r="15" spans="1:11" x14ac:dyDescent="0.2">
      <c r="G15" s="195"/>
      <c r="H15" s="195"/>
      <c r="I15" s="195"/>
      <c r="J15" s="195"/>
      <c r="K15" s="196"/>
    </row>
    <row r="16" spans="1:11" x14ac:dyDescent="0.2">
      <c r="A16">
        <v>6</v>
      </c>
      <c r="B16">
        <v>6.0635714351509149</v>
      </c>
      <c r="C16" t="s">
        <v>97</v>
      </c>
      <c r="D16" s="195">
        <v>60.04</v>
      </c>
      <c r="E16" t="s">
        <v>157</v>
      </c>
      <c r="F16" t="s">
        <v>86</v>
      </c>
      <c r="G16" s="195">
        <v>418.17029660626372</v>
      </c>
      <c r="H16" s="195">
        <v>138.4</v>
      </c>
      <c r="I16" s="195">
        <v>155.77029660626366</v>
      </c>
      <c r="J16" s="195">
        <v>124.00000000000003</v>
      </c>
      <c r="K16" s="196">
        <v>635.71435150915306</v>
      </c>
    </row>
    <row r="17" spans="1:11" x14ac:dyDescent="0.2">
      <c r="G17" s="195"/>
      <c r="H17" s="195"/>
      <c r="I17" s="195"/>
      <c r="J17" s="195"/>
      <c r="K17" s="196"/>
    </row>
    <row r="18" spans="1:11" x14ac:dyDescent="0.2">
      <c r="A18">
        <v>7</v>
      </c>
      <c r="B18">
        <v>7.0683314254990117</v>
      </c>
      <c r="C18" t="s">
        <v>82</v>
      </c>
      <c r="D18" s="195">
        <v>62.58</v>
      </c>
      <c r="E18" t="s">
        <v>143</v>
      </c>
      <c r="F18" t="s">
        <v>87</v>
      </c>
      <c r="G18" s="195">
        <v>384.73243630739432</v>
      </c>
      <c r="H18" s="195">
        <v>132</v>
      </c>
      <c r="I18" s="195">
        <v>140.73243630739429</v>
      </c>
      <c r="J18" s="195">
        <v>112.00000000000003</v>
      </c>
      <c r="K18" s="196">
        <v>683.31425499011618</v>
      </c>
    </row>
    <row r="19" spans="1:11" x14ac:dyDescent="0.2">
      <c r="A19">
        <v>7</v>
      </c>
      <c r="B19">
        <v>7.0620029150358077</v>
      </c>
      <c r="C19" t="s">
        <v>82</v>
      </c>
      <c r="D19" s="195">
        <v>73.89</v>
      </c>
      <c r="E19" t="s">
        <v>141</v>
      </c>
      <c r="F19" t="s">
        <v>81</v>
      </c>
      <c r="G19" s="195">
        <v>323.38773894920871</v>
      </c>
      <c r="H19" s="195">
        <v>122.6</v>
      </c>
      <c r="I19" s="195">
        <v>108.7877389492087</v>
      </c>
      <c r="J19" s="195">
        <v>92.000000000000028</v>
      </c>
      <c r="K19" s="196">
        <v>620.02915035807314</v>
      </c>
    </row>
    <row r="20" spans="1:11" ht="15" x14ac:dyDescent="0.25">
      <c r="A20" s="214">
        <v>7</v>
      </c>
      <c r="B20" s="214">
        <v>7.0495324724627828</v>
      </c>
      <c r="C20" s="211" t="s">
        <v>82</v>
      </c>
      <c r="D20" s="215">
        <v>76.25</v>
      </c>
      <c r="E20" s="214" t="s">
        <v>153</v>
      </c>
      <c r="F20" s="214" t="s">
        <v>86</v>
      </c>
      <c r="G20" s="212">
        <v>216.31719946758784</v>
      </c>
      <c r="H20" s="212">
        <v>97.2</v>
      </c>
      <c r="I20" s="212">
        <v>119.11719946758784</v>
      </c>
      <c r="J20" s="212">
        <v>0</v>
      </c>
      <c r="K20" s="213">
        <v>495.32472462783079</v>
      </c>
    </row>
    <row r="21" spans="1:11" ht="15" x14ac:dyDescent="0.25">
      <c r="A21" s="214">
        <v>7</v>
      </c>
      <c r="B21" s="211">
        <v>7.043097238594842</v>
      </c>
      <c r="C21" s="211" t="s">
        <v>82</v>
      </c>
      <c r="D21" s="212">
        <v>83.59</v>
      </c>
      <c r="E21" s="211" t="s">
        <v>150</v>
      </c>
      <c r="F21" s="211" t="s">
        <v>86</v>
      </c>
      <c r="G21" s="212">
        <v>208.34068046418008</v>
      </c>
      <c r="H21" s="212">
        <v>99</v>
      </c>
      <c r="I21" s="212">
        <v>93.340680464180082</v>
      </c>
      <c r="J21" s="212">
        <v>16.000000000000014</v>
      </c>
      <c r="K21" s="213">
        <v>430.97238594841997</v>
      </c>
    </row>
    <row r="22" spans="1:11" x14ac:dyDescent="0.2">
      <c r="A22">
        <v>7</v>
      </c>
      <c r="B22">
        <v>7.036061422039479</v>
      </c>
      <c r="C22" t="s">
        <v>82</v>
      </c>
      <c r="D22" s="195">
        <v>68.680000000000007</v>
      </c>
      <c r="E22" t="s">
        <v>148</v>
      </c>
      <c r="F22" t="s">
        <v>84</v>
      </c>
      <c r="G22" s="195">
        <v>209.56101362508593</v>
      </c>
      <c r="H22" s="195">
        <v>99.2</v>
      </c>
      <c r="I22" s="195">
        <v>90.361013625085931</v>
      </c>
      <c r="J22" s="195">
        <v>20</v>
      </c>
      <c r="K22" s="196">
        <v>360.61422039479038</v>
      </c>
    </row>
    <row r="23" spans="1:11" x14ac:dyDescent="0.2">
      <c r="A23">
        <v>7</v>
      </c>
      <c r="B23">
        <v>7</v>
      </c>
      <c r="C23" t="s">
        <v>82</v>
      </c>
      <c r="D23" s="195">
        <v>96.73</v>
      </c>
      <c r="E23" t="s">
        <v>146</v>
      </c>
      <c r="F23" t="s">
        <v>86</v>
      </c>
      <c r="G23" s="195">
        <v>0</v>
      </c>
      <c r="H23" s="195">
        <v>0</v>
      </c>
      <c r="I23" s="195">
        <v>0</v>
      </c>
      <c r="J23" s="195">
        <v>0</v>
      </c>
      <c r="K23" s="196">
        <v>0</v>
      </c>
    </row>
    <row r="24" spans="1:11" x14ac:dyDescent="0.2">
      <c r="G24" s="195"/>
      <c r="H24" s="195"/>
      <c r="I24" s="195"/>
      <c r="J24" s="195"/>
      <c r="K24" s="19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04AB-3F66-4430-849C-C9B9173272D2}">
  <dimension ref="A1:P25"/>
  <sheetViews>
    <sheetView showGridLines="0" zoomScale="150" zoomScaleNormal="150" workbookViewId="0">
      <selection activeCell="B3" sqref="B3"/>
    </sheetView>
  </sheetViews>
  <sheetFormatPr defaultRowHeight="12.75" x14ac:dyDescent="0.2"/>
  <cols>
    <col min="1" max="1" width="6.140625" customWidth="1"/>
    <col min="2" max="2" width="4.5703125" customWidth="1"/>
    <col min="3" max="3" width="9.140625" customWidth="1"/>
    <col min="4" max="4" width="10.42578125" customWidth="1"/>
    <col min="5" max="5" width="28" bestFit="1" customWidth="1"/>
    <col min="6" max="6" width="13.140625" bestFit="1" customWidth="1"/>
    <col min="7" max="7" width="9.140625" bestFit="1" customWidth="1"/>
    <col min="8" max="8" width="8.42578125" bestFit="1" customWidth="1"/>
    <col min="9" max="9" width="7.85546875" bestFit="1" customWidth="1"/>
    <col min="10" max="10" width="10" bestFit="1" customWidth="1"/>
    <col min="11" max="11" width="13.28515625" bestFit="1" customWidth="1"/>
    <col min="12" max="12" width="10.85546875" bestFit="1" customWidth="1"/>
    <col min="13" max="13" width="12" bestFit="1" customWidth="1"/>
    <col min="14" max="14" width="7.5703125" bestFit="1" customWidth="1"/>
    <col min="15" max="15" width="10.5703125" bestFit="1" customWidth="1"/>
    <col min="16" max="17" width="10.42578125" bestFit="1" customWidth="1"/>
  </cols>
  <sheetData>
    <row r="1" spans="1:16" x14ac:dyDescent="0.2">
      <c r="A1" s="193" t="s">
        <v>33</v>
      </c>
      <c r="B1" t="s">
        <v>89</v>
      </c>
    </row>
    <row r="2" spans="1:16" x14ac:dyDescent="0.2">
      <c r="A2" s="193" t="s">
        <v>155</v>
      </c>
      <c r="B2" t="s">
        <v>159</v>
      </c>
    </row>
    <row r="3" spans="1:16" x14ac:dyDescent="0.2">
      <c r="A3" s="193" t="s">
        <v>31</v>
      </c>
      <c r="B3" s="216" t="s">
        <v>170</v>
      </c>
    </row>
    <row r="5" spans="1:16" x14ac:dyDescent="0.2">
      <c r="A5" s="160" t="s">
        <v>166</v>
      </c>
      <c r="B5" s="160" t="s">
        <v>167</v>
      </c>
      <c r="C5" s="160" t="s">
        <v>65</v>
      </c>
      <c r="D5" s="160" t="s">
        <v>63</v>
      </c>
      <c r="E5" s="160" t="s">
        <v>4</v>
      </c>
      <c r="F5" s="160" t="s">
        <v>42</v>
      </c>
      <c r="G5" s="160" t="s">
        <v>72</v>
      </c>
      <c r="H5" s="160" t="s">
        <v>73</v>
      </c>
      <c r="I5" s="160" t="s">
        <v>74</v>
      </c>
      <c r="J5" s="160" t="s">
        <v>9</v>
      </c>
      <c r="K5" s="160" t="s">
        <v>88</v>
      </c>
      <c r="L5" s="160" t="s">
        <v>75</v>
      </c>
      <c r="M5" s="160" t="s">
        <v>45</v>
      </c>
      <c r="N5" s="160" t="s">
        <v>78</v>
      </c>
      <c r="O5" t="s">
        <v>160</v>
      </c>
      <c r="P5" t="s">
        <v>164</v>
      </c>
    </row>
    <row r="6" spans="1:16" ht="15" x14ac:dyDescent="0.25">
      <c r="A6">
        <v>1</v>
      </c>
      <c r="B6">
        <v>1.0506501897690035</v>
      </c>
      <c r="C6" s="211" t="s">
        <v>114</v>
      </c>
      <c r="D6" s="212">
        <v>40.98</v>
      </c>
      <c r="E6" s="211" t="s">
        <v>119</v>
      </c>
      <c r="F6" s="211" t="s">
        <v>81</v>
      </c>
      <c r="G6" s="211">
        <v>25</v>
      </c>
      <c r="H6" s="211">
        <v>30</v>
      </c>
      <c r="I6" s="211">
        <v>55</v>
      </c>
      <c r="J6" s="211">
        <v>117.23058756333039</v>
      </c>
      <c r="K6" s="212" t="s">
        <v>168</v>
      </c>
      <c r="L6" s="211">
        <v>5.64</v>
      </c>
      <c r="M6" s="211">
        <v>7.88</v>
      </c>
      <c r="N6" s="211">
        <v>7.88</v>
      </c>
      <c r="O6" s="212">
        <v>365.8251926140382</v>
      </c>
      <c r="P6" s="213">
        <v>506.50189769003464</v>
      </c>
    </row>
    <row r="7" spans="1:16" x14ac:dyDescent="0.2">
      <c r="A7">
        <v>1</v>
      </c>
      <c r="B7">
        <v>1.0420656227343392</v>
      </c>
      <c r="C7" t="s">
        <v>114</v>
      </c>
      <c r="D7" s="195">
        <v>33.35</v>
      </c>
      <c r="E7" t="s">
        <v>121</v>
      </c>
      <c r="F7" t="s">
        <v>81</v>
      </c>
      <c r="G7">
        <v>15</v>
      </c>
      <c r="H7">
        <v>20</v>
      </c>
      <c r="I7">
        <v>35</v>
      </c>
      <c r="J7">
        <v>92.41736581295001</v>
      </c>
      <c r="K7" s="195" t="s">
        <v>168</v>
      </c>
      <c r="L7" s="195">
        <v>5.2</v>
      </c>
      <c r="M7" s="195">
        <v>8.41</v>
      </c>
      <c r="N7" s="195">
        <v>8.41</v>
      </c>
      <c r="O7" s="195">
        <v>309.75538836785256</v>
      </c>
      <c r="P7" s="195">
        <v>420.65622734339263</v>
      </c>
    </row>
    <row r="8" spans="1:16" x14ac:dyDescent="0.2">
      <c r="A8">
        <v>1</v>
      </c>
      <c r="B8">
        <v>1.0388617333329799</v>
      </c>
      <c r="C8" t="s">
        <v>114</v>
      </c>
      <c r="D8" s="195">
        <v>52.23</v>
      </c>
      <c r="E8" t="s">
        <v>193</v>
      </c>
      <c r="F8" t="s">
        <v>84</v>
      </c>
      <c r="G8">
        <v>18</v>
      </c>
      <c r="H8">
        <v>31</v>
      </c>
      <c r="I8">
        <v>49</v>
      </c>
      <c r="J8">
        <v>83.985233407723086</v>
      </c>
      <c r="K8" s="195" t="s">
        <v>168</v>
      </c>
      <c r="L8" s="195">
        <v>5.1100000000000003</v>
      </c>
      <c r="M8" s="195">
        <v>8.41</v>
      </c>
      <c r="N8" s="195">
        <v>8.41</v>
      </c>
      <c r="O8" s="195">
        <v>287.83505324053272</v>
      </c>
      <c r="P8" s="195">
        <v>388.61733332980037</v>
      </c>
    </row>
    <row r="9" spans="1:16" x14ac:dyDescent="0.2">
      <c r="A9">
        <v>1</v>
      </c>
      <c r="B9">
        <v>1.0229826089681269</v>
      </c>
      <c r="C9" t="s">
        <v>114</v>
      </c>
      <c r="D9" s="195">
        <v>53.91</v>
      </c>
      <c r="E9" t="s">
        <v>123</v>
      </c>
      <c r="F9" t="s">
        <v>84</v>
      </c>
      <c r="G9">
        <v>18</v>
      </c>
      <c r="H9">
        <v>21</v>
      </c>
      <c r="I9">
        <v>39</v>
      </c>
      <c r="J9">
        <v>65.147706127404348</v>
      </c>
      <c r="K9" s="195" t="s">
        <v>168</v>
      </c>
      <c r="L9" s="195">
        <v>4.0999999999999996</v>
      </c>
      <c r="M9" s="195">
        <v>9.8800000000000008</v>
      </c>
      <c r="N9" s="195">
        <v>9.8800000000000008</v>
      </c>
      <c r="O9" s="195">
        <v>151.64884232838438</v>
      </c>
      <c r="P9" s="195">
        <v>229.82608968126959</v>
      </c>
    </row>
    <row r="10" spans="1:16" x14ac:dyDescent="0.2">
      <c r="K10" s="195"/>
      <c r="L10" s="195"/>
      <c r="M10" s="195"/>
      <c r="N10" s="195"/>
      <c r="O10" s="195"/>
      <c r="P10" s="195"/>
    </row>
    <row r="11" spans="1:16" x14ac:dyDescent="0.2">
      <c r="A11">
        <v>2</v>
      </c>
      <c r="B11">
        <v>2.0538416723779296</v>
      </c>
      <c r="C11" t="s">
        <v>126</v>
      </c>
      <c r="D11" s="195">
        <v>44.82</v>
      </c>
      <c r="E11" t="s">
        <v>169</v>
      </c>
      <c r="F11" t="s">
        <v>95</v>
      </c>
      <c r="G11">
        <v>34</v>
      </c>
      <c r="H11">
        <v>42</v>
      </c>
      <c r="I11">
        <v>76</v>
      </c>
      <c r="J11">
        <v>148.82164616045833</v>
      </c>
      <c r="K11" s="195" t="s">
        <v>168</v>
      </c>
      <c r="L11" s="195">
        <v>6.04</v>
      </c>
      <c r="M11" s="195">
        <v>7.47</v>
      </c>
      <c r="N11" s="195">
        <v>7.47</v>
      </c>
      <c r="O11" s="195">
        <v>359.83074838674395</v>
      </c>
      <c r="P11" s="195">
        <v>538.41672377929399</v>
      </c>
    </row>
    <row r="12" spans="1:16" x14ac:dyDescent="0.2">
      <c r="A12">
        <v>2</v>
      </c>
      <c r="B12">
        <v>2.0481679355714753</v>
      </c>
      <c r="C12" t="s">
        <v>126</v>
      </c>
      <c r="D12" s="195">
        <v>40.46</v>
      </c>
      <c r="E12" t="s">
        <v>132</v>
      </c>
      <c r="F12" t="s">
        <v>86</v>
      </c>
      <c r="G12">
        <v>22</v>
      </c>
      <c r="H12">
        <v>30</v>
      </c>
      <c r="I12">
        <v>52</v>
      </c>
      <c r="J12">
        <v>112.23029747073274</v>
      </c>
      <c r="K12" s="195" t="s">
        <v>168</v>
      </c>
      <c r="L12" s="195">
        <v>5.63</v>
      </c>
      <c r="M12" s="195">
        <v>8.24</v>
      </c>
      <c r="N12" s="195">
        <v>8.24</v>
      </c>
      <c r="O12" s="195">
        <v>347.00299874987491</v>
      </c>
      <c r="P12" s="195">
        <v>481.67935571475419</v>
      </c>
    </row>
    <row r="13" spans="1:16" x14ac:dyDescent="0.2">
      <c r="K13" s="195"/>
      <c r="L13" s="195"/>
      <c r="M13" s="195"/>
      <c r="N13" s="195"/>
      <c r="O13" s="195"/>
      <c r="P13" s="195"/>
    </row>
    <row r="14" spans="1:16" x14ac:dyDescent="0.2">
      <c r="A14">
        <v>5</v>
      </c>
      <c r="B14">
        <v>5.0936700338341634</v>
      </c>
      <c r="C14" t="s">
        <v>91</v>
      </c>
      <c r="D14" s="195">
        <v>72.64</v>
      </c>
      <c r="E14" t="s">
        <v>92</v>
      </c>
      <c r="F14" t="s">
        <v>86</v>
      </c>
      <c r="G14">
        <v>120</v>
      </c>
      <c r="H14">
        <v>140</v>
      </c>
      <c r="I14">
        <v>260</v>
      </c>
      <c r="J14">
        <v>351.54693450660056</v>
      </c>
      <c r="K14" s="195" t="s">
        <v>168</v>
      </c>
      <c r="L14" s="195">
        <v>9.9</v>
      </c>
      <c r="M14" s="195">
        <v>11.6</v>
      </c>
      <c r="N14" s="195">
        <v>5.97</v>
      </c>
      <c r="O14" s="195">
        <v>514.8440169337141</v>
      </c>
      <c r="P14" s="195">
        <v>936.70033834163473</v>
      </c>
    </row>
    <row r="15" spans="1:16" x14ac:dyDescent="0.2">
      <c r="A15">
        <v>5</v>
      </c>
      <c r="B15">
        <v>5.0863460366754021</v>
      </c>
      <c r="C15" t="s">
        <v>91</v>
      </c>
      <c r="D15" s="195">
        <v>106.33</v>
      </c>
      <c r="E15" t="s">
        <v>94</v>
      </c>
      <c r="F15" t="s">
        <v>95</v>
      </c>
      <c r="G15">
        <v>127</v>
      </c>
      <c r="H15">
        <v>152</v>
      </c>
      <c r="I15">
        <v>279</v>
      </c>
      <c r="J15">
        <v>312.29452890558724</v>
      </c>
      <c r="K15" s="195" t="s">
        <v>168</v>
      </c>
      <c r="L15" s="195">
        <v>9.1999999999999993</v>
      </c>
      <c r="M15" s="195">
        <v>14</v>
      </c>
      <c r="N15" s="195">
        <v>6.25</v>
      </c>
      <c r="O15" s="195">
        <v>488.70693206731977</v>
      </c>
      <c r="P15" s="195">
        <v>863.46036675402434</v>
      </c>
    </row>
    <row r="16" spans="1:16" x14ac:dyDescent="0.2">
      <c r="K16" s="195"/>
      <c r="L16" s="195"/>
      <c r="M16" s="195"/>
      <c r="N16" s="195"/>
      <c r="O16" s="195"/>
      <c r="P16" s="195"/>
    </row>
    <row r="17" spans="1:16" x14ac:dyDescent="0.2">
      <c r="A17">
        <v>6</v>
      </c>
      <c r="B17">
        <v>6.0798782289069759</v>
      </c>
      <c r="C17" t="s">
        <v>97</v>
      </c>
      <c r="D17" s="195">
        <v>95.3</v>
      </c>
      <c r="E17" t="s">
        <v>100</v>
      </c>
      <c r="F17" t="s">
        <v>86</v>
      </c>
      <c r="G17">
        <v>98</v>
      </c>
      <c r="H17">
        <v>133</v>
      </c>
      <c r="I17">
        <v>231</v>
      </c>
      <c r="J17">
        <v>270.45912094654932</v>
      </c>
      <c r="K17" s="195" t="s">
        <v>168</v>
      </c>
      <c r="L17" s="195">
        <v>7.95</v>
      </c>
      <c r="M17" s="195">
        <v>13.6</v>
      </c>
      <c r="N17" s="195">
        <v>6.09</v>
      </c>
      <c r="O17" s="195">
        <v>474.23134393389921</v>
      </c>
      <c r="P17" s="195">
        <v>798.78228906975835</v>
      </c>
    </row>
    <row r="18" spans="1:16" x14ac:dyDescent="0.2">
      <c r="A18">
        <v>6</v>
      </c>
      <c r="B18">
        <v>6.0761319585649805</v>
      </c>
      <c r="C18" t="s">
        <v>97</v>
      </c>
      <c r="D18" s="195">
        <v>126.51</v>
      </c>
      <c r="E18" t="s">
        <v>98</v>
      </c>
      <c r="F18" t="s">
        <v>81</v>
      </c>
      <c r="G18">
        <v>120</v>
      </c>
      <c r="H18">
        <v>155</v>
      </c>
      <c r="I18">
        <v>275</v>
      </c>
      <c r="J18">
        <v>291.08241461765903</v>
      </c>
      <c r="K18" s="195" t="s">
        <v>168</v>
      </c>
      <c r="L18" s="195">
        <v>7.9</v>
      </c>
      <c r="M18" s="195">
        <v>11.15</v>
      </c>
      <c r="N18" s="195">
        <v>6.59</v>
      </c>
      <c r="O18" s="195">
        <v>412.02068810861448</v>
      </c>
      <c r="P18" s="195">
        <v>761.31958564980528</v>
      </c>
    </row>
    <row r="19" spans="1:16" x14ac:dyDescent="0.2">
      <c r="A19">
        <v>6</v>
      </c>
      <c r="B19">
        <v>0</v>
      </c>
      <c r="C19" t="s">
        <v>97</v>
      </c>
      <c r="D19" s="195">
        <v>106.41</v>
      </c>
      <c r="E19" t="s">
        <v>102</v>
      </c>
      <c r="F19" t="s">
        <v>81</v>
      </c>
      <c r="G19">
        <v>107</v>
      </c>
      <c r="H19">
        <v>142</v>
      </c>
      <c r="I19">
        <v>249</v>
      </c>
      <c r="J19">
        <v>278.63566850897695</v>
      </c>
      <c r="K19" s="195" t="s">
        <v>168</v>
      </c>
      <c r="L19" s="195">
        <v>0</v>
      </c>
      <c r="M19" s="195">
        <v>0</v>
      </c>
      <c r="N19" s="195">
        <v>0</v>
      </c>
      <c r="O19" s="195">
        <v>0</v>
      </c>
      <c r="P19" s="195">
        <v>0</v>
      </c>
    </row>
    <row r="20" spans="1:16" x14ac:dyDescent="0.2">
      <c r="K20" s="195"/>
      <c r="L20" s="195"/>
      <c r="M20" s="195"/>
      <c r="N20" s="195"/>
      <c r="O20" s="195"/>
      <c r="P20" s="195"/>
    </row>
    <row r="21" spans="1:16" x14ac:dyDescent="0.2">
      <c r="A21">
        <v>7</v>
      </c>
      <c r="B21">
        <v>7.0857011846316205</v>
      </c>
      <c r="C21" t="s">
        <v>82</v>
      </c>
      <c r="D21" s="195">
        <v>85.98</v>
      </c>
      <c r="E21" t="s">
        <v>105</v>
      </c>
      <c r="F21" t="s">
        <v>86</v>
      </c>
      <c r="G21">
        <v>90</v>
      </c>
      <c r="H21">
        <v>110</v>
      </c>
      <c r="I21">
        <v>200</v>
      </c>
      <c r="J21">
        <v>245.95297243878656</v>
      </c>
      <c r="K21" s="195">
        <v>269.5644577929101</v>
      </c>
      <c r="L21" s="195">
        <v>9.1</v>
      </c>
      <c r="M21" s="195">
        <v>12.1</v>
      </c>
      <c r="N21" s="195">
        <v>6.09</v>
      </c>
      <c r="O21" s="195">
        <v>486.80154832546589</v>
      </c>
      <c r="P21" s="195">
        <v>857.01184631620276</v>
      </c>
    </row>
    <row r="22" spans="1:16" x14ac:dyDescent="0.2">
      <c r="A22">
        <v>7</v>
      </c>
      <c r="B22">
        <v>7.0819971991693897</v>
      </c>
      <c r="C22" t="s">
        <v>82</v>
      </c>
      <c r="D22" s="195">
        <v>86.79</v>
      </c>
      <c r="E22" t="s">
        <v>108</v>
      </c>
      <c r="F22" t="s">
        <v>87</v>
      </c>
      <c r="G22">
        <v>75</v>
      </c>
      <c r="H22">
        <v>95</v>
      </c>
      <c r="I22">
        <v>170</v>
      </c>
      <c r="J22">
        <v>208.06920972612869</v>
      </c>
      <c r="K22" s="195">
        <v>253.42829744642475</v>
      </c>
      <c r="L22" s="195">
        <v>7.8</v>
      </c>
      <c r="M22" s="195">
        <v>11.4</v>
      </c>
      <c r="N22" s="195">
        <v>6.75</v>
      </c>
      <c r="O22" s="195">
        <v>423.52876416928632</v>
      </c>
      <c r="P22" s="195">
        <v>819.97199169390035</v>
      </c>
    </row>
    <row r="23" spans="1:16" x14ac:dyDescent="0.2">
      <c r="A23">
        <v>7</v>
      </c>
      <c r="B23">
        <v>7.0789287814863711</v>
      </c>
      <c r="C23" t="s">
        <v>82</v>
      </c>
      <c r="D23" s="195">
        <v>85.84</v>
      </c>
      <c r="E23" t="s">
        <v>112</v>
      </c>
      <c r="F23" t="s">
        <v>87</v>
      </c>
      <c r="G23">
        <v>55</v>
      </c>
      <c r="H23">
        <v>78</v>
      </c>
      <c r="I23">
        <v>133</v>
      </c>
      <c r="J23">
        <v>163.6947438429325</v>
      </c>
      <c r="K23" s="195">
        <v>243.57777883828356</v>
      </c>
      <c r="L23" s="195">
        <v>6.5</v>
      </c>
      <c r="M23" s="195">
        <v>9.1</v>
      </c>
      <c r="N23" s="195">
        <v>7.63</v>
      </c>
      <c r="O23" s="195">
        <v>334.00166683990119</v>
      </c>
      <c r="P23" s="195">
        <v>789.28781486371315</v>
      </c>
    </row>
    <row r="24" spans="1:16" x14ac:dyDescent="0.2">
      <c r="A24">
        <v>7</v>
      </c>
      <c r="B24">
        <v>7</v>
      </c>
      <c r="C24" t="s">
        <v>82</v>
      </c>
      <c r="D24" s="195">
        <v>83.63</v>
      </c>
      <c r="E24" t="s">
        <v>110</v>
      </c>
      <c r="F24" t="s">
        <v>86</v>
      </c>
      <c r="G24">
        <v>50</v>
      </c>
      <c r="H24">
        <v>66</v>
      </c>
      <c r="I24">
        <v>116</v>
      </c>
      <c r="J24">
        <v>144.71642658832045</v>
      </c>
      <c r="K24" s="195">
        <v>182.7768467810487</v>
      </c>
      <c r="L24" s="195">
        <v>0</v>
      </c>
      <c r="M24" s="195">
        <v>0</v>
      </c>
      <c r="N24" s="195">
        <v>7.43</v>
      </c>
      <c r="O24" s="195">
        <v>100</v>
      </c>
      <c r="P24" s="195">
        <v>0</v>
      </c>
    </row>
    <row r="25" spans="1:16" x14ac:dyDescent="0.2">
      <c r="O25" s="195"/>
      <c r="P25" s="196"/>
    </row>
  </sheetData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defaultColWidth="9.140625" defaultRowHeight="12.75" x14ac:dyDescent="0.2"/>
  <cols>
    <col min="1" max="1" width="11.42578125" customWidth="1"/>
    <col min="2" max="2" width="11.5703125" style="23" customWidth="1"/>
    <col min="3" max="3" width="12.42578125" bestFit="1" customWidth="1"/>
  </cols>
  <sheetData>
    <row r="1" spans="1:3" x14ac:dyDescent="0.2">
      <c r="A1" s="274" t="s">
        <v>24</v>
      </c>
      <c r="B1" s="274"/>
      <c r="C1" s="274"/>
    </row>
    <row r="2" spans="1:3" x14ac:dyDescent="0.2">
      <c r="A2" s="28" t="s">
        <v>22</v>
      </c>
      <c r="B2" s="27" t="s">
        <v>25</v>
      </c>
      <c r="C2" t="s">
        <v>26</v>
      </c>
    </row>
    <row r="3" spans="1:3" x14ac:dyDescent="0.2">
      <c r="A3" s="29">
        <v>30</v>
      </c>
      <c r="B3" s="27">
        <v>1</v>
      </c>
      <c r="C3" s="28">
        <v>1</v>
      </c>
    </row>
    <row r="4" spans="1:3" x14ac:dyDescent="0.2">
      <c r="A4" s="29">
        <v>31</v>
      </c>
      <c r="B4" s="27">
        <v>1.016</v>
      </c>
      <c r="C4" s="27">
        <v>1.016</v>
      </c>
    </row>
    <row r="5" spans="1:3" x14ac:dyDescent="0.2">
      <c r="A5" s="29">
        <v>32</v>
      </c>
      <c r="B5" s="27">
        <v>1.0309999999999999</v>
      </c>
      <c r="C5" s="27">
        <v>1.0169999999999999</v>
      </c>
    </row>
    <row r="6" spans="1:3" x14ac:dyDescent="0.2">
      <c r="A6" s="29">
        <v>33</v>
      </c>
      <c r="B6" s="27">
        <v>1.046</v>
      </c>
      <c r="C6" s="27">
        <v>1.046</v>
      </c>
    </row>
    <row r="7" spans="1:3" x14ac:dyDescent="0.2">
      <c r="A7" s="29">
        <v>34</v>
      </c>
      <c r="B7" s="27">
        <v>1.0589999999999999</v>
      </c>
      <c r="C7" s="27">
        <v>1.0589999999999999</v>
      </c>
    </row>
    <row r="8" spans="1:3" x14ac:dyDescent="0.2">
      <c r="A8" s="29">
        <v>35</v>
      </c>
      <c r="B8" s="27">
        <v>1.0720000000000001</v>
      </c>
      <c r="C8" s="27">
        <v>1.0720000000000001</v>
      </c>
    </row>
    <row r="9" spans="1:3" x14ac:dyDescent="0.2">
      <c r="A9" s="29">
        <v>36</v>
      </c>
      <c r="B9" s="27">
        <v>1.083</v>
      </c>
      <c r="C9" s="27">
        <v>1.0840000000000001</v>
      </c>
    </row>
    <row r="10" spans="1:3" x14ac:dyDescent="0.2">
      <c r="A10" s="29">
        <v>37</v>
      </c>
      <c r="B10" s="27">
        <v>1.0960000000000001</v>
      </c>
      <c r="C10" s="27">
        <v>1.097</v>
      </c>
    </row>
    <row r="11" spans="1:3" x14ac:dyDescent="0.2">
      <c r="A11" s="29">
        <v>38</v>
      </c>
      <c r="B11" s="27">
        <v>1.109</v>
      </c>
      <c r="C11" s="27">
        <v>1.1100000000000001</v>
      </c>
    </row>
    <row r="12" spans="1:3" x14ac:dyDescent="0.2">
      <c r="A12" s="29">
        <v>39</v>
      </c>
      <c r="B12" s="27">
        <v>1.1220000000000001</v>
      </c>
      <c r="C12" s="27">
        <v>1.1240000000000001</v>
      </c>
    </row>
    <row r="13" spans="1:3" x14ac:dyDescent="0.2">
      <c r="A13" s="29">
        <v>40</v>
      </c>
      <c r="B13" s="27">
        <v>1.135</v>
      </c>
      <c r="C13" s="27">
        <v>1.1379999999999999</v>
      </c>
    </row>
    <row r="14" spans="1:3" x14ac:dyDescent="0.2">
      <c r="A14" s="29">
        <v>41</v>
      </c>
      <c r="B14" s="27">
        <v>1.149</v>
      </c>
      <c r="C14" s="27">
        <v>1.153</v>
      </c>
    </row>
    <row r="15" spans="1:3" x14ac:dyDescent="0.2">
      <c r="A15" s="29">
        <v>42</v>
      </c>
      <c r="B15" s="27">
        <v>1.1619999999999999</v>
      </c>
      <c r="C15" s="27">
        <v>1.17</v>
      </c>
    </row>
    <row r="16" spans="1:3" x14ac:dyDescent="0.2">
      <c r="A16" s="29">
        <v>43</v>
      </c>
      <c r="B16" s="27">
        <v>1.1759999999999999</v>
      </c>
      <c r="C16" s="27">
        <v>1.1870000000000001</v>
      </c>
    </row>
    <row r="17" spans="1:3" x14ac:dyDescent="0.2">
      <c r="A17" s="29">
        <v>44</v>
      </c>
      <c r="B17" s="27">
        <v>1.1890000000000001</v>
      </c>
      <c r="C17" s="27">
        <v>1.2050000000000001</v>
      </c>
    </row>
    <row r="18" spans="1:3" x14ac:dyDescent="0.2">
      <c r="A18" s="29">
        <v>45</v>
      </c>
      <c r="B18" s="27">
        <v>1.2030000000000001</v>
      </c>
      <c r="C18" s="27">
        <v>1.2230000000000001</v>
      </c>
    </row>
    <row r="19" spans="1:3" x14ac:dyDescent="0.2">
      <c r="A19" s="29">
        <v>46</v>
      </c>
      <c r="B19" s="27">
        <v>1.218</v>
      </c>
      <c r="C19" s="27">
        <v>1.244</v>
      </c>
    </row>
    <row r="20" spans="1:3" x14ac:dyDescent="0.2">
      <c r="A20" s="29">
        <v>47</v>
      </c>
      <c r="B20" s="27">
        <v>1.2330000000000001</v>
      </c>
      <c r="C20" s="27">
        <v>1.2649999999999999</v>
      </c>
    </row>
    <row r="21" spans="1:3" x14ac:dyDescent="0.2">
      <c r="A21" s="29">
        <v>48</v>
      </c>
      <c r="B21" s="27">
        <v>1.248</v>
      </c>
      <c r="C21" s="27">
        <v>1.288</v>
      </c>
    </row>
    <row r="22" spans="1:3" x14ac:dyDescent="0.2">
      <c r="A22" s="29">
        <v>49</v>
      </c>
      <c r="B22" s="27">
        <v>1.2629999999999999</v>
      </c>
      <c r="C22" s="27">
        <v>1.3129999999999999</v>
      </c>
    </row>
    <row r="23" spans="1:3" x14ac:dyDescent="0.2">
      <c r="A23" s="29">
        <v>50</v>
      </c>
      <c r="B23" s="27">
        <v>1.2789999999999999</v>
      </c>
      <c r="C23" s="27">
        <v>1.34</v>
      </c>
    </row>
    <row r="24" spans="1:3" x14ac:dyDescent="0.2">
      <c r="A24" s="29">
        <v>51</v>
      </c>
      <c r="B24" s="27">
        <v>1.2969999999999999</v>
      </c>
      <c r="C24" s="27">
        <v>1.369</v>
      </c>
    </row>
    <row r="25" spans="1:3" x14ac:dyDescent="0.2">
      <c r="A25" s="29">
        <v>52</v>
      </c>
      <c r="B25" s="27">
        <v>1.3160000000000001</v>
      </c>
      <c r="C25" s="27">
        <v>1.401</v>
      </c>
    </row>
    <row r="26" spans="1:3" x14ac:dyDescent="0.2">
      <c r="A26" s="29">
        <v>53</v>
      </c>
      <c r="B26" s="27">
        <v>1.3380000000000001</v>
      </c>
      <c r="C26" s="27">
        <v>1.4350000000000001</v>
      </c>
    </row>
    <row r="27" spans="1:3" x14ac:dyDescent="0.2">
      <c r="A27" s="29">
        <v>54</v>
      </c>
      <c r="B27" s="27">
        <v>1.361</v>
      </c>
      <c r="C27" s="27">
        <v>1.47</v>
      </c>
    </row>
    <row r="28" spans="1:3" x14ac:dyDescent="0.2">
      <c r="A28" s="29">
        <v>55</v>
      </c>
      <c r="B28" s="27">
        <v>1.385</v>
      </c>
      <c r="C28" s="27">
        <v>1.5069999999999999</v>
      </c>
    </row>
    <row r="29" spans="1:3" ht="14.25" x14ac:dyDescent="0.2">
      <c r="A29" s="29">
        <v>56</v>
      </c>
      <c r="B29" s="27">
        <v>1.411</v>
      </c>
      <c r="C29" s="31">
        <v>1.5449999999999999</v>
      </c>
    </row>
    <row r="30" spans="1:3" ht="14.25" x14ac:dyDescent="0.2">
      <c r="A30" s="29">
        <v>57</v>
      </c>
      <c r="B30" s="27">
        <v>1.4370000000000001</v>
      </c>
      <c r="C30" s="30">
        <v>1.585</v>
      </c>
    </row>
    <row r="31" spans="1:3" ht="14.25" x14ac:dyDescent="0.2">
      <c r="A31" s="29">
        <v>58</v>
      </c>
      <c r="B31" s="27">
        <v>1.462</v>
      </c>
      <c r="C31" s="31">
        <v>1.625</v>
      </c>
    </row>
    <row r="32" spans="1:3" ht="14.25" x14ac:dyDescent="0.2">
      <c r="A32" s="29">
        <v>59</v>
      </c>
      <c r="B32" s="27">
        <v>1.488</v>
      </c>
      <c r="C32" s="30">
        <v>1.665</v>
      </c>
    </row>
    <row r="33" spans="1:3" ht="14.25" x14ac:dyDescent="0.2">
      <c r="A33" s="29">
        <v>60</v>
      </c>
      <c r="B33" s="27">
        <v>1.514</v>
      </c>
      <c r="C33" s="31">
        <v>1.7050000000000001</v>
      </c>
    </row>
    <row r="34" spans="1:3" ht="14.25" x14ac:dyDescent="0.2">
      <c r="A34" s="29">
        <v>61</v>
      </c>
      <c r="B34" s="27">
        <v>1.5409999999999999</v>
      </c>
      <c r="C34" s="30">
        <v>1.744</v>
      </c>
    </row>
    <row r="35" spans="1:3" ht="14.25" x14ac:dyDescent="0.2">
      <c r="A35" s="29">
        <v>62</v>
      </c>
      <c r="B35" s="27">
        <v>1.5680000000000001</v>
      </c>
      <c r="C35" s="31">
        <v>1.778</v>
      </c>
    </row>
    <row r="36" spans="1:3" ht="14.25" x14ac:dyDescent="0.2">
      <c r="A36" s="29">
        <v>63</v>
      </c>
      <c r="B36" s="27">
        <v>1.5980000000000001</v>
      </c>
      <c r="C36" s="30">
        <v>1.8080000000000001</v>
      </c>
    </row>
    <row r="37" spans="1:3" ht="14.25" x14ac:dyDescent="0.2">
      <c r="A37" s="29">
        <v>64</v>
      </c>
      <c r="B37" s="27">
        <v>1.629</v>
      </c>
      <c r="C37" s="31">
        <v>1.839</v>
      </c>
    </row>
    <row r="38" spans="1:3" ht="14.25" x14ac:dyDescent="0.2">
      <c r="A38" s="29">
        <v>65</v>
      </c>
      <c r="B38" s="27">
        <v>1.663</v>
      </c>
      <c r="C38" s="30">
        <v>1.873</v>
      </c>
    </row>
    <row r="39" spans="1:3" ht="14.25" x14ac:dyDescent="0.2">
      <c r="A39" s="29">
        <v>66</v>
      </c>
      <c r="B39" s="27">
        <v>1.6990000000000001</v>
      </c>
      <c r="C39" s="31">
        <v>1.909</v>
      </c>
    </row>
    <row r="40" spans="1:3" ht="14.25" x14ac:dyDescent="0.2">
      <c r="A40" s="29">
        <v>67</v>
      </c>
      <c r="B40" s="27">
        <v>1.738</v>
      </c>
      <c r="C40" s="30">
        <v>1.948</v>
      </c>
    </row>
    <row r="41" spans="1:3" ht="14.25" x14ac:dyDescent="0.2">
      <c r="A41" s="29">
        <v>68</v>
      </c>
      <c r="B41" s="27">
        <v>1.7789999999999999</v>
      </c>
      <c r="C41" s="31">
        <v>1.9890000000000001</v>
      </c>
    </row>
    <row r="42" spans="1:3" ht="14.25" x14ac:dyDescent="0.2">
      <c r="A42" s="29">
        <v>69</v>
      </c>
      <c r="B42" s="27">
        <v>1.823</v>
      </c>
      <c r="C42" s="30">
        <v>2.0329999999999999</v>
      </c>
    </row>
    <row r="43" spans="1:3" ht="14.25" x14ac:dyDescent="0.2">
      <c r="A43" s="29">
        <v>70</v>
      </c>
      <c r="B43" s="27">
        <v>1.867</v>
      </c>
      <c r="C43" s="31">
        <v>2.077</v>
      </c>
    </row>
    <row r="44" spans="1:3" ht="14.25" x14ac:dyDescent="0.2">
      <c r="A44" s="29">
        <v>71</v>
      </c>
      <c r="B44" s="27">
        <v>1.91</v>
      </c>
      <c r="C44" s="30">
        <v>2.12</v>
      </c>
    </row>
    <row r="45" spans="1:3" ht="14.25" x14ac:dyDescent="0.2">
      <c r="A45" s="29">
        <v>72</v>
      </c>
      <c r="B45" s="27">
        <v>1.9530000000000001</v>
      </c>
      <c r="C45" s="31">
        <v>2.1629999999999998</v>
      </c>
    </row>
    <row r="46" spans="1:3" ht="14.25" x14ac:dyDescent="0.2">
      <c r="A46" s="29">
        <v>73</v>
      </c>
      <c r="B46" s="27">
        <v>2.004</v>
      </c>
      <c r="C46" s="30">
        <v>2.214</v>
      </c>
    </row>
    <row r="47" spans="1:3" ht="14.25" x14ac:dyDescent="0.2">
      <c r="A47" s="29">
        <v>74</v>
      </c>
      <c r="B47" s="27">
        <v>2.06</v>
      </c>
      <c r="C47" s="31">
        <v>2.27</v>
      </c>
    </row>
    <row r="48" spans="1:3" ht="14.25" x14ac:dyDescent="0.2">
      <c r="A48" s="29">
        <v>75</v>
      </c>
      <c r="B48" s="27">
        <v>2.117</v>
      </c>
      <c r="C48" s="30">
        <v>2.327</v>
      </c>
    </row>
    <row r="49" spans="1:3" ht="14.25" x14ac:dyDescent="0.2">
      <c r="A49" s="29">
        <v>76</v>
      </c>
      <c r="B49" s="27">
        <v>2.181</v>
      </c>
      <c r="C49" s="31">
        <v>2.391</v>
      </c>
    </row>
    <row r="50" spans="1:3" ht="14.25" x14ac:dyDescent="0.2">
      <c r="A50" s="29">
        <v>77</v>
      </c>
      <c r="B50" s="27">
        <v>2.2549999999999999</v>
      </c>
      <c r="C50" s="30">
        <v>2.4649999999999999</v>
      </c>
    </row>
    <row r="51" spans="1:3" ht="14.25" x14ac:dyDescent="0.2">
      <c r="A51" s="29">
        <v>78</v>
      </c>
      <c r="B51" s="27">
        <v>2.3359999999999999</v>
      </c>
      <c r="C51" s="31">
        <v>2.5459999999999998</v>
      </c>
    </row>
    <row r="52" spans="1:3" ht="14.25" x14ac:dyDescent="0.2">
      <c r="A52" s="29">
        <v>79</v>
      </c>
      <c r="B52" s="27">
        <v>2.419</v>
      </c>
      <c r="C52" s="30">
        <v>2.629</v>
      </c>
    </row>
    <row r="53" spans="1:3" ht="14.25" x14ac:dyDescent="0.2">
      <c r="A53" s="29">
        <v>80</v>
      </c>
      <c r="B53" s="27">
        <v>2.504</v>
      </c>
      <c r="C53" s="31">
        <v>2.714</v>
      </c>
    </row>
    <row r="54" spans="1:3" ht="14.25" x14ac:dyDescent="0.2">
      <c r="A54" s="29">
        <v>81</v>
      </c>
      <c r="B54" s="27">
        <v>2.597</v>
      </c>
      <c r="C54" s="32"/>
    </row>
    <row r="55" spans="1:3" ht="14.25" x14ac:dyDescent="0.2">
      <c r="A55" s="29">
        <v>82</v>
      </c>
      <c r="B55" s="27">
        <v>2.702</v>
      </c>
      <c r="C55" s="32"/>
    </row>
    <row r="56" spans="1:3" ht="14.25" x14ac:dyDescent="0.2">
      <c r="A56" s="29">
        <v>83</v>
      </c>
      <c r="B56" s="27">
        <v>2.831</v>
      </c>
      <c r="C56" s="32"/>
    </row>
    <row r="57" spans="1:3" ht="14.25" x14ac:dyDescent="0.2">
      <c r="A57" s="29">
        <v>84</v>
      </c>
      <c r="B57" s="27">
        <v>2.9809999999999999</v>
      </c>
      <c r="C57" s="32"/>
    </row>
    <row r="58" spans="1:3" ht="14.25" x14ac:dyDescent="0.2">
      <c r="A58" s="29">
        <v>85</v>
      </c>
      <c r="B58" s="27">
        <v>3.153</v>
      </c>
      <c r="C58" s="32"/>
    </row>
    <row r="59" spans="1:3" ht="14.25" x14ac:dyDescent="0.2">
      <c r="A59" s="29">
        <v>86</v>
      </c>
      <c r="B59" s="27">
        <v>3.3519999999999999</v>
      </c>
      <c r="C59" s="32"/>
    </row>
    <row r="60" spans="1:3" ht="14.25" x14ac:dyDescent="0.2">
      <c r="A60" s="29">
        <v>87</v>
      </c>
      <c r="B60" s="27">
        <v>3.58</v>
      </c>
      <c r="C60" s="32"/>
    </row>
    <row r="61" spans="1:3" ht="14.25" x14ac:dyDescent="0.2">
      <c r="A61" s="29">
        <v>88</v>
      </c>
      <c r="B61" s="27">
        <v>3.8420000000000001</v>
      </c>
      <c r="C61" s="32"/>
    </row>
    <row r="62" spans="1:3" ht="14.25" x14ac:dyDescent="0.2">
      <c r="A62" s="29">
        <v>89</v>
      </c>
      <c r="B62" s="27">
        <v>4.1449999999999996</v>
      </c>
      <c r="C62" s="32"/>
    </row>
    <row r="63" spans="1:3" ht="14.25" x14ac:dyDescent="0.2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a041025-ad66-491f-b117-929458960abd}" enabled="0" method="" siteId="{aa041025-ad66-491f-b117-929458960ab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Pulje 1</vt:lpstr>
      <vt:lpstr>Pulje 2</vt:lpstr>
      <vt:lpstr>Pulje 3</vt:lpstr>
      <vt:lpstr>Tabell</vt:lpstr>
      <vt:lpstr>Ranking K</vt:lpstr>
      <vt:lpstr>Ranking M</vt:lpstr>
      <vt:lpstr>Meltzer-Faber</vt:lpstr>
      <vt:lpstr>Arrangør</vt:lpstr>
      <vt:lpstr>'Pulje 1'!Print_Area</vt:lpstr>
      <vt:lpstr>'Pulje 2'!Print_Area</vt:lpstr>
      <vt:lpstr>'Pulje 3'!Print_Area</vt:lpstr>
      <vt:lpstr>Sted</vt:lpstr>
      <vt:lpstr>StevneDato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Rune Rasmussen</cp:lastModifiedBy>
  <cp:lastPrinted>2025-06-21T08:25:35Z</cp:lastPrinted>
  <dcterms:created xsi:type="dcterms:W3CDTF">2001-08-31T20:44:44Z</dcterms:created>
  <dcterms:modified xsi:type="dcterms:W3CDTF">2025-06-22T10:37:45Z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