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Arne/AKB/MSKAP/RM:KM 5-kamp/RM 5-kamp 2025/"/>
    </mc:Choice>
  </mc:AlternateContent>
  <xr:revisionPtr revIDLastSave="0" documentId="13_ncr:1_{F072D266-2B86-4947-B1A9-24A29BAF81F6}" xr6:coauthVersionLast="47" xr6:coauthVersionMax="47" xr10:uidLastSave="{00000000-0000-0000-0000-000000000000}"/>
  <bookViews>
    <workbookView xWindow="26660" yWindow="1260" windowWidth="25600" windowHeight="14460" xr2:uid="{00000000-000D-0000-FFFF-FFFF00000000}"/>
  </bookViews>
  <sheets>
    <sheet name="Pulje 1" sheetId="18" r:id="rId1"/>
    <sheet name="Pulje 2" sheetId="77" r:id="rId2"/>
    <sheet name="Pulje 3" sheetId="79" r:id="rId3"/>
    <sheet name="Pulje 4" sheetId="80" r:id="rId4"/>
    <sheet name="Pulje 5" sheetId="81" r:id="rId5"/>
    <sheet name="Res RM 5-kamp kategori" sheetId="95" r:id="rId6"/>
    <sheet name="Res RM 5-kamp ranking" sheetId="91" r:id="rId7"/>
    <sheet name="Resultat RM 5-KAMP NC2 U, J, S" sheetId="92" r:id="rId8"/>
    <sheet name="K1" sheetId="26" r:id="rId9"/>
    <sheet name="K2" sheetId="27" r:id="rId10"/>
    <sheet name="K3" sheetId="61" r:id="rId11"/>
    <sheet name="K4" sheetId="28" r:id="rId12"/>
    <sheet name="K5" sheetId="29" r:id="rId13"/>
    <sheet name="Meltzer-Faber" sheetId="35" state="hidden" r:id="rId14"/>
    <sheet name="Module1" sheetId="2" state="veryHidden" r:id="rId15"/>
  </sheets>
  <definedNames>
    <definedName name="_xlnm.Print_Area" localSheetId="8">'K1'!$A$1:$N$30</definedName>
    <definedName name="_xlnm.Print_Area" localSheetId="9">'K2'!$A$1:$N$30</definedName>
    <definedName name="_xlnm.Print_Area" localSheetId="10">'K3'!$A$1:$N$30</definedName>
    <definedName name="_xlnm.Print_Area" localSheetId="11">'K4'!$A$1:$N$30</definedName>
    <definedName name="_xlnm.Print_Area" localSheetId="12">'K5'!$A$1:$N$30</definedName>
    <definedName name="_xlnm.Print_Area" localSheetId="0">'Pulje 1'!$B$1:$AB$48</definedName>
    <definedName name="_xlnm.Print_Area" localSheetId="1">'Pulje 2'!$B$1:$AB$50</definedName>
    <definedName name="_xlnm.Print_Area" localSheetId="2">'Pulje 3'!$B$1:$AB$48</definedName>
    <definedName name="_xlnm.Print_Area" localSheetId="3">'Pulje 4'!$B$1:$AB$48</definedName>
    <definedName name="_xlnm.Print_Area" localSheetId="4">'Pulje 5'!$B$1:$AB$48</definedName>
    <definedName name="_xlnm.Print_Area" localSheetId="5">'Res RM 5-kamp kategori'!$A:$M</definedName>
    <definedName name="_xlnm.Print_Area" localSheetId="6">'Res RM 5-kamp ranking'!$A:$M</definedName>
    <definedName name="_xlnm.Print_Area" localSheetId="7">'Resultat RM 5-KAMP NC2 U, J, S'!$A:$M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8" i="91" l="1"/>
  <c r="Z15" i="18"/>
  <c r="AJ29" i="80"/>
  <c r="AJ27" i="80"/>
  <c r="AJ31" i="81"/>
  <c r="AJ29" i="81"/>
  <c r="AJ27" i="81"/>
  <c r="AJ25" i="81"/>
  <c r="AJ23" i="81"/>
  <c r="AJ21" i="81"/>
  <c r="AJ19" i="81"/>
  <c r="AJ17" i="81"/>
  <c r="AJ15" i="81"/>
  <c r="AJ13" i="81"/>
  <c r="AJ11" i="81"/>
  <c r="AJ9" i="81"/>
  <c r="AJ31" i="80"/>
  <c r="AJ25" i="80"/>
  <c r="AJ23" i="80"/>
  <c r="AJ21" i="80"/>
  <c r="AJ19" i="80"/>
  <c r="AJ17" i="80"/>
  <c r="AJ15" i="80"/>
  <c r="AJ13" i="80"/>
  <c r="AJ11" i="80"/>
  <c r="AJ9" i="80"/>
  <c r="AJ33" i="77"/>
  <c r="AJ31" i="77"/>
  <c r="AJ29" i="77"/>
  <c r="AJ27" i="77"/>
  <c r="AJ25" i="77"/>
  <c r="AJ23" i="77"/>
  <c r="AJ21" i="77"/>
  <c r="AJ19" i="77"/>
  <c r="AJ17" i="77"/>
  <c r="AJ15" i="77"/>
  <c r="AJ13" i="77"/>
  <c r="AJ11" i="77"/>
  <c r="AJ31" i="18"/>
  <c r="AJ29" i="18"/>
  <c r="AJ27" i="18"/>
  <c r="AJ25" i="18"/>
  <c r="AJ23" i="18"/>
  <c r="AJ21" i="18"/>
  <c r="AJ19" i="18"/>
  <c r="AJ17" i="18"/>
  <c r="AJ15" i="18"/>
  <c r="AJ13" i="18"/>
  <c r="AJ11" i="18"/>
  <c r="AJ31" i="79"/>
  <c r="AJ29" i="79"/>
  <c r="AJ27" i="79"/>
  <c r="AJ25" i="79"/>
  <c r="AJ23" i="79"/>
  <c r="AJ21" i="79"/>
  <c r="AJ19" i="79"/>
  <c r="AJ17" i="79"/>
  <c r="AJ15" i="79"/>
  <c r="AJ13" i="79"/>
  <c r="AJ11" i="79"/>
  <c r="AJ9" i="79"/>
  <c r="AC9" i="79"/>
  <c r="AE9" i="79" s="1"/>
  <c r="AF9" i="79" s="1"/>
  <c r="AD9" i="79"/>
  <c r="AC11" i="79"/>
  <c r="AD11" i="79"/>
  <c r="AE11" i="79"/>
  <c r="AF11" i="79" s="1"/>
  <c r="AC13" i="79"/>
  <c r="AD13" i="79"/>
  <c r="AE13" i="79"/>
  <c r="AF13" i="79" s="1"/>
  <c r="AC15" i="79"/>
  <c r="AE15" i="79" s="1"/>
  <c r="AF15" i="79" s="1"/>
  <c r="AD15" i="79"/>
  <c r="AC17" i="79"/>
  <c r="AE17" i="79" s="1"/>
  <c r="AF17" i="79" s="1"/>
  <c r="AD17" i="79"/>
  <c r="AC19" i="79"/>
  <c r="AD19" i="79"/>
  <c r="AE19" i="79"/>
  <c r="AF19" i="79" s="1"/>
  <c r="AC21" i="79"/>
  <c r="AD21" i="79"/>
  <c r="AE21" i="79"/>
  <c r="AF21" i="79" s="1"/>
  <c r="AG21" i="79" s="1"/>
  <c r="AC23" i="79"/>
  <c r="AE23" i="79" s="1"/>
  <c r="AF23" i="79" s="1"/>
  <c r="AD23" i="79"/>
  <c r="AC25" i="79"/>
  <c r="AE25" i="79" s="1"/>
  <c r="AF25" i="79" s="1"/>
  <c r="AD25" i="79"/>
  <c r="AC27" i="79"/>
  <c r="AD27" i="79"/>
  <c r="AE27" i="79"/>
  <c r="AF27" i="79" s="1"/>
  <c r="AC29" i="79"/>
  <c r="AD29" i="79"/>
  <c r="AE29" i="79"/>
  <c r="AF29" i="79" s="1"/>
  <c r="AC31" i="79"/>
  <c r="AE31" i="79" s="1"/>
  <c r="AF31" i="79" s="1"/>
  <c r="AD31" i="79"/>
  <c r="AJ9" i="77"/>
  <c r="AJ9" i="18"/>
  <c r="AI21" i="79" l="1"/>
  <c r="AG31" i="79"/>
  <c r="AH31" i="79"/>
  <c r="AG23" i="79"/>
  <c r="AI23" i="79" s="1"/>
  <c r="AH23" i="79"/>
  <c r="AG13" i="79"/>
  <c r="AI13" i="79" s="1"/>
  <c r="AH13" i="79"/>
  <c r="AI31" i="79"/>
  <c r="AH19" i="79"/>
  <c r="AG19" i="79"/>
  <c r="AI19" i="79" s="1"/>
  <c r="AH17" i="79"/>
  <c r="AG17" i="79"/>
  <c r="AI17" i="79" s="1"/>
  <c r="AH25" i="79"/>
  <c r="AG25" i="79"/>
  <c r="AI25" i="79" s="1"/>
  <c r="AG27" i="79"/>
  <c r="AI27" i="79" s="1"/>
  <c r="AH27" i="79"/>
  <c r="AG29" i="79"/>
  <c r="AI29" i="79" s="1"/>
  <c r="AH29" i="79"/>
  <c r="AG15" i="79"/>
  <c r="AI15" i="79" s="1"/>
  <c r="AH15" i="79"/>
  <c r="AH11" i="79"/>
  <c r="AG11" i="79"/>
  <c r="AI11" i="79" s="1"/>
  <c r="AG9" i="79"/>
  <c r="AI9" i="79" s="1"/>
  <c r="AH9" i="79"/>
  <c r="AH21" i="79"/>
  <c r="AC33" i="77" l="1"/>
  <c r="O32" i="27"/>
  <c r="C32" i="27"/>
  <c r="N31" i="27"/>
  <c r="X33" i="77" s="1"/>
  <c r="K31" i="27"/>
  <c r="W33" i="77" s="1"/>
  <c r="G31" i="27"/>
  <c r="V33" i="77" s="1"/>
  <c r="C31" i="27"/>
  <c r="B31" i="27"/>
  <c r="AD33" i="77" l="1"/>
  <c r="AE33" i="77"/>
  <c r="X34" i="77"/>
  <c r="W34" i="77"/>
  <c r="V34" i="77"/>
  <c r="S33" i="77"/>
  <c r="T33" i="77" s="1"/>
  <c r="R33" i="77"/>
  <c r="Q33" i="77"/>
  <c r="S34" i="77" l="1"/>
  <c r="Z34" i="77" s="1"/>
  <c r="Y34" i="77"/>
  <c r="AF33" i="77"/>
  <c r="G7" i="95"/>
  <c r="G60" i="95"/>
  <c r="F60" i="95"/>
  <c r="E60" i="95"/>
  <c r="D60" i="95"/>
  <c r="C60" i="95"/>
  <c r="B60" i="95"/>
  <c r="G61" i="95"/>
  <c r="F61" i="95"/>
  <c r="E61" i="95"/>
  <c r="D61" i="95"/>
  <c r="C61" i="95"/>
  <c r="B61" i="95"/>
  <c r="G58" i="95"/>
  <c r="F58" i="95"/>
  <c r="E58" i="95"/>
  <c r="D58" i="95"/>
  <c r="C58" i="95"/>
  <c r="B58" i="95"/>
  <c r="G59" i="95"/>
  <c r="F59" i="95"/>
  <c r="E59" i="95"/>
  <c r="D59" i="95"/>
  <c r="C59" i="95"/>
  <c r="B59" i="95"/>
  <c r="G55" i="95"/>
  <c r="F55" i="95"/>
  <c r="E55" i="95"/>
  <c r="D55" i="95"/>
  <c r="C55" i="95"/>
  <c r="B55" i="95"/>
  <c r="G54" i="95"/>
  <c r="F54" i="95"/>
  <c r="E54" i="95"/>
  <c r="D54" i="95"/>
  <c r="C54" i="95"/>
  <c r="B54" i="95"/>
  <c r="G56" i="95"/>
  <c r="F56" i="95"/>
  <c r="E56" i="95"/>
  <c r="D56" i="95"/>
  <c r="C56" i="95"/>
  <c r="B56" i="95"/>
  <c r="G23" i="95"/>
  <c r="F23" i="95"/>
  <c r="E23" i="95"/>
  <c r="D23" i="95"/>
  <c r="C23" i="95"/>
  <c r="B23" i="95"/>
  <c r="G26" i="95"/>
  <c r="F26" i="95"/>
  <c r="E26" i="95"/>
  <c r="D26" i="95"/>
  <c r="C26" i="95"/>
  <c r="B26" i="95"/>
  <c r="G24" i="95"/>
  <c r="F24" i="95"/>
  <c r="E24" i="95"/>
  <c r="D24" i="95"/>
  <c r="C24" i="95"/>
  <c r="B24" i="95"/>
  <c r="G22" i="95"/>
  <c r="F22" i="95"/>
  <c r="E22" i="95"/>
  <c r="D22" i="95"/>
  <c r="C22" i="95"/>
  <c r="B22" i="95"/>
  <c r="G21" i="95"/>
  <c r="F21" i="95"/>
  <c r="E21" i="95"/>
  <c r="D21" i="95"/>
  <c r="C21" i="95"/>
  <c r="B21" i="95"/>
  <c r="G19" i="95"/>
  <c r="F19" i="95"/>
  <c r="E19" i="95"/>
  <c r="D19" i="95"/>
  <c r="C19" i="95"/>
  <c r="B19" i="95"/>
  <c r="G20" i="95"/>
  <c r="F20" i="95"/>
  <c r="E20" i="95"/>
  <c r="D20" i="95"/>
  <c r="C20" i="95"/>
  <c r="B20" i="95"/>
  <c r="G25" i="95"/>
  <c r="F25" i="95"/>
  <c r="E25" i="95"/>
  <c r="D25" i="95"/>
  <c r="C25" i="95"/>
  <c r="B25" i="95"/>
  <c r="G50" i="95"/>
  <c r="F50" i="95"/>
  <c r="E50" i="95"/>
  <c r="D50" i="95"/>
  <c r="C50" i="95"/>
  <c r="B50" i="95"/>
  <c r="G52" i="95"/>
  <c r="F52" i="95"/>
  <c r="E52" i="95"/>
  <c r="D52" i="95"/>
  <c r="C52" i="95"/>
  <c r="B52" i="95"/>
  <c r="G51" i="95"/>
  <c r="F51" i="95"/>
  <c r="E51" i="95"/>
  <c r="D51" i="95"/>
  <c r="C51" i="95"/>
  <c r="B51" i="95"/>
  <c r="G46" i="95"/>
  <c r="F46" i="95"/>
  <c r="E46" i="95"/>
  <c r="D46" i="95"/>
  <c r="C46" i="95"/>
  <c r="B46" i="95"/>
  <c r="G48" i="95"/>
  <c r="F48" i="95"/>
  <c r="E48" i="95"/>
  <c r="D48" i="95"/>
  <c r="C48" i="95"/>
  <c r="B48" i="95"/>
  <c r="G47" i="95"/>
  <c r="F47" i="95"/>
  <c r="E47" i="95"/>
  <c r="D47" i="95"/>
  <c r="C47" i="95"/>
  <c r="B47" i="95"/>
  <c r="G42" i="95"/>
  <c r="F42" i="95"/>
  <c r="E42" i="95"/>
  <c r="D42" i="95"/>
  <c r="C42" i="95"/>
  <c r="B42" i="95"/>
  <c r="G43" i="95"/>
  <c r="F43" i="95"/>
  <c r="E43" i="95"/>
  <c r="D43" i="95"/>
  <c r="C43" i="95"/>
  <c r="B43" i="95"/>
  <c r="G44" i="95"/>
  <c r="F44" i="95"/>
  <c r="E44" i="95"/>
  <c r="D44" i="95"/>
  <c r="C44" i="95"/>
  <c r="B44" i="95"/>
  <c r="G40" i="95"/>
  <c r="F40" i="95"/>
  <c r="E40" i="95"/>
  <c r="D40" i="95"/>
  <c r="C40" i="95"/>
  <c r="B40" i="95"/>
  <c r="G39" i="95"/>
  <c r="F39" i="95"/>
  <c r="E39" i="95"/>
  <c r="D39" i="95"/>
  <c r="C39" i="95"/>
  <c r="B39" i="95"/>
  <c r="G17" i="95"/>
  <c r="F17" i="95"/>
  <c r="E17" i="95"/>
  <c r="D17" i="95"/>
  <c r="C17" i="95"/>
  <c r="B17" i="95"/>
  <c r="G16" i="95"/>
  <c r="F16" i="95"/>
  <c r="E16" i="95"/>
  <c r="D16" i="95"/>
  <c r="C16" i="95"/>
  <c r="B16" i="95"/>
  <c r="G15" i="95"/>
  <c r="F15" i="95"/>
  <c r="E15" i="95"/>
  <c r="D15" i="95"/>
  <c r="C15" i="95"/>
  <c r="B15" i="95"/>
  <c r="G14" i="95"/>
  <c r="F14" i="95"/>
  <c r="E14" i="95"/>
  <c r="D14" i="95"/>
  <c r="C14" i="95"/>
  <c r="B14" i="95"/>
  <c r="G12" i="95"/>
  <c r="F12" i="95"/>
  <c r="E12" i="95"/>
  <c r="D12" i="95"/>
  <c r="C12" i="95"/>
  <c r="B12" i="95"/>
  <c r="G10" i="95"/>
  <c r="F10" i="95"/>
  <c r="E10" i="95"/>
  <c r="D10" i="95"/>
  <c r="C10" i="95"/>
  <c r="B10" i="95"/>
  <c r="G9" i="95"/>
  <c r="F9" i="95"/>
  <c r="E9" i="95"/>
  <c r="D9" i="95"/>
  <c r="C9" i="95"/>
  <c r="B9" i="95"/>
  <c r="G11" i="95"/>
  <c r="F11" i="95"/>
  <c r="E11" i="95"/>
  <c r="D11" i="95"/>
  <c r="C11" i="95"/>
  <c r="B11" i="95"/>
  <c r="G6" i="95"/>
  <c r="F6" i="95"/>
  <c r="E6" i="95"/>
  <c r="D6" i="95"/>
  <c r="C6" i="95"/>
  <c r="B6" i="95"/>
  <c r="F7" i="95"/>
  <c r="E7" i="95"/>
  <c r="D7" i="95"/>
  <c r="C7" i="95"/>
  <c r="B7" i="95"/>
  <c r="G35" i="95"/>
  <c r="F35" i="95"/>
  <c r="E35" i="95"/>
  <c r="D35" i="95"/>
  <c r="C35" i="95"/>
  <c r="B35" i="95"/>
  <c r="G64" i="95"/>
  <c r="F64" i="95"/>
  <c r="E64" i="95"/>
  <c r="D64" i="95"/>
  <c r="C64" i="95"/>
  <c r="B64" i="95"/>
  <c r="G63" i="95"/>
  <c r="F63" i="95"/>
  <c r="E63" i="95"/>
  <c r="D63" i="95"/>
  <c r="C63" i="95"/>
  <c r="B63" i="95"/>
  <c r="G34" i="95"/>
  <c r="F34" i="95"/>
  <c r="E34" i="95"/>
  <c r="D34" i="95"/>
  <c r="C34" i="95"/>
  <c r="B34" i="95"/>
  <c r="G33" i="95"/>
  <c r="F33" i="95"/>
  <c r="E33" i="95"/>
  <c r="D33" i="95"/>
  <c r="C33" i="95"/>
  <c r="B33" i="95"/>
  <c r="G32" i="95"/>
  <c r="F32" i="95"/>
  <c r="E32" i="95"/>
  <c r="D32" i="95"/>
  <c r="C32" i="95"/>
  <c r="B32" i="95"/>
  <c r="G28" i="95"/>
  <c r="F28" i="95"/>
  <c r="E28" i="95"/>
  <c r="D28" i="95"/>
  <c r="C28" i="95"/>
  <c r="B28" i="95"/>
  <c r="G30" i="95"/>
  <c r="F30" i="95"/>
  <c r="E30" i="95"/>
  <c r="D30" i="95"/>
  <c r="C30" i="95"/>
  <c r="B30" i="95"/>
  <c r="G29" i="95"/>
  <c r="F29" i="95"/>
  <c r="E29" i="95"/>
  <c r="D29" i="95"/>
  <c r="C29" i="95"/>
  <c r="B29" i="95"/>
  <c r="J2" i="95"/>
  <c r="F2" i="95"/>
  <c r="A2" i="95"/>
  <c r="AC31" i="80"/>
  <c r="AC31" i="81"/>
  <c r="AC31" i="77"/>
  <c r="AC29" i="80"/>
  <c r="AC29" i="81"/>
  <c r="AC29" i="77"/>
  <c r="AC27" i="80"/>
  <c r="AC27" i="81"/>
  <c r="AC27" i="77"/>
  <c r="AC25" i="80"/>
  <c r="AC25" i="81"/>
  <c r="AC25" i="77"/>
  <c r="AC23" i="80"/>
  <c r="AC23" i="81"/>
  <c r="AC23" i="77"/>
  <c r="AC21" i="80"/>
  <c r="AC21" i="81"/>
  <c r="AC21" i="77"/>
  <c r="AC19" i="80"/>
  <c r="AC19" i="81"/>
  <c r="AC19" i="77"/>
  <c r="AC17" i="80"/>
  <c r="AC17" i="81"/>
  <c r="AC17" i="77"/>
  <c r="AC15" i="80"/>
  <c r="AC15" i="81"/>
  <c r="AC15" i="77"/>
  <c r="AC13" i="80"/>
  <c r="AC13" i="81"/>
  <c r="AC13" i="77"/>
  <c r="AC11" i="80"/>
  <c r="AC11" i="81"/>
  <c r="AC11" i="77"/>
  <c r="AC9" i="80"/>
  <c r="AC9" i="81"/>
  <c r="AC9" i="77"/>
  <c r="AC31" i="18"/>
  <c r="AC29" i="18"/>
  <c r="AC27" i="18"/>
  <c r="AC25" i="18"/>
  <c r="AC23" i="18"/>
  <c r="AC21" i="18"/>
  <c r="AC19" i="18"/>
  <c r="AC17" i="18"/>
  <c r="AC15" i="18"/>
  <c r="AC13" i="18"/>
  <c r="AC11" i="18"/>
  <c r="AC9" i="18"/>
  <c r="AH33" i="77" l="1"/>
  <c r="AI33" i="77" s="1"/>
  <c r="AG33" i="77"/>
  <c r="U33" i="77"/>
  <c r="G58" i="92" l="1"/>
  <c r="F58" i="92"/>
  <c r="E58" i="92"/>
  <c r="D58" i="92"/>
  <c r="C58" i="92"/>
  <c r="B58" i="92"/>
  <c r="G59" i="92"/>
  <c r="F59" i="92"/>
  <c r="E59" i="92"/>
  <c r="D59" i="92"/>
  <c r="C59" i="92"/>
  <c r="B59" i="92"/>
  <c r="G56" i="92"/>
  <c r="F56" i="92"/>
  <c r="E56" i="92"/>
  <c r="D56" i="92"/>
  <c r="C56" i="92"/>
  <c r="B56" i="92"/>
  <c r="G57" i="92"/>
  <c r="F57" i="92"/>
  <c r="E57" i="92"/>
  <c r="D57" i="92"/>
  <c r="C57" i="92"/>
  <c r="B57" i="92"/>
  <c r="G40" i="92"/>
  <c r="F40" i="92"/>
  <c r="E40" i="92"/>
  <c r="D40" i="92"/>
  <c r="C40" i="92"/>
  <c r="B40" i="92"/>
  <c r="G39" i="92"/>
  <c r="F39" i="92"/>
  <c r="E39" i="92"/>
  <c r="D39" i="92"/>
  <c r="C39" i="92"/>
  <c r="B39" i="92"/>
  <c r="G41" i="92"/>
  <c r="F41" i="92"/>
  <c r="E41" i="92"/>
  <c r="D41" i="92"/>
  <c r="C41" i="92"/>
  <c r="B41" i="92"/>
  <c r="G34" i="92"/>
  <c r="F34" i="92"/>
  <c r="E34" i="92"/>
  <c r="D34" i="92"/>
  <c r="C34" i="92"/>
  <c r="B34" i="92"/>
  <c r="G52" i="92"/>
  <c r="F52" i="92"/>
  <c r="E52" i="92"/>
  <c r="D52" i="92"/>
  <c r="C52" i="92"/>
  <c r="B52" i="92"/>
  <c r="G35" i="92"/>
  <c r="F35" i="92"/>
  <c r="E35" i="92"/>
  <c r="D35" i="92"/>
  <c r="C35" i="92"/>
  <c r="B35" i="92"/>
  <c r="G33" i="92"/>
  <c r="F33" i="92"/>
  <c r="E33" i="92"/>
  <c r="D33" i="92"/>
  <c r="C33" i="92"/>
  <c r="B33" i="92"/>
  <c r="G48" i="92"/>
  <c r="F48" i="92"/>
  <c r="E48" i="92"/>
  <c r="D48" i="92"/>
  <c r="C48" i="92"/>
  <c r="B48" i="92"/>
  <c r="G45" i="92"/>
  <c r="F45" i="92"/>
  <c r="E45" i="92"/>
  <c r="D45" i="92"/>
  <c r="C45" i="92"/>
  <c r="B45" i="92"/>
  <c r="G46" i="92"/>
  <c r="F46" i="92"/>
  <c r="E46" i="92"/>
  <c r="D46" i="92"/>
  <c r="C46" i="92"/>
  <c r="B46" i="92"/>
  <c r="G51" i="92"/>
  <c r="F51" i="92"/>
  <c r="E51" i="92"/>
  <c r="D51" i="92"/>
  <c r="C51" i="92"/>
  <c r="B51" i="92"/>
  <c r="G19" i="92"/>
  <c r="F19" i="92"/>
  <c r="E19" i="92"/>
  <c r="D19" i="92"/>
  <c r="C19" i="92"/>
  <c r="B19" i="92"/>
  <c r="G21" i="92"/>
  <c r="F21" i="92"/>
  <c r="E21" i="92"/>
  <c r="D21" i="92"/>
  <c r="C21" i="92"/>
  <c r="B21" i="92"/>
  <c r="G20" i="92"/>
  <c r="F20" i="92"/>
  <c r="E20" i="92"/>
  <c r="D20" i="92"/>
  <c r="C20" i="92"/>
  <c r="B20" i="92"/>
  <c r="G23" i="92"/>
  <c r="F23" i="92"/>
  <c r="E23" i="92"/>
  <c r="D23" i="92"/>
  <c r="C23" i="92"/>
  <c r="B23" i="92"/>
  <c r="G28" i="92"/>
  <c r="F28" i="92"/>
  <c r="E28" i="92"/>
  <c r="D28" i="92"/>
  <c r="C28" i="92"/>
  <c r="B28" i="92"/>
  <c r="G27" i="92"/>
  <c r="F27" i="92"/>
  <c r="E27" i="92"/>
  <c r="D27" i="92"/>
  <c r="C27" i="92"/>
  <c r="B27" i="92"/>
  <c r="G22" i="92"/>
  <c r="F22" i="92"/>
  <c r="E22" i="92"/>
  <c r="D22" i="92"/>
  <c r="C22" i="92"/>
  <c r="B22" i="92"/>
  <c r="G24" i="92"/>
  <c r="F24" i="92"/>
  <c r="E24" i="92"/>
  <c r="D24" i="92"/>
  <c r="C24" i="92"/>
  <c r="B24" i="92"/>
  <c r="G25" i="92"/>
  <c r="F25" i="92"/>
  <c r="E25" i="92"/>
  <c r="D25" i="92"/>
  <c r="C25" i="92"/>
  <c r="B25" i="92"/>
  <c r="G29" i="92"/>
  <c r="F29" i="92"/>
  <c r="E29" i="92"/>
  <c r="D29" i="92"/>
  <c r="C29" i="92"/>
  <c r="B29" i="92"/>
  <c r="G26" i="92"/>
  <c r="F26" i="92"/>
  <c r="E26" i="92"/>
  <c r="D26" i="92"/>
  <c r="C26" i="92"/>
  <c r="B26" i="92"/>
  <c r="G14" i="92"/>
  <c r="F14" i="92"/>
  <c r="E14" i="92"/>
  <c r="D14" i="92"/>
  <c r="C14" i="92"/>
  <c r="B14" i="92"/>
  <c r="G10" i="92"/>
  <c r="F10" i="92"/>
  <c r="E10" i="92"/>
  <c r="D10" i="92"/>
  <c r="C10" i="92"/>
  <c r="B10" i="92"/>
  <c r="G7" i="92"/>
  <c r="F7" i="92"/>
  <c r="E7" i="92"/>
  <c r="D7" i="92"/>
  <c r="C7" i="92"/>
  <c r="B7" i="92"/>
  <c r="G6" i="92"/>
  <c r="F6" i="92"/>
  <c r="E6" i="92"/>
  <c r="D6" i="92"/>
  <c r="C6" i="92"/>
  <c r="B6" i="92"/>
  <c r="G15" i="92"/>
  <c r="F15" i="92"/>
  <c r="E15" i="92"/>
  <c r="D15" i="92"/>
  <c r="C15" i="92"/>
  <c r="B15" i="92"/>
  <c r="G9" i="92"/>
  <c r="F9" i="92"/>
  <c r="E9" i="92"/>
  <c r="D9" i="92"/>
  <c r="C9" i="92"/>
  <c r="B9" i="92"/>
  <c r="G8" i="92"/>
  <c r="F8" i="92"/>
  <c r="E8" i="92"/>
  <c r="D8" i="92"/>
  <c r="C8" i="92"/>
  <c r="B8" i="92"/>
  <c r="G12" i="92"/>
  <c r="F12" i="92"/>
  <c r="E12" i="92"/>
  <c r="D12" i="92"/>
  <c r="C12" i="92"/>
  <c r="B12" i="92"/>
  <c r="G11" i="92"/>
  <c r="F11" i="92"/>
  <c r="E11" i="92"/>
  <c r="D11" i="92"/>
  <c r="C11" i="92"/>
  <c r="B11" i="92"/>
  <c r="G13" i="92"/>
  <c r="F13" i="92"/>
  <c r="E13" i="92"/>
  <c r="D13" i="92"/>
  <c r="C13" i="92"/>
  <c r="B13" i="92"/>
  <c r="G47" i="92"/>
  <c r="F47" i="92"/>
  <c r="E47" i="92"/>
  <c r="D47" i="92"/>
  <c r="C47" i="92"/>
  <c r="B47" i="92"/>
  <c r="G50" i="92"/>
  <c r="F50" i="92"/>
  <c r="E50" i="92"/>
  <c r="D50" i="92"/>
  <c r="C50" i="92"/>
  <c r="B50" i="92"/>
  <c r="G49" i="92"/>
  <c r="F49" i="92"/>
  <c r="E49" i="92"/>
  <c r="D49" i="92"/>
  <c r="C49" i="92"/>
  <c r="B49" i="92"/>
  <c r="J2" i="92"/>
  <c r="F2" i="92"/>
  <c r="A2" i="92"/>
  <c r="G36" i="91"/>
  <c r="F36" i="91"/>
  <c r="E36" i="91"/>
  <c r="D36" i="91"/>
  <c r="C36" i="91"/>
  <c r="B36" i="91"/>
  <c r="G50" i="91"/>
  <c r="F50" i="91"/>
  <c r="E50" i="91"/>
  <c r="D50" i="91"/>
  <c r="C50" i="91"/>
  <c r="B50" i="91"/>
  <c r="G33" i="91"/>
  <c r="F33" i="91"/>
  <c r="E33" i="91"/>
  <c r="D33" i="91"/>
  <c r="C33" i="91"/>
  <c r="B33" i="91"/>
  <c r="G34" i="91"/>
  <c r="F34" i="91"/>
  <c r="E34" i="91"/>
  <c r="D34" i="91"/>
  <c r="C34" i="91"/>
  <c r="B34" i="91"/>
  <c r="G38" i="91"/>
  <c r="F38" i="91"/>
  <c r="E38" i="91"/>
  <c r="D38" i="91"/>
  <c r="C38" i="91"/>
  <c r="B38" i="91"/>
  <c r="G35" i="91"/>
  <c r="F35" i="91"/>
  <c r="E35" i="91"/>
  <c r="D35" i="91"/>
  <c r="C35" i="91"/>
  <c r="B35" i="91"/>
  <c r="G40" i="91"/>
  <c r="F40" i="91"/>
  <c r="E40" i="91"/>
  <c r="D40" i="91"/>
  <c r="C40" i="91"/>
  <c r="B40" i="91"/>
  <c r="G14" i="91"/>
  <c r="F14" i="91"/>
  <c r="E14" i="91"/>
  <c r="D14" i="91"/>
  <c r="C14" i="91"/>
  <c r="B14" i="91"/>
  <c r="G27" i="91"/>
  <c r="F27" i="91"/>
  <c r="E27" i="91"/>
  <c r="D27" i="91"/>
  <c r="C27" i="91"/>
  <c r="B27" i="91"/>
  <c r="G16" i="91"/>
  <c r="F16" i="91"/>
  <c r="E16" i="91"/>
  <c r="D16" i="91"/>
  <c r="C16" i="91"/>
  <c r="B16" i="91"/>
  <c r="G12" i="91"/>
  <c r="F12" i="91"/>
  <c r="E12" i="91"/>
  <c r="D12" i="91"/>
  <c r="C12" i="91"/>
  <c r="B12" i="91"/>
  <c r="G10" i="91"/>
  <c r="F10" i="91"/>
  <c r="E10" i="91"/>
  <c r="D10" i="91"/>
  <c r="C10" i="91"/>
  <c r="B10" i="91"/>
  <c r="G6" i="91"/>
  <c r="F6" i="91"/>
  <c r="E6" i="91"/>
  <c r="D6" i="91"/>
  <c r="C6" i="91"/>
  <c r="B6" i="91"/>
  <c r="G7" i="91"/>
  <c r="F7" i="91"/>
  <c r="E7" i="91"/>
  <c r="D7" i="91"/>
  <c r="C7" i="91"/>
  <c r="B7" i="91"/>
  <c r="G19" i="91"/>
  <c r="F19" i="91"/>
  <c r="E19" i="91"/>
  <c r="D19" i="91"/>
  <c r="C19" i="91"/>
  <c r="B19" i="91"/>
  <c r="G37" i="91"/>
  <c r="F37" i="91"/>
  <c r="E37" i="91"/>
  <c r="D37" i="91"/>
  <c r="C37" i="91"/>
  <c r="B37" i="91"/>
  <c r="G41" i="91"/>
  <c r="F41" i="91"/>
  <c r="E41" i="91"/>
  <c r="D41" i="91"/>
  <c r="C41" i="91"/>
  <c r="B41" i="91"/>
  <c r="G39" i="91"/>
  <c r="F39" i="91"/>
  <c r="E39" i="91"/>
  <c r="D39" i="91"/>
  <c r="C39" i="91"/>
  <c r="B39" i="91"/>
  <c r="G45" i="91"/>
  <c r="F45" i="91"/>
  <c r="E45" i="91"/>
  <c r="D45" i="91"/>
  <c r="C45" i="91"/>
  <c r="B45" i="91"/>
  <c r="G52" i="91"/>
  <c r="F52" i="91"/>
  <c r="E52" i="91"/>
  <c r="D52" i="91"/>
  <c r="C52" i="91"/>
  <c r="B52" i="91"/>
  <c r="G51" i="91"/>
  <c r="F51" i="91"/>
  <c r="E51" i="91"/>
  <c r="D51" i="91"/>
  <c r="C51" i="91"/>
  <c r="B51" i="91"/>
  <c r="G43" i="91"/>
  <c r="F43" i="91"/>
  <c r="E43" i="91"/>
  <c r="D43" i="91"/>
  <c r="C43" i="91"/>
  <c r="B43" i="91"/>
  <c r="G46" i="91"/>
  <c r="F46" i="91"/>
  <c r="E46" i="91"/>
  <c r="D46" i="91"/>
  <c r="C46" i="91"/>
  <c r="B46" i="91"/>
  <c r="G47" i="91"/>
  <c r="F47" i="91"/>
  <c r="E47" i="91"/>
  <c r="D47" i="91"/>
  <c r="C47" i="91"/>
  <c r="B47" i="91"/>
  <c r="G49" i="91"/>
  <c r="F49" i="91"/>
  <c r="E49" i="91"/>
  <c r="D49" i="91"/>
  <c r="C49" i="91"/>
  <c r="B49" i="91"/>
  <c r="G48" i="91"/>
  <c r="F48" i="91"/>
  <c r="E48" i="91"/>
  <c r="D48" i="91"/>
  <c r="C48" i="91"/>
  <c r="B48" i="91"/>
  <c r="G25" i="91"/>
  <c r="F25" i="91"/>
  <c r="E25" i="91"/>
  <c r="D25" i="91"/>
  <c r="C25" i="91"/>
  <c r="B25" i="91"/>
  <c r="G21" i="91"/>
  <c r="F21" i="91"/>
  <c r="E21" i="91"/>
  <c r="D21" i="91"/>
  <c r="C21" i="91"/>
  <c r="B21" i="91"/>
  <c r="G17" i="91"/>
  <c r="F17" i="91"/>
  <c r="E17" i="91"/>
  <c r="D17" i="91"/>
  <c r="C17" i="91"/>
  <c r="B17" i="91"/>
  <c r="G13" i="91"/>
  <c r="F13" i="91"/>
  <c r="E13" i="91"/>
  <c r="D13" i="91"/>
  <c r="C13" i="91"/>
  <c r="B13" i="91"/>
  <c r="G26" i="91"/>
  <c r="F26" i="91"/>
  <c r="E26" i="91"/>
  <c r="D26" i="91"/>
  <c r="C26" i="91"/>
  <c r="B26" i="91"/>
  <c r="G20" i="91"/>
  <c r="F20" i="91"/>
  <c r="E20" i="91"/>
  <c r="D20" i="91"/>
  <c r="C20" i="91"/>
  <c r="B20" i="91"/>
  <c r="G18" i="91"/>
  <c r="F18" i="91"/>
  <c r="E18" i="91"/>
  <c r="D18" i="91"/>
  <c r="C18" i="91"/>
  <c r="B18" i="91"/>
  <c r="G23" i="91"/>
  <c r="F23" i="91"/>
  <c r="E23" i="91"/>
  <c r="D23" i="91"/>
  <c r="C23" i="91"/>
  <c r="B23" i="91"/>
  <c r="G22" i="91"/>
  <c r="F22" i="91"/>
  <c r="E22" i="91"/>
  <c r="D22" i="91"/>
  <c r="C22" i="91"/>
  <c r="B22" i="91"/>
  <c r="G24" i="91"/>
  <c r="F24" i="91"/>
  <c r="E24" i="91"/>
  <c r="D24" i="91"/>
  <c r="C24" i="91"/>
  <c r="B24" i="91"/>
  <c r="G44" i="91"/>
  <c r="F44" i="91"/>
  <c r="E44" i="91"/>
  <c r="D44" i="91"/>
  <c r="C44" i="91"/>
  <c r="B44" i="91"/>
  <c r="G42" i="91"/>
  <c r="F42" i="91"/>
  <c r="E42" i="91"/>
  <c r="D42" i="91"/>
  <c r="C42" i="91"/>
  <c r="B42" i="91"/>
  <c r="G28" i="91"/>
  <c r="F28" i="91"/>
  <c r="E28" i="91"/>
  <c r="D28" i="91"/>
  <c r="C28" i="91"/>
  <c r="B28" i="91"/>
  <c r="G29" i="91"/>
  <c r="F29" i="91"/>
  <c r="E29" i="91"/>
  <c r="D29" i="91"/>
  <c r="C29" i="91"/>
  <c r="B29" i="91"/>
  <c r="G8" i="91"/>
  <c r="F8" i="91"/>
  <c r="E8" i="91"/>
  <c r="D8" i="91"/>
  <c r="C8" i="91"/>
  <c r="B8" i="91"/>
  <c r="G9" i="91"/>
  <c r="F9" i="91"/>
  <c r="E9" i="91"/>
  <c r="D9" i="91"/>
  <c r="C9" i="91"/>
  <c r="B9" i="91"/>
  <c r="G15" i="91"/>
  <c r="F15" i="91"/>
  <c r="E15" i="91"/>
  <c r="D15" i="91"/>
  <c r="C15" i="91"/>
  <c r="B15" i="91"/>
  <c r="G11" i="91"/>
  <c r="F11" i="91"/>
  <c r="E11" i="91"/>
  <c r="D11" i="91"/>
  <c r="C11" i="91"/>
  <c r="B11" i="91"/>
  <c r="J2" i="91"/>
  <c r="F2" i="91"/>
  <c r="A2" i="91"/>
  <c r="C30" i="29" l="1"/>
  <c r="C29" i="29"/>
  <c r="B29" i="29"/>
  <c r="C28" i="29"/>
  <c r="C27" i="29"/>
  <c r="B27" i="29"/>
  <c r="C26" i="29"/>
  <c r="C25" i="29"/>
  <c r="B25" i="29"/>
  <c r="C24" i="29"/>
  <c r="C23" i="29"/>
  <c r="B23" i="29"/>
  <c r="C22" i="29"/>
  <c r="C21" i="29"/>
  <c r="B21" i="29"/>
  <c r="C20" i="29"/>
  <c r="C19" i="29"/>
  <c r="B19" i="29"/>
  <c r="C18" i="29"/>
  <c r="C17" i="29"/>
  <c r="B17" i="29"/>
  <c r="C16" i="29"/>
  <c r="C15" i="29"/>
  <c r="B15" i="29"/>
  <c r="C14" i="29"/>
  <c r="C13" i="29"/>
  <c r="B13" i="29"/>
  <c r="C12" i="29"/>
  <c r="C11" i="29"/>
  <c r="B11" i="29"/>
  <c r="C10" i="29"/>
  <c r="C9" i="29"/>
  <c r="B9" i="29"/>
  <c r="C8" i="29"/>
  <c r="C7" i="29"/>
  <c r="B7" i="29"/>
  <c r="B7" i="28"/>
  <c r="C30" i="28" l="1"/>
  <c r="C29" i="28"/>
  <c r="B29" i="28"/>
  <c r="C28" i="28"/>
  <c r="C27" i="28"/>
  <c r="B27" i="28"/>
  <c r="C26" i="28"/>
  <c r="C25" i="28"/>
  <c r="B25" i="28"/>
  <c r="C24" i="28"/>
  <c r="C23" i="28"/>
  <c r="B23" i="28"/>
  <c r="C22" i="28"/>
  <c r="C21" i="28"/>
  <c r="B21" i="28"/>
  <c r="C20" i="28"/>
  <c r="C19" i="28"/>
  <c r="B19" i="28"/>
  <c r="C18" i="28"/>
  <c r="C17" i="28"/>
  <c r="B17" i="28"/>
  <c r="C16" i="28"/>
  <c r="C15" i="28"/>
  <c r="B15" i="28"/>
  <c r="C14" i="28"/>
  <c r="C13" i="28"/>
  <c r="B13" i="28"/>
  <c r="C12" i="28"/>
  <c r="C11" i="28"/>
  <c r="B11" i="28"/>
  <c r="C10" i="28"/>
  <c r="C9" i="28"/>
  <c r="B9" i="28"/>
  <c r="C8" i="28"/>
  <c r="C7" i="28"/>
  <c r="C30" i="61"/>
  <c r="C29" i="61"/>
  <c r="B29" i="61"/>
  <c r="C28" i="61"/>
  <c r="C27" i="61"/>
  <c r="B27" i="61"/>
  <c r="C26" i="61"/>
  <c r="C25" i="61"/>
  <c r="B25" i="61"/>
  <c r="C24" i="61"/>
  <c r="C23" i="61"/>
  <c r="B23" i="61"/>
  <c r="C22" i="61"/>
  <c r="C21" i="61"/>
  <c r="B21" i="61"/>
  <c r="C20" i="61"/>
  <c r="C19" i="61"/>
  <c r="B19" i="61"/>
  <c r="C18" i="61"/>
  <c r="C17" i="61"/>
  <c r="B17" i="61"/>
  <c r="C16" i="61"/>
  <c r="C15" i="61"/>
  <c r="B15" i="61"/>
  <c r="C14" i="61"/>
  <c r="C13" i="61"/>
  <c r="B13" i="61"/>
  <c r="C12" i="61"/>
  <c r="C11" i="61"/>
  <c r="B11" i="61"/>
  <c r="C10" i="61"/>
  <c r="C9" i="61"/>
  <c r="B9" i="61"/>
  <c r="C8" i="61"/>
  <c r="C7" i="61"/>
  <c r="B7" i="61"/>
  <c r="C30" i="27" l="1"/>
  <c r="C29" i="27"/>
  <c r="B29" i="27"/>
  <c r="C28" i="27"/>
  <c r="C27" i="27"/>
  <c r="B27" i="27"/>
  <c r="C26" i="27"/>
  <c r="C25" i="27"/>
  <c r="B25" i="27"/>
  <c r="C24" i="27"/>
  <c r="C23" i="27"/>
  <c r="B23" i="27"/>
  <c r="C22" i="27"/>
  <c r="C21" i="27"/>
  <c r="B21" i="27"/>
  <c r="C20" i="27"/>
  <c r="C19" i="27"/>
  <c r="B19" i="27"/>
  <c r="C18" i="27"/>
  <c r="C17" i="27"/>
  <c r="B17" i="27"/>
  <c r="C16" i="27"/>
  <c r="C15" i="27"/>
  <c r="B15" i="27"/>
  <c r="C14" i="27"/>
  <c r="C13" i="27"/>
  <c r="B13" i="27"/>
  <c r="C12" i="27"/>
  <c r="C11" i="27"/>
  <c r="B11" i="27"/>
  <c r="C10" i="27"/>
  <c r="C9" i="27"/>
  <c r="B9" i="27"/>
  <c r="C8" i="27"/>
  <c r="C7" i="27"/>
  <c r="B7" i="27"/>
  <c r="C8" i="26" l="1"/>
  <c r="C7" i="26"/>
  <c r="B7" i="26"/>
  <c r="AD31" i="81"/>
  <c r="AI31" i="81" s="1"/>
  <c r="AE31" i="81"/>
  <c r="R31" i="81"/>
  <c r="Q31" i="81"/>
  <c r="AD29" i="81"/>
  <c r="AI29" i="81" s="1"/>
  <c r="AE29" i="81"/>
  <c r="R29" i="81"/>
  <c r="Q29" i="81"/>
  <c r="AD27" i="81"/>
  <c r="AI27" i="81" s="1"/>
  <c r="AE27" i="81"/>
  <c r="R27" i="81"/>
  <c r="Q27" i="81"/>
  <c r="AD25" i="81"/>
  <c r="AE25" i="81"/>
  <c r="R25" i="81"/>
  <c r="Q25" i="81"/>
  <c r="AE23" i="81"/>
  <c r="AD23" i="81"/>
  <c r="R23" i="81"/>
  <c r="Q23" i="81"/>
  <c r="AD21" i="81"/>
  <c r="AE21" i="81"/>
  <c r="R21" i="81"/>
  <c r="I60" i="95" s="1"/>
  <c r="Q21" i="81"/>
  <c r="H60" i="95" s="1"/>
  <c r="AD19" i="81"/>
  <c r="AE19" i="81"/>
  <c r="R19" i="81"/>
  <c r="I61" i="95" s="1"/>
  <c r="Q19" i="81"/>
  <c r="H61" i="95" s="1"/>
  <c r="AD17" i="81"/>
  <c r="AE17" i="81"/>
  <c r="R17" i="81"/>
  <c r="I58" i="95" s="1"/>
  <c r="Q17" i="81"/>
  <c r="H58" i="95" s="1"/>
  <c r="AD15" i="81"/>
  <c r="AE15" i="81"/>
  <c r="R15" i="81"/>
  <c r="I59" i="95" s="1"/>
  <c r="Q15" i="81"/>
  <c r="H59" i="95" s="1"/>
  <c r="AD13" i="81"/>
  <c r="AE13" i="81"/>
  <c r="R13" i="81"/>
  <c r="I55" i="95" s="1"/>
  <c r="Q13" i="81"/>
  <c r="H55" i="95" s="1"/>
  <c r="AD11" i="81"/>
  <c r="AE11" i="81"/>
  <c r="R11" i="81"/>
  <c r="I54" i="95" s="1"/>
  <c r="Q11" i="81"/>
  <c r="H54" i="95" s="1"/>
  <c r="AD9" i="81"/>
  <c r="AE9" i="81"/>
  <c r="R9" i="81"/>
  <c r="I56" i="95" s="1"/>
  <c r="Q9" i="81"/>
  <c r="H56" i="95" s="1"/>
  <c r="AD31" i="80"/>
  <c r="AI31" i="80" s="1"/>
  <c r="AE31" i="80"/>
  <c r="R31" i="80"/>
  <c r="Q31" i="80"/>
  <c r="S31" i="80" s="1"/>
  <c r="T31" i="80" s="1"/>
  <c r="S32" i="80" s="1"/>
  <c r="AD29" i="80"/>
  <c r="AI29" i="80" s="1"/>
  <c r="AE29" i="80"/>
  <c r="R29" i="80"/>
  <c r="Q29" i="80"/>
  <c r="AI27" i="80"/>
  <c r="AD27" i="80"/>
  <c r="AE27" i="80"/>
  <c r="R27" i="80"/>
  <c r="Q27" i="80"/>
  <c r="AD25" i="80"/>
  <c r="AE25" i="80"/>
  <c r="R25" i="80"/>
  <c r="I23" i="95" s="1"/>
  <c r="Q25" i="80"/>
  <c r="H23" i="95" s="1"/>
  <c r="AD23" i="80"/>
  <c r="AE23" i="80"/>
  <c r="R23" i="80"/>
  <c r="Q23" i="80"/>
  <c r="AD21" i="80"/>
  <c r="AE21" i="80"/>
  <c r="R21" i="80"/>
  <c r="I26" i="95" s="1"/>
  <c r="Q21" i="80"/>
  <c r="AD19" i="80"/>
  <c r="AE19" i="80"/>
  <c r="R19" i="80"/>
  <c r="I24" i="95" s="1"/>
  <c r="Q19" i="80"/>
  <c r="H24" i="95" s="1"/>
  <c r="AD17" i="80"/>
  <c r="AE17" i="80"/>
  <c r="R17" i="80"/>
  <c r="I22" i="95" s="1"/>
  <c r="Q17" i="80"/>
  <c r="H22" i="95" s="1"/>
  <c r="AD15" i="80"/>
  <c r="AE15" i="80"/>
  <c r="R15" i="80"/>
  <c r="I21" i="95" s="1"/>
  <c r="Q15" i="80"/>
  <c r="H21" i="95" s="1"/>
  <c r="AD13" i="80"/>
  <c r="AE13" i="80"/>
  <c r="R13" i="80"/>
  <c r="I19" i="95" s="1"/>
  <c r="Q13" i="80"/>
  <c r="AD11" i="80"/>
  <c r="AE11" i="80"/>
  <c r="R11" i="80"/>
  <c r="I20" i="95" s="1"/>
  <c r="Q11" i="80"/>
  <c r="H20" i="95" s="1"/>
  <c r="AD9" i="80"/>
  <c r="AE9" i="80"/>
  <c r="R9" i="80"/>
  <c r="I25" i="95" s="1"/>
  <c r="Q9" i="80"/>
  <c r="H25" i="95" s="1"/>
  <c r="R31" i="79"/>
  <c r="I50" i="95" s="1"/>
  <c r="Q31" i="79"/>
  <c r="H50" i="95" s="1"/>
  <c r="R29" i="79"/>
  <c r="I52" i="95" s="1"/>
  <c r="Q29" i="79"/>
  <c r="H52" i="95" s="1"/>
  <c r="R27" i="79"/>
  <c r="I51" i="95" s="1"/>
  <c r="Q27" i="79"/>
  <c r="R25" i="79"/>
  <c r="I46" i="95" s="1"/>
  <c r="Q25" i="79"/>
  <c r="H46" i="95" s="1"/>
  <c r="R23" i="79"/>
  <c r="I48" i="95" s="1"/>
  <c r="Q23" i="79"/>
  <c r="H48" i="95" s="1"/>
  <c r="R21" i="79"/>
  <c r="I47" i="95" s="1"/>
  <c r="Q21" i="79"/>
  <c r="H47" i="95" s="1"/>
  <c r="R19" i="79"/>
  <c r="I42" i="95" s="1"/>
  <c r="Q19" i="79"/>
  <c r="R17" i="79"/>
  <c r="I43" i="95" s="1"/>
  <c r="Q17" i="79"/>
  <c r="H43" i="95" s="1"/>
  <c r="R15" i="79"/>
  <c r="I44" i="95" s="1"/>
  <c r="Q15" i="79"/>
  <c r="H44" i="95" s="1"/>
  <c r="R13" i="79"/>
  <c r="I40" i="95" s="1"/>
  <c r="Q13" i="79"/>
  <c r="H40" i="95" s="1"/>
  <c r="R11" i="79"/>
  <c r="I39" i="95" s="1"/>
  <c r="Q11" i="79"/>
  <c r="H39" i="95" s="1"/>
  <c r="R9" i="79"/>
  <c r="Q9" i="79"/>
  <c r="S23" i="81" l="1"/>
  <c r="S13" i="80"/>
  <c r="H19" i="95"/>
  <c r="AI23" i="80"/>
  <c r="S21" i="80"/>
  <c r="H26" i="95"/>
  <c r="S19" i="79"/>
  <c r="H42" i="95"/>
  <c r="S27" i="79"/>
  <c r="H51" i="95"/>
  <c r="S11" i="79"/>
  <c r="S21" i="79"/>
  <c r="S31" i="81"/>
  <c r="T31" i="81" s="1"/>
  <c r="S32" i="81" s="1"/>
  <c r="S15" i="81"/>
  <c r="AF21" i="80"/>
  <c r="AF23" i="80"/>
  <c r="AG23" i="80" s="1"/>
  <c r="H29" i="92"/>
  <c r="H49" i="91"/>
  <c r="U15" i="79"/>
  <c r="I22" i="92"/>
  <c r="I43" i="91"/>
  <c r="I21" i="92"/>
  <c r="I41" i="91"/>
  <c r="AF11" i="80"/>
  <c r="U11" i="80" s="1"/>
  <c r="H48" i="92"/>
  <c r="H10" i="91"/>
  <c r="I34" i="92"/>
  <c r="I14" i="91"/>
  <c r="AF29" i="80"/>
  <c r="AG29" i="80" s="1"/>
  <c r="S9" i="81"/>
  <c r="H41" i="92"/>
  <c r="H40" i="91"/>
  <c r="S11" i="81"/>
  <c r="H39" i="92"/>
  <c r="H35" i="91"/>
  <c r="H40" i="92"/>
  <c r="H38" i="91"/>
  <c r="I56" i="92"/>
  <c r="I33" i="91"/>
  <c r="I59" i="92"/>
  <c r="I50" i="91"/>
  <c r="I58" i="92"/>
  <c r="I36" i="91"/>
  <c r="AF23" i="81"/>
  <c r="U23" i="81" s="1"/>
  <c r="AF29" i="81"/>
  <c r="AF31" i="81"/>
  <c r="AH31" i="81" s="1"/>
  <c r="I24" i="92"/>
  <c r="I46" i="91"/>
  <c r="S9" i="79"/>
  <c r="H26" i="92"/>
  <c r="H48" i="91"/>
  <c r="I29" i="92"/>
  <c r="I49" i="91"/>
  <c r="I28" i="92"/>
  <c r="I52" i="91"/>
  <c r="S25" i="79"/>
  <c r="H23" i="92"/>
  <c r="H45" i="91"/>
  <c r="H20" i="92"/>
  <c r="H39" i="91"/>
  <c r="S29" i="79"/>
  <c r="S31" i="79"/>
  <c r="H19" i="92"/>
  <c r="H37" i="91"/>
  <c r="S9" i="80"/>
  <c r="H51" i="92"/>
  <c r="H19" i="91"/>
  <c r="AF13" i="80"/>
  <c r="U13" i="80" s="1"/>
  <c r="I48" i="92"/>
  <c r="I10" i="91"/>
  <c r="S17" i="80"/>
  <c r="H33" i="92"/>
  <c r="H12" i="91"/>
  <c r="S19" i="80"/>
  <c r="H35" i="92"/>
  <c r="H16" i="91"/>
  <c r="AF25" i="80"/>
  <c r="AG25" i="80" s="1"/>
  <c r="S27" i="80"/>
  <c r="T27" i="80" s="1"/>
  <c r="S28" i="80" s="1"/>
  <c r="I41" i="92"/>
  <c r="I40" i="91"/>
  <c r="I39" i="92"/>
  <c r="I35" i="91"/>
  <c r="I40" i="92"/>
  <c r="I38" i="91"/>
  <c r="AF15" i="81"/>
  <c r="AF17" i="81"/>
  <c r="AG17" i="81" s="1"/>
  <c r="AI17" i="81" s="1"/>
  <c r="AF19" i="81"/>
  <c r="AH19" i="81" s="1"/>
  <c r="AF21" i="81"/>
  <c r="AG21" i="81" s="1"/>
  <c r="S25" i="81"/>
  <c r="S27" i="81"/>
  <c r="T27" i="81" s="1"/>
  <c r="S28" i="81" s="1"/>
  <c r="S23" i="79"/>
  <c r="H28" i="92"/>
  <c r="H52" i="91"/>
  <c r="I26" i="92"/>
  <c r="I48" i="91"/>
  <c r="S13" i="79"/>
  <c r="S15" i="79"/>
  <c r="H25" i="92"/>
  <c r="H47" i="91"/>
  <c r="H27" i="92"/>
  <c r="H51" i="91"/>
  <c r="U23" i="79"/>
  <c r="I23" i="92"/>
  <c r="I45" i="91"/>
  <c r="I20" i="92"/>
  <c r="I39" i="91"/>
  <c r="I19" i="92"/>
  <c r="I37" i="91"/>
  <c r="I51" i="92"/>
  <c r="I19" i="91"/>
  <c r="S11" i="80"/>
  <c r="H46" i="92"/>
  <c r="H7" i="91"/>
  <c r="H45" i="92"/>
  <c r="H6" i="91"/>
  <c r="S15" i="80"/>
  <c r="I33" i="92"/>
  <c r="I12" i="91"/>
  <c r="I35" i="92"/>
  <c r="I16" i="91"/>
  <c r="H52" i="92"/>
  <c r="H27" i="91"/>
  <c r="AF27" i="80"/>
  <c r="AH27" i="80" s="1"/>
  <c r="AF31" i="80"/>
  <c r="AH31" i="80" s="1"/>
  <c r="AF9" i="81"/>
  <c r="AH9" i="81" s="1"/>
  <c r="AF11" i="81"/>
  <c r="U11" i="81" s="1"/>
  <c r="S13" i="81"/>
  <c r="H57" i="92"/>
  <c r="H34" i="91"/>
  <c r="I25" i="92"/>
  <c r="I47" i="91"/>
  <c r="S17" i="79"/>
  <c r="H24" i="92"/>
  <c r="H46" i="91"/>
  <c r="H22" i="92"/>
  <c r="H43" i="91"/>
  <c r="I27" i="92"/>
  <c r="I51" i="91"/>
  <c r="H21" i="92"/>
  <c r="H41" i="91"/>
  <c r="AF9" i="80"/>
  <c r="AG9" i="80" s="1"/>
  <c r="I46" i="92"/>
  <c r="I7" i="91"/>
  <c r="I45" i="92"/>
  <c r="I6" i="91"/>
  <c r="AF15" i="80"/>
  <c r="U15" i="80" s="1"/>
  <c r="AF17" i="80"/>
  <c r="AH17" i="80" s="1"/>
  <c r="AI17" i="80" s="1"/>
  <c r="AF19" i="80"/>
  <c r="AG19" i="80" s="1"/>
  <c r="I52" i="92"/>
  <c r="I27" i="91"/>
  <c r="S23" i="80"/>
  <c r="S25" i="80"/>
  <c r="H34" i="92"/>
  <c r="H14" i="91"/>
  <c r="S29" i="80"/>
  <c r="T29" i="80" s="1"/>
  <c r="S30" i="80" s="1"/>
  <c r="AF13" i="81"/>
  <c r="U13" i="81" s="1"/>
  <c r="I57" i="92"/>
  <c r="I34" i="91"/>
  <c r="S17" i="81"/>
  <c r="H56" i="92"/>
  <c r="H33" i="91"/>
  <c r="S19" i="81"/>
  <c r="H59" i="92"/>
  <c r="H50" i="91"/>
  <c r="S21" i="81"/>
  <c r="H58" i="92"/>
  <c r="H36" i="91"/>
  <c r="AF25" i="81"/>
  <c r="AG25" i="81" s="1"/>
  <c r="AI25" i="81" s="1"/>
  <c r="AF27" i="81"/>
  <c r="AH27" i="81" s="1"/>
  <c r="S29" i="81"/>
  <c r="T29" i="81" s="1"/>
  <c r="S30" i="81" s="1"/>
  <c r="AG31" i="81"/>
  <c r="U31" i="81"/>
  <c r="AG9" i="81"/>
  <c r="AI9" i="81" s="1"/>
  <c r="U9" i="81"/>
  <c r="AG23" i="81"/>
  <c r="AI23" i="81" s="1"/>
  <c r="AG11" i="81"/>
  <c r="AI11" i="81" s="1"/>
  <c r="AG15" i="81"/>
  <c r="AI15" i="81" s="1"/>
  <c r="U15" i="81"/>
  <c r="AH15" i="81"/>
  <c r="AH17" i="81"/>
  <c r="AG27" i="81"/>
  <c r="AH29" i="81"/>
  <c r="AG29" i="81"/>
  <c r="U29" i="81"/>
  <c r="AH21" i="80"/>
  <c r="AI21" i="80" s="1"/>
  <c r="AG21" i="80"/>
  <c r="U21" i="80"/>
  <c r="AH29" i="80"/>
  <c r="AH11" i="80"/>
  <c r="AI11" i="80" s="1"/>
  <c r="AG11" i="80"/>
  <c r="AG31" i="80"/>
  <c r="U31" i="80"/>
  <c r="AH15" i="80"/>
  <c r="AI15" i="80" s="1"/>
  <c r="U23" i="80"/>
  <c r="AH23" i="80"/>
  <c r="AH25" i="80"/>
  <c r="AI25" i="80" s="1"/>
  <c r="U27" i="80"/>
  <c r="U19" i="79"/>
  <c r="U25" i="79"/>
  <c r="U17" i="79"/>
  <c r="U29" i="79"/>
  <c r="U11" i="79"/>
  <c r="U9" i="79"/>
  <c r="U13" i="79"/>
  <c r="AD31" i="77"/>
  <c r="AE31" i="77"/>
  <c r="R31" i="77"/>
  <c r="Q31" i="77"/>
  <c r="AD29" i="77"/>
  <c r="AE29" i="77"/>
  <c r="R29" i="77"/>
  <c r="I17" i="95" s="1"/>
  <c r="Q29" i="77"/>
  <c r="AD27" i="77"/>
  <c r="AE27" i="77"/>
  <c r="R27" i="77"/>
  <c r="I16" i="95" s="1"/>
  <c r="Q27" i="77"/>
  <c r="H16" i="95" s="1"/>
  <c r="AD25" i="77"/>
  <c r="AE25" i="77"/>
  <c r="R25" i="77"/>
  <c r="I15" i="95" s="1"/>
  <c r="Q25" i="77"/>
  <c r="H15" i="95" s="1"/>
  <c r="AD23" i="77"/>
  <c r="AE23" i="77"/>
  <c r="R23" i="77"/>
  <c r="I14" i="95" s="1"/>
  <c r="Q23" i="77"/>
  <c r="AD21" i="77"/>
  <c r="AE21" i="77"/>
  <c r="R21" i="77"/>
  <c r="I12" i="95" s="1"/>
  <c r="Q21" i="77"/>
  <c r="AD19" i="77"/>
  <c r="AE19" i="77"/>
  <c r="R19" i="77"/>
  <c r="I10" i="95" s="1"/>
  <c r="Q19" i="77"/>
  <c r="H10" i="95" s="1"/>
  <c r="AD17" i="77"/>
  <c r="AE17" i="77"/>
  <c r="R17" i="77"/>
  <c r="I9" i="95" s="1"/>
  <c r="Q17" i="77"/>
  <c r="H9" i="95" s="1"/>
  <c r="AD15" i="77"/>
  <c r="AE15" i="77"/>
  <c r="R15" i="77"/>
  <c r="I11" i="95" s="1"/>
  <c r="Q15" i="77"/>
  <c r="H11" i="95" s="1"/>
  <c r="AD13" i="77"/>
  <c r="AE13" i="77"/>
  <c r="R13" i="77"/>
  <c r="I6" i="95" s="1"/>
  <c r="Q13" i="77"/>
  <c r="H6" i="95" s="1"/>
  <c r="AD11" i="77"/>
  <c r="AE11" i="77"/>
  <c r="R11" i="77"/>
  <c r="Q11" i="77"/>
  <c r="AD9" i="77"/>
  <c r="AE9" i="77"/>
  <c r="R9" i="77"/>
  <c r="I7" i="95" s="1"/>
  <c r="Q9" i="77"/>
  <c r="H7" i="95" s="1"/>
  <c r="AD31" i="18"/>
  <c r="AD29" i="18"/>
  <c r="AD27" i="18"/>
  <c r="AD25" i="18"/>
  <c r="AD23" i="18"/>
  <c r="AD21" i="18"/>
  <c r="AD19" i="18"/>
  <c r="AD17" i="18"/>
  <c r="AD15" i="18"/>
  <c r="AD13" i="18"/>
  <c r="AD11" i="18"/>
  <c r="AE9" i="18"/>
  <c r="AD9" i="18"/>
  <c r="T19" i="81" l="1"/>
  <c r="S20" i="81" s="1"/>
  <c r="T9" i="81"/>
  <c r="S10" i="81" s="1"/>
  <c r="S16" i="81"/>
  <c r="T15" i="81"/>
  <c r="T21" i="81"/>
  <c r="S22" i="81" s="1"/>
  <c r="T13" i="81"/>
  <c r="S14" i="81" s="1"/>
  <c r="T11" i="81"/>
  <c r="S12" i="81" s="1"/>
  <c r="T17" i="81"/>
  <c r="S18" i="81" s="1"/>
  <c r="T25" i="81"/>
  <c r="S26" i="81" s="1"/>
  <c r="S24" i="81"/>
  <c r="T23" i="81"/>
  <c r="T15" i="80"/>
  <c r="S16" i="80" s="1"/>
  <c r="T11" i="80"/>
  <c r="S12" i="80" s="1"/>
  <c r="T17" i="80"/>
  <c r="S18" i="80" s="1"/>
  <c r="T21" i="80"/>
  <c r="S22" i="80" s="1"/>
  <c r="T13" i="80"/>
  <c r="S14" i="80" s="1"/>
  <c r="T25" i="80"/>
  <c r="S26" i="80" s="1"/>
  <c r="T19" i="80"/>
  <c r="S20" i="80" s="1"/>
  <c r="S24" i="80"/>
  <c r="T23" i="80"/>
  <c r="T9" i="80"/>
  <c r="S10" i="80" s="1"/>
  <c r="T21" i="79"/>
  <c r="S22" i="79" s="1"/>
  <c r="T13" i="79"/>
  <c r="S14" i="79" s="1"/>
  <c r="T25" i="79"/>
  <c r="S26" i="79" s="1"/>
  <c r="T17" i="79"/>
  <c r="S18" i="79" s="1"/>
  <c r="T31" i="79"/>
  <c r="S32" i="79" s="1"/>
  <c r="T9" i="79"/>
  <c r="S10" i="79" s="1"/>
  <c r="T27" i="79"/>
  <c r="S28" i="79" s="1"/>
  <c r="T15" i="79"/>
  <c r="S16" i="79" s="1"/>
  <c r="T23" i="79"/>
  <c r="S24" i="79" s="1"/>
  <c r="T29" i="79"/>
  <c r="S30" i="79" s="1"/>
  <c r="T11" i="79"/>
  <c r="S12" i="79" s="1"/>
  <c r="T19" i="79"/>
  <c r="S20" i="79" s="1"/>
  <c r="AH23" i="81"/>
  <c r="AH21" i="81"/>
  <c r="AI21" i="81" s="1"/>
  <c r="U21" i="81" s="1"/>
  <c r="U21" i="79"/>
  <c r="S21" i="77"/>
  <c r="H12" i="95"/>
  <c r="S23" i="77"/>
  <c r="H14" i="95"/>
  <c r="S29" i="77"/>
  <c r="H17" i="95"/>
  <c r="AH9" i="80"/>
  <c r="AI9" i="80" s="1"/>
  <c r="AH11" i="81"/>
  <c r="U9" i="80"/>
  <c r="U27" i="79"/>
  <c r="AG27" i="80"/>
  <c r="AH25" i="81"/>
  <c r="U25" i="80"/>
  <c r="U19" i="81"/>
  <c r="AG19" i="81"/>
  <c r="AI19" i="81" s="1"/>
  <c r="AH19" i="80"/>
  <c r="AI19" i="80" s="1"/>
  <c r="U17" i="81"/>
  <c r="AG17" i="80"/>
  <c r="AH13" i="81"/>
  <c r="AG13" i="81"/>
  <c r="AI13" i="81" s="1"/>
  <c r="U27" i="81"/>
  <c r="U25" i="81"/>
  <c r="AG15" i="80"/>
  <c r="U29" i="80"/>
  <c r="AG13" i="80"/>
  <c r="AH13" i="80"/>
  <c r="AI13" i="80" s="1"/>
  <c r="U17" i="80"/>
  <c r="U19" i="80"/>
  <c r="U31" i="79"/>
  <c r="I13" i="92"/>
  <c r="I24" i="91"/>
  <c r="I11" i="92"/>
  <c r="I22" i="91"/>
  <c r="I12" i="92"/>
  <c r="I23" i="91"/>
  <c r="AF15" i="77"/>
  <c r="U15" i="77" s="1"/>
  <c r="AF21" i="77"/>
  <c r="U21" i="77" s="1"/>
  <c r="I6" i="92"/>
  <c r="I13" i="91"/>
  <c r="AF23" i="77"/>
  <c r="AG23" i="77" s="1"/>
  <c r="AF29" i="77"/>
  <c r="AF9" i="77"/>
  <c r="AG9" i="77" s="1"/>
  <c r="AF11" i="77"/>
  <c r="AH11" i="77" s="1"/>
  <c r="AI11" i="77" s="1"/>
  <c r="AF13" i="77"/>
  <c r="AG13" i="77" s="1"/>
  <c r="S15" i="77"/>
  <c r="H8" i="92"/>
  <c r="H18" i="91"/>
  <c r="S19" i="77"/>
  <c r="H9" i="92"/>
  <c r="H20" i="91"/>
  <c r="H15" i="92"/>
  <c r="H26" i="91"/>
  <c r="S25" i="77"/>
  <c r="H7" i="92"/>
  <c r="H17" i="91"/>
  <c r="H10" i="92"/>
  <c r="H21" i="91"/>
  <c r="H14" i="92"/>
  <c r="H25" i="91"/>
  <c r="S31" i="77"/>
  <c r="I18" i="91"/>
  <c r="I8" i="92"/>
  <c r="I9" i="92"/>
  <c r="I20" i="91"/>
  <c r="I15" i="92"/>
  <c r="I26" i="91"/>
  <c r="I17" i="91"/>
  <c r="I7" i="92"/>
  <c r="I10" i="92"/>
  <c r="I21" i="91"/>
  <c r="I14" i="92"/>
  <c r="I25" i="91"/>
  <c r="AF31" i="77"/>
  <c r="AH31" i="77" s="1"/>
  <c r="AI31" i="77" s="1"/>
  <c r="H13" i="92"/>
  <c r="H24" i="91"/>
  <c r="S11" i="77"/>
  <c r="H11" i="92"/>
  <c r="H22" i="91"/>
  <c r="H23" i="91"/>
  <c r="H12" i="92"/>
  <c r="AF17" i="77"/>
  <c r="AG17" i="77" s="1"/>
  <c r="AF19" i="77"/>
  <c r="AG19" i="77" s="1"/>
  <c r="H6" i="92"/>
  <c r="H13" i="91"/>
  <c r="AF25" i="77"/>
  <c r="AH25" i="77" s="1"/>
  <c r="AI25" i="77" s="1"/>
  <c r="AF27" i="77"/>
  <c r="AG27" i="77" s="1"/>
  <c r="AF9" i="18"/>
  <c r="AH9" i="18" s="1"/>
  <c r="AI9" i="18" s="1"/>
  <c r="S27" i="77"/>
  <c r="S9" i="77"/>
  <c r="S17" i="77"/>
  <c r="S13" i="77"/>
  <c r="AH29" i="77"/>
  <c r="AI29" i="77" s="1"/>
  <c r="AG29" i="77"/>
  <c r="U29" i="77"/>
  <c r="T9" i="77" l="1"/>
  <c r="S10" i="77" s="1"/>
  <c r="T25" i="77"/>
  <c r="S26" i="77" s="1"/>
  <c r="T15" i="77"/>
  <c r="S16" i="77" s="1"/>
  <c r="T29" i="77"/>
  <c r="S30" i="77" s="1"/>
  <c r="T21" i="77"/>
  <c r="S22" i="77" s="1"/>
  <c r="T27" i="77"/>
  <c r="S28" i="77" s="1"/>
  <c r="T11" i="77"/>
  <c r="S12" i="77" s="1"/>
  <c r="T31" i="77"/>
  <c r="S32" i="77" s="1"/>
  <c r="T19" i="77"/>
  <c r="S20" i="77" s="1"/>
  <c r="T13" i="77"/>
  <c r="S14" i="77" s="1"/>
  <c r="T23" i="77"/>
  <c r="S24" i="77" s="1"/>
  <c r="T17" i="77"/>
  <c r="S18" i="77" s="1"/>
  <c r="AH17" i="77"/>
  <c r="AI17" i="77" s="1"/>
  <c r="AH9" i="77"/>
  <c r="AI9" i="77" s="1"/>
  <c r="U9" i="77" s="1"/>
  <c r="AG25" i="77"/>
  <c r="U19" i="77"/>
  <c r="AH23" i="77"/>
  <c r="AI23" i="77" s="1"/>
  <c r="U25" i="77"/>
  <c r="AH19" i="77"/>
  <c r="AI19" i="77" s="1"/>
  <c r="AG15" i="77"/>
  <c r="AG21" i="77"/>
  <c r="AH13" i="77"/>
  <c r="AI13" i="77" s="1"/>
  <c r="U11" i="77"/>
  <c r="AG31" i="77"/>
  <c r="AH27" i="77"/>
  <c r="AI27" i="77" s="1"/>
  <c r="AH15" i="77"/>
  <c r="AI15" i="77" s="1"/>
  <c r="AG11" i="77"/>
  <c r="U23" i="77"/>
  <c r="AH21" i="77"/>
  <c r="AI21" i="77" s="1"/>
  <c r="U31" i="77"/>
  <c r="AG9" i="18"/>
  <c r="U27" i="77"/>
  <c r="U17" i="77"/>
  <c r="U13" i="77"/>
  <c r="K3" i="61" l="1"/>
  <c r="K3" i="28"/>
  <c r="K3" i="29"/>
  <c r="K3" i="27"/>
  <c r="C3" i="29"/>
  <c r="C3" i="28"/>
  <c r="C3" i="61"/>
  <c r="C3" i="27"/>
  <c r="K3" i="26"/>
  <c r="C3" i="26"/>
  <c r="R23" i="18" l="1"/>
  <c r="I64" i="95" s="1"/>
  <c r="Q23" i="18"/>
  <c r="H64" i="95" s="1"/>
  <c r="R15" i="18"/>
  <c r="I32" i="95" s="1"/>
  <c r="Q15" i="18"/>
  <c r="S15" i="18" l="1"/>
  <c r="H32" i="95"/>
  <c r="H44" i="91"/>
  <c r="I44" i="91"/>
  <c r="I8" i="91"/>
  <c r="H8" i="91"/>
  <c r="S23" i="18"/>
  <c r="T23" i="18" l="1"/>
  <c r="S24" i="18" s="1"/>
  <c r="T15" i="18"/>
  <c r="S16" i="18" s="1"/>
  <c r="C30" i="26"/>
  <c r="C28" i="26"/>
  <c r="C26" i="26"/>
  <c r="C24" i="26"/>
  <c r="C22" i="26"/>
  <c r="C20" i="26"/>
  <c r="C18" i="26"/>
  <c r="C16" i="26"/>
  <c r="C14" i="26"/>
  <c r="C12" i="26"/>
  <c r="C10" i="26"/>
  <c r="O30" i="61" l="1"/>
  <c r="N29" i="61"/>
  <c r="X31" i="79" s="1"/>
  <c r="L50" i="95" s="1"/>
  <c r="K29" i="61"/>
  <c r="W31" i="79" s="1"/>
  <c r="K50" i="95" s="1"/>
  <c r="G29" i="61"/>
  <c r="V31" i="79" s="1"/>
  <c r="J50" i="95" s="1"/>
  <c r="O28" i="61"/>
  <c r="N27" i="61"/>
  <c r="X29" i="79" s="1"/>
  <c r="L52" i="95" s="1"/>
  <c r="K27" i="61"/>
  <c r="W29" i="79" s="1"/>
  <c r="K52" i="95" s="1"/>
  <c r="G27" i="61"/>
  <c r="V29" i="79" s="1"/>
  <c r="J52" i="95" s="1"/>
  <c r="O26" i="61"/>
  <c r="N25" i="61"/>
  <c r="X27" i="79" s="1"/>
  <c r="L51" i="95" s="1"/>
  <c r="K25" i="61"/>
  <c r="W27" i="79" s="1"/>
  <c r="K51" i="95" s="1"/>
  <c r="G25" i="61"/>
  <c r="V27" i="79" s="1"/>
  <c r="J51" i="95" s="1"/>
  <c r="O24" i="61"/>
  <c r="N23" i="61"/>
  <c r="X25" i="79" s="1"/>
  <c r="L46" i="95" s="1"/>
  <c r="K23" i="61"/>
  <c r="W25" i="79" s="1"/>
  <c r="K46" i="95" s="1"/>
  <c r="G23" i="61"/>
  <c r="V25" i="79" s="1"/>
  <c r="J46" i="95" s="1"/>
  <c r="O22" i="61"/>
  <c r="N21" i="61"/>
  <c r="X23" i="79" s="1"/>
  <c r="L48" i="95" s="1"/>
  <c r="K21" i="61"/>
  <c r="W23" i="79" s="1"/>
  <c r="K48" i="95" s="1"/>
  <c r="G21" i="61"/>
  <c r="V23" i="79" s="1"/>
  <c r="J48" i="95" s="1"/>
  <c r="O20" i="61"/>
  <c r="N19" i="61"/>
  <c r="X21" i="79" s="1"/>
  <c r="L47" i="95" s="1"/>
  <c r="K19" i="61"/>
  <c r="W21" i="79" s="1"/>
  <c r="K47" i="95" s="1"/>
  <c r="G19" i="61"/>
  <c r="V21" i="79" s="1"/>
  <c r="J47" i="95" s="1"/>
  <c r="O18" i="61"/>
  <c r="N17" i="61"/>
  <c r="X19" i="79" s="1"/>
  <c r="L42" i="95" s="1"/>
  <c r="K17" i="61"/>
  <c r="W19" i="79" s="1"/>
  <c r="K42" i="95" s="1"/>
  <c r="G17" i="61"/>
  <c r="V19" i="79" s="1"/>
  <c r="J42" i="95" s="1"/>
  <c r="O16" i="61"/>
  <c r="N15" i="61"/>
  <c r="X17" i="79" s="1"/>
  <c r="L43" i="95" s="1"/>
  <c r="K15" i="61"/>
  <c r="W17" i="79" s="1"/>
  <c r="K43" i="95" s="1"/>
  <c r="G15" i="61"/>
  <c r="V17" i="79" s="1"/>
  <c r="J43" i="95" s="1"/>
  <c r="O14" i="61"/>
  <c r="N13" i="61"/>
  <c r="X15" i="79" s="1"/>
  <c r="L44" i="95" s="1"/>
  <c r="K13" i="61"/>
  <c r="W15" i="79" s="1"/>
  <c r="K44" i="95" s="1"/>
  <c r="G13" i="61"/>
  <c r="V15" i="79" s="1"/>
  <c r="J44" i="95" s="1"/>
  <c r="O12" i="61"/>
  <c r="N11" i="61"/>
  <c r="X13" i="79" s="1"/>
  <c r="L40" i="95" s="1"/>
  <c r="K11" i="61"/>
  <c r="W13" i="79" s="1"/>
  <c r="K40" i="95" s="1"/>
  <c r="G11" i="61"/>
  <c r="V13" i="79" s="1"/>
  <c r="J40" i="95" s="1"/>
  <c r="O10" i="61"/>
  <c r="N9" i="61"/>
  <c r="X11" i="79" s="1"/>
  <c r="L39" i="95" s="1"/>
  <c r="K9" i="61"/>
  <c r="W11" i="79" s="1"/>
  <c r="K39" i="95" s="1"/>
  <c r="G9" i="61"/>
  <c r="V11" i="79" s="1"/>
  <c r="J39" i="95" s="1"/>
  <c r="O8" i="61"/>
  <c r="N7" i="61"/>
  <c r="X9" i="79" s="1"/>
  <c r="K7" i="61"/>
  <c r="W9" i="79" s="1"/>
  <c r="G7" i="61"/>
  <c r="V9" i="79" s="1"/>
  <c r="F3" i="61"/>
  <c r="C2" i="61"/>
  <c r="W14" i="79" l="1"/>
  <c r="K29" i="92"/>
  <c r="K49" i="91"/>
  <c r="W18" i="79"/>
  <c r="K24" i="92"/>
  <c r="K46" i="91"/>
  <c r="J24" i="92"/>
  <c r="J46" i="91"/>
  <c r="J22" i="92"/>
  <c r="J43" i="91"/>
  <c r="J27" i="92"/>
  <c r="J51" i="91"/>
  <c r="J28" i="92"/>
  <c r="J52" i="91"/>
  <c r="J23" i="92"/>
  <c r="J45" i="91"/>
  <c r="J20" i="92"/>
  <c r="J39" i="91"/>
  <c r="J21" i="92"/>
  <c r="J41" i="91"/>
  <c r="J19" i="92"/>
  <c r="J37" i="91"/>
  <c r="J29" i="92"/>
  <c r="J49" i="91"/>
  <c r="W12" i="79"/>
  <c r="K26" i="92"/>
  <c r="K48" i="91"/>
  <c r="W16" i="79"/>
  <c r="K25" i="92"/>
  <c r="K47" i="91"/>
  <c r="W20" i="79"/>
  <c r="K22" i="92"/>
  <c r="K43" i="91"/>
  <c r="W22" i="79"/>
  <c r="K27" i="92"/>
  <c r="K51" i="91"/>
  <c r="W24" i="79"/>
  <c r="K28" i="92"/>
  <c r="K52" i="91"/>
  <c r="W26" i="79"/>
  <c r="K23" i="92"/>
  <c r="K45" i="91"/>
  <c r="W28" i="79"/>
  <c r="K20" i="92"/>
  <c r="K39" i="91"/>
  <c r="W30" i="79"/>
  <c r="K21" i="92"/>
  <c r="K41" i="91"/>
  <c r="W32" i="79"/>
  <c r="K19" i="92"/>
  <c r="K37" i="91"/>
  <c r="J26" i="92"/>
  <c r="J48" i="91"/>
  <c r="L29" i="92"/>
  <c r="L49" i="91"/>
  <c r="L22" i="92"/>
  <c r="L43" i="91"/>
  <c r="L19" i="92"/>
  <c r="L37" i="91"/>
  <c r="J25" i="92"/>
  <c r="J47" i="91"/>
  <c r="L26" i="92"/>
  <c r="L48" i="91"/>
  <c r="L25" i="92"/>
  <c r="L47" i="91"/>
  <c r="L24" i="92"/>
  <c r="L46" i="91"/>
  <c r="L27" i="92"/>
  <c r="L51" i="91"/>
  <c r="L28" i="92"/>
  <c r="L52" i="91"/>
  <c r="L23" i="92"/>
  <c r="L45" i="91"/>
  <c r="L20" i="92"/>
  <c r="L39" i="91"/>
  <c r="L21" i="92"/>
  <c r="L41" i="91"/>
  <c r="W10" i="79"/>
  <c r="V12" i="79"/>
  <c r="V14" i="79"/>
  <c r="V16" i="79"/>
  <c r="V18" i="79"/>
  <c r="V20" i="79"/>
  <c r="V22" i="79"/>
  <c r="V24" i="79"/>
  <c r="V26" i="79"/>
  <c r="V28" i="79"/>
  <c r="V30" i="79"/>
  <c r="V32" i="79"/>
  <c r="X10" i="79"/>
  <c r="X14" i="79"/>
  <c r="X18" i="79"/>
  <c r="X22" i="79"/>
  <c r="X24" i="79"/>
  <c r="X26" i="79"/>
  <c r="X28" i="79"/>
  <c r="X30" i="79"/>
  <c r="X32" i="79"/>
  <c r="V10" i="79"/>
  <c r="X12" i="79"/>
  <c r="X16" i="79"/>
  <c r="X20" i="79"/>
  <c r="AE31" i="18"/>
  <c r="R31" i="18"/>
  <c r="I35" i="95" s="1"/>
  <c r="Q31" i="18"/>
  <c r="H35" i="95" s="1"/>
  <c r="AE29" i="18"/>
  <c r="R29" i="18"/>
  <c r="Q29" i="18"/>
  <c r="AE27" i="18"/>
  <c r="R27" i="18"/>
  <c r="Q27" i="18"/>
  <c r="AE25" i="18"/>
  <c r="R25" i="18"/>
  <c r="Q25" i="18"/>
  <c r="AE23" i="18"/>
  <c r="AE21" i="18"/>
  <c r="R21" i="18"/>
  <c r="I63" i="95" s="1"/>
  <c r="Q21" i="18"/>
  <c r="H63" i="95" s="1"/>
  <c r="AE19" i="18"/>
  <c r="R19" i="18"/>
  <c r="I34" i="95" s="1"/>
  <c r="Q19" i="18"/>
  <c r="H34" i="95" s="1"/>
  <c r="AE17" i="18"/>
  <c r="R17" i="18"/>
  <c r="I33" i="95" s="1"/>
  <c r="Q17" i="18"/>
  <c r="H33" i="95" s="1"/>
  <c r="AE15" i="18"/>
  <c r="AE13" i="18"/>
  <c r="R13" i="18"/>
  <c r="I28" i="95" s="1"/>
  <c r="Q13" i="18"/>
  <c r="H28" i="95" s="1"/>
  <c r="AE11" i="18"/>
  <c r="R11" i="18"/>
  <c r="I30" i="95" s="1"/>
  <c r="Q11" i="18"/>
  <c r="H30" i="95" s="1"/>
  <c r="R9" i="18"/>
  <c r="I29" i="95" s="1"/>
  <c r="Q9" i="18"/>
  <c r="H29" i="95" s="1"/>
  <c r="Z10" i="79" l="1"/>
  <c r="Z26" i="79"/>
  <c r="M46" i="95" s="1"/>
  <c r="Z18" i="79"/>
  <c r="M43" i="95" s="1"/>
  <c r="Z30" i="79"/>
  <c r="M52" i="95" s="1"/>
  <c r="Z22" i="79"/>
  <c r="M47" i="95" s="1"/>
  <c r="Z14" i="79"/>
  <c r="M40" i="95" s="1"/>
  <c r="Z28" i="79"/>
  <c r="M51" i="95" s="1"/>
  <c r="Z24" i="79"/>
  <c r="M48" i="95" s="1"/>
  <c r="Z16" i="79"/>
  <c r="M44" i="95" s="1"/>
  <c r="Z12" i="79"/>
  <c r="M39" i="95" s="1"/>
  <c r="Z32" i="79"/>
  <c r="M50" i="95" s="1"/>
  <c r="Z20" i="79"/>
  <c r="M42" i="95" s="1"/>
  <c r="H28" i="91"/>
  <c r="I42" i="91"/>
  <c r="AF27" i="18"/>
  <c r="I28" i="91"/>
  <c r="AF21" i="18"/>
  <c r="AH21" i="18" s="1"/>
  <c r="AF25" i="18"/>
  <c r="AG25" i="18" s="1"/>
  <c r="AI25" i="18" s="1"/>
  <c r="AF19" i="18"/>
  <c r="AG19" i="18" s="1"/>
  <c r="AF23" i="18"/>
  <c r="AG23" i="18" s="1"/>
  <c r="AF31" i="18"/>
  <c r="AH31" i="18" s="1"/>
  <c r="H42" i="91"/>
  <c r="AF29" i="18"/>
  <c r="I29" i="91"/>
  <c r="H29" i="91"/>
  <c r="AF17" i="18"/>
  <c r="H9" i="91"/>
  <c r="H47" i="92"/>
  <c r="I47" i="92"/>
  <c r="I9" i="91"/>
  <c r="AF13" i="18"/>
  <c r="AG13" i="18" s="1"/>
  <c r="S9" i="18"/>
  <c r="T9" i="18" s="1"/>
  <c r="AF15" i="18"/>
  <c r="AH15" i="18" s="1"/>
  <c r="AF11" i="18"/>
  <c r="I15" i="91"/>
  <c r="I50" i="92"/>
  <c r="H50" i="92"/>
  <c r="H15" i="91"/>
  <c r="I49" i="92"/>
  <c r="I11" i="91"/>
  <c r="H11" i="91"/>
  <c r="H49" i="92"/>
  <c r="Y10" i="79"/>
  <c r="Y28" i="79"/>
  <c r="Y26" i="79"/>
  <c r="Y24" i="79"/>
  <c r="Y18" i="79"/>
  <c r="Y16" i="79"/>
  <c r="Y12" i="79"/>
  <c r="Y32" i="79"/>
  <c r="Y30" i="79"/>
  <c r="Y22" i="79"/>
  <c r="Y20" i="79"/>
  <c r="Y14" i="79"/>
  <c r="S27" i="18"/>
  <c r="S25" i="18"/>
  <c r="S31" i="18"/>
  <c r="T31" i="18" s="1"/>
  <c r="S32" i="18" s="1"/>
  <c r="S29" i="18"/>
  <c r="S13" i="18"/>
  <c r="T13" i="18" s="1"/>
  <c r="S17" i="18"/>
  <c r="S19" i="18"/>
  <c r="S21" i="18"/>
  <c r="S11" i="18"/>
  <c r="T11" i="18" s="1"/>
  <c r="T21" i="18" l="1"/>
  <c r="S22" i="18" s="1"/>
  <c r="T29" i="18"/>
  <c r="S30" i="18" s="1"/>
  <c r="T19" i="18"/>
  <c r="S20" i="18" s="1"/>
  <c r="T17" i="18"/>
  <c r="S18" i="18" s="1"/>
  <c r="T25" i="18"/>
  <c r="S26" i="18" s="1"/>
  <c r="T27" i="18"/>
  <c r="S28" i="18" s="1"/>
  <c r="U29" i="18"/>
  <c r="AH19" i="18"/>
  <c r="AI19" i="18" s="1"/>
  <c r="U19" i="18" s="1"/>
  <c r="AG31" i="18"/>
  <c r="AI31" i="18" s="1"/>
  <c r="AG29" i="18"/>
  <c r="AI29" i="18" s="1"/>
  <c r="AH29" i="18"/>
  <c r="AG27" i="18"/>
  <c r="AI27" i="18" s="1"/>
  <c r="U27" i="18" s="1"/>
  <c r="AH27" i="18"/>
  <c r="U25" i="18"/>
  <c r="AG21" i="18"/>
  <c r="AI21" i="18" s="1"/>
  <c r="AH25" i="18"/>
  <c r="AG11" i="18"/>
  <c r="U31" i="18"/>
  <c r="AH11" i="18"/>
  <c r="AH23" i="18"/>
  <c r="AI23" i="18" s="1"/>
  <c r="U23" i="18" s="1"/>
  <c r="M49" i="91"/>
  <c r="M48" i="91"/>
  <c r="AH13" i="18"/>
  <c r="AI13" i="18" s="1"/>
  <c r="U13" i="18" s="1"/>
  <c r="AG15" i="18"/>
  <c r="AI15" i="18" s="1"/>
  <c r="U15" i="18" s="1"/>
  <c r="S14" i="18"/>
  <c r="AH17" i="18"/>
  <c r="AG17" i="18"/>
  <c r="S12" i="18"/>
  <c r="M19" i="92"/>
  <c r="M37" i="91"/>
  <c r="M41" i="91"/>
  <c r="M21" i="92"/>
  <c r="M39" i="91"/>
  <c r="M20" i="92"/>
  <c r="M23" i="92"/>
  <c r="M45" i="91"/>
  <c r="M28" i="92"/>
  <c r="M52" i="91"/>
  <c r="M51" i="91"/>
  <c r="M27" i="92"/>
  <c r="M43" i="91"/>
  <c r="M22" i="92"/>
  <c r="M24" i="92"/>
  <c r="M46" i="91"/>
  <c r="M25" i="92"/>
  <c r="M47" i="91"/>
  <c r="M29" i="92"/>
  <c r="M26" i="92"/>
  <c r="S10" i="18"/>
  <c r="U21" i="18" l="1"/>
  <c r="AI17" i="18"/>
  <c r="U17" i="18" s="1"/>
  <c r="AI11" i="18"/>
  <c r="U11" i="18" s="1"/>
  <c r="U9" i="18"/>
  <c r="G7" i="26" l="1"/>
  <c r="V9" i="18" s="1"/>
  <c r="J29" i="95" s="1"/>
  <c r="K7" i="26"/>
  <c r="W9" i="18" s="1"/>
  <c r="K29" i="95" s="1"/>
  <c r="N7" i="26"/>
  <c r="X9" i="18" s="1"/>
  <c r="L29" i="95" s="1"/>
  <c r="G29" i="29"/>
  <c r="V31" i="81" s="1"/>
  <c r="K29" i="29"/>
  <c r="W31" i="81" s="1"/>
  <c r="N29" i="29"/>
  <c r="X31" i="81" s="1"/>
  <c r="G27" i="29"/>
  <c r="V29" i="81" s="1"/>
  <c r="K27" i="29"/>
  <c r="W29" i="81" s="1"/>
  <c r="N27" i="29"/>
  <c r="X29" i="81" s="1"/>
  <c r="G25" i="29"/>
  <c r="V27" i="81" s="1"/>
  <c r="K25" i="29"/>
  <c r="W27" i="81" s="1"/>
  <c r="N25" i="29"/>
  <c r="X27" i="81" s="1"/>
  <c r="G23" i="29"/>
  <c r="V25" i="81" s="1"/>
  <c r="K23" i="29"/>
  <c r="W25" i="81" s="1"/>
  <c r="N23" i="29"/>
  <c r="X25" i="81" s="1"/>
  <c r="G21" i="29"/>
  <c r="V23" i="81" s="1"/>
  <c r="K21" i="29"/>
  <c r="W23" i="81" s="1"/>
  <c r="N21" i="29"/>
  <c r="X23" i="81" s="1"/>
  <c r="G19" i="29"/>
  <c r="V21" i="81" s="1"/>
  <c r="J60" i="95" s="1"/>
  <c r="K19" i="29"/>
  <c r="W21" i="81" s="1"/>
  <c r="K60" i="95" s="1"/>
  <c r="N19" i="29"/>
  <c r="X21" i="81" s="1"/>
  <c r="L60" i="95" s="1"/>
  <c r="G17" i="29"/>
  <c r="V19" i="81" s="1"/>
  <c r="J61" i="95" s="1"/>
  <c r="K17" i="29"/>
  <c r="W19" i="81" s="1"/>
  <c r="K61" i="95" s="1"/>
  <c r="N17" i="29"/>
  <c r="X19" i="81" s="1"/>
  <c r="L61" i="95" s="1"/>
  <c r="G15" i="29"/>
  <c r="V17" i="81" s="1"/>
  <c r="J58" i="95" s="1"/>
  <c r="K15" i="29"/>
  <c r="W17" i="81" s="1"/>
  <c r="K58" i="95" s="1"/>
  <c r="N15" i="29"/>
  <c r="X17" i="81" s="1"/>
  <c r="L58" i="95" s="1"/>
  <c r="G13" i="29"/>
  <c r="V15" i="81" s="1"/>
  <c r="J59" i="95" s="1"/>
  <c r="K13" i="29"/>
  <c r="W15" i="81" s="1"/>
  <c r="K59" i="95" s="1"/>
  <c r="N13" i="29"/>
  <c r="X15" i="81" s="1"/>
  <c r="L59" i="95" s="1"/>
  <c r="G11" i="29"/>
  <c r="V13" i="81" s="1"/>
  <c r="J55" i="95" s="1"/>
  <c r="K11" i="29"/>
  <c r="W13" i="81" s="1"/>
  <c r="K55" i="95" s="1"/>
  <c r="N11" i="29"/>
  <c r="X13" i="81" s="1"/>
  <c r="L55" i="95" s="1"/>
  <c r="G9" i="29"/>
  <c r="V11" i="81" s="1"/>
  <c r="J54" i="95" s="1"/>
  <c r="K9" i="29"/>
  <c r="W11" i="81" s="1"/>
  <c r="K54" i="95" s="1"/>
  <c r="N9" i="29"/>
  <c r="X11" i="81" s="1"/>
  <c r="L54" i="95" s="1"/>
  <c r="G7" i="29"/>
  <c r="V9" i="81" s="1"/>
  <c r="J56" i="95" s="1"/>
  <c r="K7" i="29"/>
  <c r="W9" i="81" s="1"/>
  <c r="K56" i="95" s="1"/>
  <c r="N7" i="29"/>
  <c r="X9" i="81" s="1"/>
  <c r="L56" i="95" s="1"/>
  <c r="G29" i="27"/>
  <c r="V31" i="77" s="1"/>
  <c r="K29" i="27"/>
  <c r="W31" i="77" s="1"/>
  <c r="N29" i="27"/>
  <c r="X31" i="77" s="1"/>
  <c r="G27" i="27"/>
  <c r="V29" i="77" s="1"/>
  <c r="J17" i="95" s="1"/>
  <c r="K27" i="27"/>
  <c r="W29" i="77" s="1"/>
  <c r="K17" i="95" s="1"/>
  <c r="N27" i="27"/>
  <c r="X29" i="77" s="1"/>
  <c r="L17" i="95" s="1"/>
  <c r="G25" i="27"/>
  <c r="V27" i="77" s="1"/>
  <c r="J16" i="95" s="1"/>
  <c r="K25" i="27"/>
  <c r="W27" i="77" s="1"/>
  <c r="K16" i="95" s="1"/>
  <c r="N25" i="27"/>
  <c r="X27" i="77" s="1"/>
  <c r="L16" i="95" s="1"/>
  <c r="G23" i="27"/>
  <c r="V25" i="77" s="1"/>
  <c r="J15" i="95" s="1"/>
  <c r="K23" i="27"/>
  <c r="W25" i="77" s="1"/>
  <c r="K15" i="95" s="1"/>
  <c r="N23" i="27"/>
  <c r="X25" i="77" s="1"/>
  <c r="L15" i="95" s="1"/>
  <c r="G21" i="27"/>
  <c r="V23" i="77" s="1"/>
  <c r="J14" i="95" s="1"/>
  <c r="K21" i="27"/>
  <c r="W23" i="77" s="1"/>
  <c r="K14" i="95" s="1"/>
  <c r="N21" i="27"/>
  <c r="X23" i="77" s="1"/>
  <c r="L14" i="95" s="1"/>
  <c r="G19" i="27"/>
  <c r="V21" i="77" s="1"/>
  <c r="J12" i="95" s="1"/>
  <c r="K19" i="27"/>
  <c r="W21" i="77" s="1"/>
  <c r="K12" i="95" s="1"/>
  <c r="N19" i="27"/>
  <c r="X21" i="77" s="1"/>
  <c r="L12" i="95" s="1"/>
  <c r="G17" i="27"/>
  <c r="V19" i="77" s="1"/>
  <c r="J10" i="95" s="1"/>
  <c r="K17" i="27"/>
  <c r="W19" i="77" s="1"/>
  <c r="K10" i="95" s="1"/>
  <c r="N17" i="27"/>
  <c r="X19" i="77" s="1"/>
  <c r="L10" i="95" s="1"/>
  <c r="G15" i="27"/>
  <c r="V17" i="77" s="1"/>
  <c r="J9" i="95" s="1"/>
  <c r="K15" i="27"/>
  <c r="W17" i="77" s="1"/>
  <c r="K9" i="95" s="1"/>
  <c r="N15" i="27"/>
  <c r="X17" i="77" s="1"/>
  <c r="L9" i="95" s="1"/>
  <c r="G13" i="27"/>
  <c r="V15" i="77" s="1"/>
  <c r="J11" i="95" s="1"/>
  <c r="K13" i="27"/>
  <c r="W15" i="77" s="1"/>
  <c r="K11" i="95" s="1"/>
  <c r="N13" i="27"/>
  <c r="X15" i="77" s="1"/>
  <c r="L11" i="95" s="1"/>
  <c r="G11" i="27"/>
  <c r="V13" i="77" s="1"/>
  <c r="J6" i="95" s="1"/>
  <c r="K11" i="27"/>
  <c r="W13" i="77" s="1"/>
  <c r="K6" i="95" s="1"/>
  <c r="N11" i="27"/>
  <c r="X13" i="77" s="1"/>
  <c r="L6" i="95" s="1"/>
  <c r="G9" i="27"/>
  <c r="V11" i="77" s="1"/>
  <c r="K9" i="27"/>
  <c r="W11" i="77" s="1"/>
  <c r="N9" i="27"/>
  <c r="X11" i="77" s="1"/>
  <c r="G7" i="27"/>
  <c r="V9" i="77" s="1"/>
  <c r="J7" i="95" s="1"/>
  <c r="K7" i="27"/>
  <c r="W9" i="77" s="1"/>
  <c r="K7" i="95" s="1"/>
  <c r="N7" i="27"/>
  <c r="X9" i="77" s="1"/>
  <c r="L7" i="95" s="1"/>
  <c r="G29" i="28"/>
  <c r="V31" i="80" s="1"/>
  <c r="K29" i="28"/>
  <c r="W31" i="80" s="1"/>
  <c r="N29" i="28"/>
  <c r="X31" i="80" s="1"/>
  <c r="G27" i="28"/>
  <c r="V29" i="80" s="1"/>
  <c r="K27" i="28"/>
  <c r="W29" i="80" s="1"/>
  <c r="N27" i="28"/>
  <c r="X29" i="80" s="1"/>
  <c r="G25" i="28"/>
  <c r="V27" i="80" s="1"/>
  <c r="K25" i="28"/>
  <c r="W27" i="80" s="1"/>
  <c r="N25" i="28"/>
  <c r="X27" i="80" s="1"/>
  <c r="G23" i="28"/>
  <c r="V25" i="80" s="1"/>
  <c r="J23" i="95" s="1"/>
  <c r="K23" i="28"/>
  <c r="W25" i="80" s="1"/>
  <c r="K23" i="95" s="1"/>
  <c r="N23" i="28"/>
  <c r="X25" i="80" s="1"/>
  <c r="L23" i="95" s="1"/>
  <c r="G21" i="28"/>
  <c r="V23" i="80" s="1"/>
  <c r="K21" i="28"/>
  <c r="W23" i="80" s="1"/>
  <c r="N21" i="28"/>
  <c r="X23" i="80" s="1"/>
  <c r="G19" i="28"/>
  <c r="V21" i="80" s="1"/>
  <c r="J26" i="95" s="1"/>
  <c r="K19" i="28"/>
  <c r="W21" i="80" s="1"/>
  <c r="K26" i="95" s="1"/>
  <c r="N19" i="28"/>
  <c r="X21" i="80" s="1"/>
  <c r="L26" i="95" s="1"/>
  <c r="G17" i="28"/>
  <c r="V19" i="80" s="1"/>
  <c r="J24" i="95" s="1"/>
  <c r="K17" i="28"/>
  <c r="W19" i="80" s="1"/>
  <c r="K24" i="95" s="1"/>
  <c r="N17" i="28"/>
  <c r="X19" i="80" s="1"/>
  <c r="L24" i="95" s="1"/>
  <c r="G15" i="28"/>
  <c r="V17" i="80" s="1"/>
  <c r="J22" i="95" s="1"/>
  <c r="K15" i="28"/>
  <c r="W17" i="80" s="1"/>
  <c r="K22" i="95" s="1"/>
  <c r="N15" i="28"/>
  <c r="X17" i="80" s="1"/>
  <c r="L22" i="95" s="1"/>
  <c r="G13" i="28"/>
  <c r="V15" i="80" s="1"/>
  <c r="J21" i="95" s="1"/>
  <c r="K13" i="28"/>
  <c r="W15" i="80" s="1"/>
  <c r="K21" i="95" s="1"/>
  <c r="N13" i="28"/>
  <c r="X15" i="80" s="1"/>
  <c r="L21" i="95" s="1"/>
  <c r="G11" i="28"/>
  <c r="V13" i="80" s="1"/>
  <c r="J19" i="95" s="1"/>
  <c r="K11" i="28"/>
  <c r="W13" i="80" s="1"/>
  <c r="K19" i="95" s="1"/>
  <c r="N11" i="28"/>
  <c r="X13" i="80" s="1"/>
  <c r="L19" i="95" s="1"/>
  <c r="G9" i="28"/>
  <c r="V11" i="80" s="1"/>
  <c r="J20" i="95" s="1"/>
  <c r="K9" i="28"/>
  <c r="W11" i="80" s="1"/>
  <c r="K20" i="95" s="1"/>
  <c r="N9" i="28"/>
  <c r="X11" i="80" s="1"/>
  <c r="L20" i="95" s="1"/>
  <c r="G7" i="28"/>
  <c r="V9" i="80" s="1"/>
  <c r="J25" i="95" s="1"/>
  <c r="K7" i="28"/>
  <c r="W9" i="80" s="1"/>
  <c r="K25" i="95" s="1"/>
  <c r="N7" i="28"/>
  <c r="X9" i="80" s="1"/>
  <c r="L25" i="95" s="1"/>
  <c r="G29" i="26"/>
  <c r="K29" i="26"/>
  <c r="N29" i="26"/>
  <c r="G27" i="26"/>
  <c r="V29" i="18" s="1"/>
  <c r="K27" i="26"/>
  <c r="W29" i="18" s="1"/>
  <c r="N27" i="26"/>
  <c r="X29" i="18" s="1"/>
  <c r="G25" i="26"/>
  <c r="K25" i="26"/>
  <c r="N25" i="26"/>
  <c r="G23" i="26"/>
  <c r="K23" i="26"/>
  <c r="N23" i="26"/>
  <c r="G21" i="26"/>
  <c r="K21" i="26"/>
  <c r="N21" i="26"/>
  <c r="G19" i="26"/>
  <c r="K19" i="26"/>
  <c r="W21" i="18" s="1"/>
  <c r="K63" i="95" s="1"/>
  <c r="N19" i="26"/>
  <c r="G15" i="26"/>
  <c r="K15" i="26"/>
  <c r="W17" i="18" s="1"/>
  <c r="K33" i="95" s="1"/>
  <c r="N15" i="26"/>
  <c r="G13" i="26"/>
  <c r="V15" i="18" s="1"/>
  <c r="J32" i="95" s="1"/>
  <c r="K13" i="26"/>
  <c r="W15" i="18" s="1"/>
  <c r="K32" i="95" s="1"/>
  <c r="N13" i="26"/>
  <c r="X15" i="18" s="1"/>
  <c r="L32" i="95" s="1"/>
  <c r="G17" i="26"/>
  <c r="K17" i="26"/>
  <c r="N17" i="26"/>
  <c r="G11" i="26"/>
  <c r="K11" i="26"/>
  <c r="W13" i="18" s="1"/>
  <c r="K28" i="95" s="1"/>
  <c r="N11" i="26"/>
  <c r="X13" i="18" s="1"/>
  <c r="L28" i="95" s="1"/>
  <c r="G9" i="26"/>
  <c r="V11" i="18" s="1"/>
  <c r="J30" i="95" s="1"/>
  <c r="K9" i="26"/>
  <c r="W11" i="18" s="1"/>
  <c r="K30" i="95" s="1"/>
  <c r="N9" i="26"/>
  <c r="X11" i="18" s="1"/>
  <c r="L30" i="95" s="1"/>
  <c r="F3" i="29"/>
  <c r="F3" i="28"/>
  <c r="F3" i="27"/>
  <c r="F3" i="26"/>
  <c r="C2" i="27"/>
  <c r="C2" i="28"/>
  <c r="C2" i="29"/>
  <c r="C2" i="26"/>
  <c r="O8" i="29"/>
  <c r="O10" i="29"/>
  <c r="O12" i="29"/>
  <c r="O14" i="29"/>
  <c r="O16" i="29"/>
  <c r="O18" i="29"/>
  <c r="O20" i="29"/>
  <c r="O22" i="29"/>
  <c r="O24" i="29"/>
  <c r="O26" i="29"/>
  <c r="O28" i="29"/>
  <c r="O30" i="29"/>
  <c r="O8" i="28"/>
  <c r="O10" i="28"/>
  <c r="O12" i="28"/>
  <c r="O14" i="28"/>
  <c r="O16" i="28"/>
  <c r="O18" i="28"/>
  <c r="O20" i="28"/>
  <c r="O22" i="28"/>
  <c r="O24" i="28"/>
  <c r="O26" i="28"/>
  <c r="O28" i="28"/>
  <c r="O30" i="28"/>
  <c r="O8" i="27"/>
  <c r="O10" i="27"/>
  <c r="O12" i="27"/>
  <c r="O14" i="27"/>
  <c r="O16" i="27"/>
  <c r="O18" i="27"/>
  <c r="O20" i="27"/>
  <c r="O22" i="27"/>
  <c r="O24" i="27"/>
  <c r="O26" i="27"/>
  <c r="O28" i="27"/>
  <c r="O30" i="27"/>
  <c r="C29" i="26"/>
  <c r="B29" i="26"/>
  <c r="C27" i="26"/>
  <c r="B27" i="26"/>
  <c r="C25" i="26"/>
  <c r="B25" i="26"/>
  <c r="C23" i="26"/>
  <c r="B23" i="26"/>
  <c r="C21" i="26"/>
  <c r="B21" i="26"/>
  <c r="C19" i="26"/>
  <c r="B19" i="26"/>
  <c r="C17" i="26"/>
  <c r="B17" i="26"/>
  <c r="C15" i="26"/>
  <c r="B15" i="26"/>
  <c r="C13" i="26"/>
  <c r="B13" i="26"/>
  <c r="C11" i="26"/>
  <c r="B11" i="26"/>
  <c r="C9" i="26"/>
  <c r="B9" i="26"/>
  <c r="O30" i="26"/>
  <c r="O28" i="26"/>
  <c r="O26" i="26"/>
  <c r="O24" i="26"/>
  <c r="O22" i="26"/>
  <c r="O20" i="26"/>
  <c r="O18" i="26"/>
  <c r="O16" i="26"/>
  <c r="O14" i="26"/>
  <c r="O12" i="26"/>
  <c r="O10" i="26"/>
  <c r="O8" i="26"/>
  <c r="W14" i="80" l="1"/>
  <c r="K6" i="91"/>
  <c r="K45" i="92"/>
  <c r="W14" i="77"/>
  <c r="K22" i="91"/>
  <c r="K11" i="92"/>
  <c r="W14" i="81"/>
  <c r="K40" i="92"/>
  <c r="K38" i="91"/>
  <c r="W18" i="80"/>
  <c r="K12" i="91"/>
  <c r="K33" i="92"/>
  <c r="W18" i="77"/>
  <c r="K8" i="92"/>
  <c r="K18" i="91"/>
  <c r="W18" i="81"/>
  <c r="K56" i="92"/>
  <c r="K33" i="91"/>
  <c r="W10" i="80"/>
  <c r="K51" i="92"/>
  <c r="K19" i="91"/>
  <c r="J46" i="92"/>
  <c r="J7" i="91"/>
  <c r="L48" i="92"/>
  <c r="L10" i="91"/>
  <c r="J35" i="92"/>
  <c r="J16" i="91"/>
  <c r="W26" i="80"/>
  <c r="K34" i="92"/>
  <c r="K14" i="91"/>
  <c r="W10" i="77"/>
  <c r="K13" i="92"/>
  <c r="K24" i="91"/>
  <c r="L23" i="91"/>
  <c r="L12" i="92"/>
  <c r="J20" i="91"/>
  <c r="J9" i="92"/>
  <c r="L6" i="92"/>
  <c r="L13" i="91"/>
  <c r="W26" i="77"/>
  <c r="K7" i="92"/>
  <c r="K17" i="91"/>
  <c r="J21" i="91"/>
  <c r="J10" i="92"/>
  <c r="W10" i="81"/>
  <c r="K41" i="92"/>
  <c r="K40" i="91"/>
  <c r="J39" i="92"/>
  <c r="J35" i="91"/>
  <c r="L57" i="92"/>
  <c r="L34" i="91"/>
  <c r="J59" i="92"/>
  <c r="J50" i="91"/>
  <c r="W26" i="81"/>
  <c r="J51" i="92"/>
  <c r="J19" i="91"/>
  <c r="L45" i="92"/>
  <c r="L6" i="91"/>
  <c r="W16" i="80"/>
  <c r="K48" i="92"/>
  <c r="K10" i="91"/>
  <c r="J33" i="92"/>
  <c r="J12" i="91"/>
  <c r="L52" i="92"/>
  <c r="L27" i="91"/>
  <c r="W24" i="80"/>
  <c r="J34" i="92"/>
  <c r="J14" i="91"/>
  <c r="W32" i="80"/>
  <c r="J13" i="92"/>
  <c r="J24" i="91"/>
  <c r="L11" i="92"/>
  <c r="L22" i="91"/>
  <c r="W16" i="77"/>
  <c r="K12" i="92"/>
  <c r="K23" i="91"/>
  <c r="J8" i="92"/>
  <c r="J18" i="91"/>
  <c r="L15" i="92"/>
  <c r="L26" i="91"/>
  <c r="W24" i="77"/>
  <c r="K6" i="92"/>
  <c r="K13" i="91"/>
  <c r="J7" i="92"/>
  <c r="J17" i="91"/>
  <c r="L14" i="92"/>
  <c r="L25" i="91"/>
  <c r="W32" i="77"/>
  <c r="J41" i="92"/>
  <c r="J40" i="91"/>
  <c r="L40" i="92"/>
  <c r="L38" i="91"/>
  <c r="W16" i="81"/>
  <c r="K57" i="92"/>
  <c r="K34" i="91"/>
  <c r="J56" i="92"/>
  <c r="J33" i="91"/>
  <c r="L58" i="92"/>
  <c r="L36" i="91"/>
  <c r="W24" i="81"/>
  <c r="W32" i="81"/>
  <c r="W22" i="18"/>
  <c r="K42" i="91"/>
  <c r="W30" i="18"/>
  <c r="L46" i="92"/>
  <c r="L7" i="91"/>
  <c r="J48" i="92"/>
  <c r="J10" i="91"/>
  <c r="L35" i="92"/>
  <c r="L16" i="91"/>
  <c r="W22" i="80"/>
  <c r="K52" i="92"/>
  <c r="K27" i="91"/>
  <c r="W30" i="80"/>
  <c r="J12" i="92"/>
  <c r="J23" i="91"/>
  <c r="L9" i="92"/>
  <c r="L20" i="91"/>
  <c r="W22" i="77"/>
  <c r="K15" i="92"/>
  <c r="K26" i="91"/>
  <c r="J6" i="92"/>
  <c r="J13" i="91"/>
  <c r="L10" i="92"/>
  <c r="L21" i="91"/>
  <c r="W30" i="77"/>
  <c r="K25" i="91"/>
  <c r="K14" i="92"/>
  <c r="L39" i="92"/>
  <c r="L35" i="91"/>
  <c r="J57" i="92"/>
  <c r="J34" i="91"/>
  <c r="L59" i="92"/>
  <c r="L50" i="91"/>
  <c r="W22" i="81"/>
  <c r="K58" i="92"/>
  <c r="K36" i="91"/>
  <c r="W30" i="81"/>
  <c r="L51" i="92"/>
  <c r="L19" i="91"/>
  <c r="W12" i="80"/>
  <c r="K46" i="92"/>
  <c r="K7" i="91"/>
  <c r="J45" i="92"/>
  <c r="J6" i="91"/>
  <c r="L33" i="92"/>
  <c r="L12" i="91"/>
  <c r="W20" i="80"/>
  <c r="K35" i="92"/>
  <c r="K16" i="91"/>
  <c r="J52" i="92"/>
  <c r="J27" i="91"/>
  <c r="L34" i="92"/>
  <c r="L14" i="91"/>
  <c r="W28" i="80"/>
  <c r="L13" i="92"/>
  <c r="L24" i="91"/>
  <c r="W12" i="77"/>
  <c r="J11" i="92"/>
  <c r="J22" i="91"/>
  <c r="L8" i="92"/>
  <c r="L18" i="91"/>
  <c r="W20" i="77"/>
  <c r="K9" i="92"/>
  <c r="K20" i="91"/>
  <c r="J15" i="92"/>
  <c r="J26" i="91"/>
  <c r="L7" i="92"/>
  <c r="L17" i="91"/>
  <c r="W28" i="77"/>
  <c r="K10" i="92"/>
  <c r="K21" i="91"/>
  <c r="J14" i="92"/>
  <c r="J25" i="91"/>
  <c r="L41" i="92"/>
  <c r="L40" i="91"/>
  <c r="W12" i="81"/>
  <c r="K39" i="92"/>
  <c r="K35" i="91"/>
  <c r="J40" i="92"/>
  <c r="J38" i="91"/>
  <c r="L56" i="92"/>
  <c r="L33" i="91"/>
  <c r="W20" i="81"/>
  <c r="K59" i="92"/>
  <c r="K50" i="91"/>
  <c r="J58" i="92"/>
  <c r="J36" i="91"/>
  <c r="W28" i="81"/>
  <c r="W18" i="18"/>
  <c r="K29" i="91"/>
  <c r="L47" i="92"/>
  <c r="L9" i="91"/>
  <c r="W14" i="18"/>
  <c r="K9" i="91"/>
  <c r="K47" i="92"/>
  <c r="L8" i="91"/>
  <c r="L50" i="92"/>
  <c r="L15" i="91"/>
  <c r="L11" i="91"/>
  <c r="L49" i="92"/>
  <c r="W16" i="18"/>
  <c r="K8" i="91"/>
  <c r="W12" i="18"/>
  <c r="K50" i="92"/>
  <c r="K15" i="91"/>
  <c r="W10" i="18"/>
  <c r="K11" i="91"/>
  <c r="K49" i="92"/>
  <c r="J8" i="91"/>
  <c r="J50" i="92"/>
  <c r="J15" i="91"/>
  <c r="J11" i="91"/>
  <c r="J49" i="92"/>
  <c r="V12" i="80"/>
  <c r="X16" i="80"/>
  <c r="V20" i="80"/>
  <c r="X24" i="80"/>
  <c r="V28" i="80"/>
  <c r="X32" i="80"/>
  <c r="V12" i="77"/>
  <c r="X16" i="77"/>
  <c r="V20" i="77"/>
  <c r="X24" i="77"/>
  <c r="X32" i="77"/>
  <c r="V12" i="81"/>
  <c r="X16" i="81"/>
  <c r="V20" i="81"/>
  <c r="X24" i="81"/>
  <c r="V28" i="81"/>
  <c r="Z28" i="81" s="1"/>
  <c r="X32" i="81"/>
  <c r="V10" i="80"/>
  <c r="X14" i="80"/>
  <c r="V18" i="80"/>
  <c r="X22" i="80"/>
  <c r="V26" i="80"/>
  <c r="X30" i="80"/>
  <c r="X14" i="77"/>
  <c r="V18" i="77"/>
  <c r="X22" i="77"/>
  <c r="V26" i="77"/>
  <c r="X30" i="77"/>
  <c r="V10" i="81"/>
  <c r="X14" i="81"/>
  <c r="V18" i="81"/>
  <c r="X22" i="81"/>
  <c r="V26" i="81"/>
  <c r="X30" i="81"/>
  <c r="X12" i="80"/>
  <c r="V16" i="80"/>
  <c r="X20" i="80"/>
  <c r="V24" i="80"/>
  <c r="X28" i="80"/>
  <c r="V32" i="80"/>
  <c r="Z32" i="80" s="1"/>
  <c r="X12" i="77"/>
  <c r="V16" i="77"/>
  <c r="X20" i="77"/>
  <c r="V24" i="77"/>
  <c r="V32" i="77"/>
  <c r="X12" i="81"/>
  <c r="V16" i="81"/>
  <c r="X20" i="81"/>
  <c r="V24" i="81"/>
  <c r="X28" i="81"/>
  <c r="V32" i="81"/>
  <c r="X10" i="80"/>
  <c r="V14" i="80"/>
  <c r="X18" i="80"/>
  <c r="V22" i="80"/>
  <c r="X26" i="80"/>
  <c r="V30" i="80"/>
  <c r="Z30" i="80" s="1"/>
  <c r="V14" i="77"/>
  <c r="X18" i="77"/>
  <c r="V22" i="77"/>
  <c r="X26" i="77"/>
  <c r="V30" i="77"/>
  <c r="X10" i="81"/>
  <c r="V14" i="81"/>
  <c r="X18" i="81"/>
  <c r="V22" i="81"/>
  <c r="X26" i="81"/>
  <c r="V30" i="81"/>
  <c r="Z30" i="81" s="1"/>
  <c r="X28" i="77"/>
  <c r="V28" i="77"/>
  <c r="X10" i="77"/>
  <c r="V10" i="77"/>
  <c r="V19" i="18"/>
  <c r="J34" i="95" s="1"/>
  <c r="V23" i="18"/>
  <c r="J64" i="95" s="1"/>
  <c r="V31" i="18"/>
  <c r="J35" i="95" s="1"/>
  <c r="V13" i="18"/>
  <c r="J28" i="95" s="1"/>
  <c r="V21" i="18"/>
  <c r="J63" i="95" s="1"/>
  <c r="X25" i="18"/>
  <c r="W27" i="18"/>
  <c r="X17" i="18"/>
  <c r="L33" i="95" s="1"/>
  <c r="X27" i="18"/>
  <c r="X19" i="18"/>
  <c r="L34" i="95" s="1"/>
  <c r="V17" i="18"/>
  <c r="J33" i="95" s="1"/>
  <c r="X23" i="18"/>
  <c r="L64" i="95" s="1"/>
  <c r="W25" i="18"/>
  <c r="V27" i="18"/>
  <c r="X31" i="18"/>
  <c r="L35" i="95" s="1"/>
  <c r="W19" i="18"/>
  <c r="K34" i="95" s="1"/>
  <c r="X21" i="18"/>
  <c r="L63" i="95" s="1"/>
  <c r="W23" i="18"/>
  <c r="K64" i="95" s="1"/>
  <c r="V25" i="18"/>
  <c r="X30" i="18"/>
  <c r="W31" i="18"/>
  <c r="K35" i="95" s="1"/>
  <c r="V30" i="18"/>
  <c r="Z32" i="81" l="1"/>
  <c r="Z16" i="77"/>
  <c r="M11" i="95" s="1"/>
  <c r="Z10" i="77"/>
  <c r="M7" i="95" s="1"/>
  <c r="Z32" i="77"/>
  <c r="Z26" i="81"/>
  <c r="Z10" i="81"/>
  <c r="M56" i="95" s="1"/>
  <c r="Z16" i="80"/>
  <c r="M21" i="95" s="1"/>
  <c r="Z24" i="80"/>
  <c r="Z14" i="80"/>
  <c r="M19" i="95" s="1"/>
  <c r="Z26" i="77"/>
  <c r="M15" i="95" s="1"/>
  <c r="Z22" i="77"/>
  <c r="M12" i="95" s="1"/>
  <c r="Z18" i="77"/>
  <c r="M9" i="95" s="1"/>
  <c r="Z14" i="77"/>
  <c r="M6" i="95" s="1"/>
  <c r="Z12" i="77"/>
  <c r="Z30" i="77"/>
  <c r="M17" i="95" s="1"/>
  <c r="Z28" i="77"/>
  <c r="M16" i="95" s="1"/>
  <c r="Z26" i="80"/>
  <c r="M23" i="95" s="1"/>
  <c r="Z22" i="81"/>
  <c r="M60" i="95" s="1"/>
  <c r="Z22" i="80"/>
  <c r="M26" i="95" s="1"/>
  <c r="Z24" i="81"/>
  <c r="Z18" i="81"/>
  <c r="M58" i="95" s="1"/>
  <c r="Z18" i="80"/>
  <c r="M22" i="95" s="1"/>
  <c r="Z12" i="80"/>
  <c r="M20" i="95" s="1"/>
  <c r="Z20" i="80"/>
  <c r="M24" i="95" s="1"/>
  <c r="Z16" i="81"/>
  <c r="M59" i="95" s="1"/>
  <c r="Z24" i="77"/>
  <c r="M14" i="95" s="1"/>
  <c r="Z20" i="81"/>
  <c r="M61" i="95" s="1"/>
  <c r="Z12" i="81"/>
  <c r="M54" i="95" s="1"/>
  <c r="Z20" i="77"/>
  <c r="M10" i="95" s="1"/>
  <c r="Z30" i="18"/>
  <c r="Z14" i="81"/>
  <c r="M55" i="95" s="1"/>
  <c r="Z10" i="80"/>
  <c r="M25" i="95" s="1"/>
  <c r="Z28" i="80"/>
  <c r="W32" i="18"/>
  <c r="W20" i="18"/>
  <c r="K28" i="91"/>
  <c r="W26" i="18"/>
  <c r="J42" i="91"/>
  <c r="J28" i="91"/>
  <c r="L44" i="91"/>
  <c r="W28" i="18"/>
  <c r="W24" i="18"/>
  <c r="K44" i="91"/>
  <c r="L42" i="91"/>
  <c r="L28" i="91"/>
  <c r="J44" i="91"/>
  <c r="L29" i="91"/>
  <c r="J29" i="91"/>
  <c r="J9" i="91"/>
  <c r="J47" i="92"/>
  <c r="Y14" i="81"/>
  <c r="Y30" i="77"/>
  <c r="Y26" i="81"/>
  <c r="Y18" i="81"/>
  <c r="Y10" i="81"/>
  <c r="Y26" i="77"/>
  <c r="Y18" i="77"/>
  <c r="Y26" i="80"/>
  <c r="Y18" i="80"/>
  <c r="Y20" i="77"/>
  <c r="Y12" i="77"/>
  <c r="Y28" i="80"/>
  <c r="Y20" i="80"/>
  <c r="Y12" i="80"/>
  <c r="Y30" i="80"/>
  <c r="Y22" i="80"/>
  <c r="Y14" i="80"/>
  <c r="Y10" i="80"/>
  <c r="Y20" i="81"/>
  <c r="Y12" i="81"/>
  <c r="Y32" i="77"/>
  <c r="Y14" i="77"/>
  <c r="Y24" i="80"/>
  <c r="Y30" i="81"/>
  <c r="Y22" i="81"/>
  <c r="Y32" i="81"/>
  <c r="Y28" i="81"/>
  <c r="Y24" i="81"/>
  <c r="Y16" i="81"/>
  <c r="Y24" i="77"/>
  <c r="Y22" i="77"/>
  <c r="Y16" i="77"/>
  <c r="Y32" i="80"/>
  <c r="Y16" i="80"/>
  <c r="Y28" i="77"/>
  <c r="Y10" i="77"/>
  <c r="V28" i="18"/>
  <c r="V22" i="18"/>
  <c r="X16" i="18"/>
  <c r="V32" i="18"/>
  <c r="X14" i="18"/>
  <c r="X24" i="18"/>
  <c r="V12" i="18"/>
  <c r="X18" i="18"/>
  <c r="V26" i="18"/>
  <c r="X32" i="18"/>
  <c r="V18" i="18"/>
  <c r="X20" i="18"/>
  <c r="X28" i="18"/>
  <c r="X12" i="18"/>
  <c r="X26" i="18"/>
  <c r="V14" i="18"/>
  <c r="V24" i="18"/>
  <c r="V20" i="18"/>
  <c r="V16" i="18"/>
  <c r="Z16" i="18" s="1"/>
  <c r="M32" i="95" s="1"/>
  <c r="V10" i="18"/>
  <c r="X22" i="18"/>
  <c r="X10" i="18"/>
  <c r="Y30" i="18"/>
  <c r="Z29" i="18" s="1"/>
  <c r="Z20" i="18" l="1"/>
  <c r="M34" i="95" s="1"/>
  <c r="M15" i="92"/>
  <c r="Z24" i="18"/>
  <c r="M64" i="95" s="1"/>
  <c r="Z18" i="18"/>
  <c r="M33" i="95" s="1"/>
  <c r="Z26" i="18"/>
  <c r="Z22" i="18"/>
  <c r="M63" i="95" s="1"/>
  <c r="Z28" i="18"/>
  <c r="Z32" i="18"/>
  <c r="M35" i="95" s="1"/>
  <c r="Z14" i="18"/>
  <c r="M28" i="95" s="1"/>
  <c r="Z12" i="18"/>
  <c r="M30" i="95" s="1"/>
  <c r="Z10" i="18"/>
  <c r="M29" i="95" s="1"/>
  <c r="M17" i="91"/>
  <c r="M25" i="91"/>
  <c r="M20" i="91"/>
  <c r="M18" i="91"/>
  <c r="M13" i="91"/>
  <c r="M22" i="91"/>
  <c r="M23" i="91"/>
  <c r="M24" i="91"/>
  <c r="M26" i="91"/>
  <c r="M21" i="91"/>
  <c r="M14" i="92"/>
  <c r="M10" i="92"/>
  <c r="M34" i="92"/>
  <c r="M14" i="91"/>
  <c r="M7" i="92"/>
  <c r="M6" i="92"/>
  <c r="M36" i="91"/>
  <c r="M58" i="92"/>
  <c r="M52" i="92"/>
  <c r="M27" i="91"/>
  <c r="M9" i="92"/>
  <c r="M59" i="92"/>
  <c r="M50" i="91"/>
  <c r="M35" i="92"/>
  <c r="M16" i="91"/>
  <c r="M56" i="92"/>
  <c r="M33" i="91"/>
  <c r="M8" i="92"/>
  <c r="M33" i="92"/>
  <c r="M12" i="91"/>
  <c r="M48" i="92"/>
  <c r="M10" i="91"/>
  <c r="M12" i="92"/>
  <c r="M57" i="92"/>
  <c r="M34" i="91"/>
  <c r="M38" i="91"/>
  <c r="M40" i="92"/>
  <c r="M45" i="92"/>
  <c r="M6" i="91"/>
  <c r="M11" i="92"/>
  <c r="M39" i="92"/>
  <c r="M35" i="91"/>
  <c r="M46" i="92"/>
  <c r="M7" i="91"/>
  <c r="M41" i="92"/>
  <c r="M40" i="91"/>
  <c r="M51" i="92"/>
  <c r="M19" i="91"/>
  <c r="M13" i="92"/>
  <c r="Y12" i="18"/>
  <c r="Y10" i="18"/>
  <c r="Y14" i="18"/>
  <c r="Y18" i="18"/>
  <c r="Y16" i="18"/>
  <c r="Y20" i="18"/>
  <c r="Z19" i="18" s="1"/>
  <c r="M28" i="91" s="1"/>
  <c r="Y22" i="18"/>
  <c r="Z21" i="18" s="1"/>
  <c r="M42" i="91" s="1"/>
  <c r="Y24" i="18"/>
  <c r="Z23" i="18" s="1"/>
  <c r="M44" i="91" s="1"/>
  <c r="Y28" i="18"/>
  <c r="Z27" i="18" s="1"/>
  <c r="Y26" i="18"/>
  <c r="Z25" i="18" s="1"/>
  <c r="Y32" i="18"/>
  <c r="M29" i="91" l="1"/>
  <c r="M15" i="91"/>
  <c r="M9" i="91"/>
  <c r="M11" i="91"/>
  <c r="M47" i="92"/>
  <c r="M50" i="92"/>
  <c r="M49" i="9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</authors>
  <commentList>
    <comment ref="K7" authorId="0" shapeId="0" xr:uid="{2CB990E5-7EE1-AC42-9A7E-1DFB5A732061}">
      <text>
        <r>
          <rPr>
            <b/>
            <sz val="8"/>
            <color rgb="FF000000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4A0E010A-6D91-C546-8FB6-03F392394392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B7FAA1C0-C946-0844-8185-BB9107E4603F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544292B0-FFEF-DC45-BD5D-2ABF714F77EB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8DA72F8F-4C49-6A44-B7BE-FEB6BD6F99AC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CF849CD2-A143-FC40-8D6D-384E11BDE1F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74064420-5433-9D42-A69B-340C9109EC5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86CB1687-F758-294E-9525-24ED6099541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647A4938-A4BB-794F-883F-D007869E0AD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0B96B55B-1271-DC44-9F55-1DFE7B24B25E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955C231B-D141-5B4A-82F4-6819A864F25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BEF4F04D-7BCB-764D-9C81-168EA6EEC578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0" shapeId="0" xr:uid="{F3E3B2D6-02AB-9140-BBED-14F65698E6D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F0A84FFC-71E6-0340-8247-77EF324E287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</authors>
  <commentList>
    <comment ref="K7" authorId="0" shapeId="0" xr:uid="{D7CBCE24-8221-214D-B762-7A8DEE965AC9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368ED90F-E368-AC46-B8C6-B908925411F7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A72305A8-A0D6-444C-84A8-AE9B891B3B5A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A8D3AFF6-0324-784E-A1C6-156AFA5A102E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798A214C-3A10-4947-92F8-F322132FCEF6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66929844-55E1-1742-9A57-74AEAE11C35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BE113826-D380-0D42-9954-69CC738AA66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62551883-34BE-4D44-897A-ACA0FD265DB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8EEC0297-34BA-4E4F-B5F9-5194F3FFE1F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8F41D398-9DC3-C24C-A6AC-4B60F9808412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D31E0497-C3B9-5242-B932-BF808DB9686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V8" authorId="0" shapeId="0" xr:uid="{AC42EF5A-63A3-2B46-9A62-67CE1B01E76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49369E29-1348-E547-8B51-37DFCA2D7415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BE2B57E7-B1B8-C84F-9749-BFCFB4B317C1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1CB2547F-F211-6D42-A3E3-2AB24A5B65BD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30C1A8C1-4ACD-CC42-AFBC-580A774ACBE1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346DA661-138D-F045-9E90-864DE04A9A49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87D3D3E2-4F07-944D-AC5C-C900F5EEA03E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DB2CC3BD-134B-3E41-98D7-7B9EF2AFCC73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BE09F52A-D9DE-1440-B9D2-518AFA2DEA37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DFA3A0B9-0DA2-7A42-AA2F-C668040A22D3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E5782B63-49AC-D541-97F9-77607EB5C89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8A075C91-6F3C-3A4E-8E9C-B8E3158BF4F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967BAE93-B1BD-3347-919D-49B2C4828019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1FFBD0C6-6A9A-A946-A07C-FD7B3037E0DE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C564464E-5B7B-7547-8FF6-EDFAE7E73023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09F4BD5E-E4C0-A24B-8103-9AF5918A13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62238E50-B8CF-F34D-A4FF-79D164FE890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922AEFAB-D9AE-524E-B419-3A776273D7AC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7ADC677B-81D5-4940-B75B-9109ACF5D5F6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35E1EAE8-5D12-B640-8B98-9E10ED5A7113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Arne H. Pedersen</author>
    <author>Microsoft Office-bruker</author>
  </authors>
  <commentList>
    <comment ref="K7" authorId="0" shapeId="0" xr:uid="{E1B6C626-AAC5-0F4F-86DD-C7FDF6219644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1126560E-D28E-B543-A754-EC3DA8527019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5785F68C-0E0E-A842-85E2-1BAFA7B3A979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F17265C8-6D23-FD40-B83D-CF5511BC1981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9D3AD368-AA0B-1347-9C9E-8C1D5A3F1F76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2361A2C6-EFA8-2340-8F03-8631265ED62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EF2F7182-8F41-3A4E-A828-B24FFE7CA513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6B2BC714-33A9-0F45-84CA-A6E9C9DC3D5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66A1682C-C7BE-7640-9F56-00DC6F61F018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F0F6811F-A55E-894F-AB9C-E2D3CC9A65A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62A31F5C-4A56-9F49-9FC3-9B4A62EDFAA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9E00BF8A-51D9-D647-82BE-155BED39059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4B6FA895-FE3A-674D-B08E-4C4D8272FF4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E7F49345-13B4-B843-BB9C-2C582B2CC7C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E35" authorId="1" shapeId="0" xr:uid="{8F3D347F-0CD2-D04D-99F6-34DA67761A3B}">
      <text>
        <r>
          <rPr>
            <b/>
            <sz val="8"/>
            <color rgb="FF000000"/>
            <rFont val="Tahoma"/>
            <family val="2"/>
          </rPr>
          <t>Navn, klubb, dommer  grad</t>
        </r>
      </text>
    </comment>
    <comment ref="L35" authorId="2" shapeId="0" xr:uid="{AC29BFA5-656C-DB4E-AD18-18C1147AC657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2" shapeId="0" xr:uid="{F0236C3C-685E-C746-9200-84E388B969E8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2" shapeId="0" xr:uid="{23E5D445-2B25-FE4B-A668-72E481AB2BFE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tull</author>
    <author>Microsoft Office-bruker</author>
  </authors>
  <commentList>
    <comment ref="K7" authorId="0" shapeId="0" xr:uid="{64522FF4-13EB-194E-9714-B265E3378523}">
      <text>
        <r>
          <rPr>
            <b/>
            <sz val="8"/>
            <color indexed="81"/>
            <rFont val="Tahoma"/>
            <family val="2"/>
          </rPr>
          <t>Bruk fnutt (') for planlagt løft (f.eks. '50). Fjern fnutt for godkjent løft(f.eks. 50), bruk minus (-) for underkjent løft (f.eks. -50).</t>
        </r>
      </text>
    </comment>
    <comment ref="N7" authorId="0" shapeId="0" xr:uid="{8D7BEBEB-1C50-0A4B-B239-BFA6F52F5E07}">
      <text>
        <r>
          <rPr>
            <b/>
            <sz val="8"/>
            <color indexed="81"/>
            <rFont val="Tahoma"/>
            <family val="2"/>
          </rPr>
          <t>Bruk fnutt (') for planlagt løft (f.eks. '70). Fjern fnutt for godkjent løft (f.eks. 70). Bruk minus (-) for underkjent løft (f.eks. -70).</t>
        </r>
      </text>
    </comment>
    <comment ref="V7" authorId="0" shapeId="0" xr:uid="{A50761B6-5423-6B48-8CD4-5F25BEC6E403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0" shapeId="0" xr:uid="{6B793726-CDF8-4F40-9A54-64371ADDDBEF}">
      <text>
        <r>
          <rPr>
            <b/>
            <sz val="8"/>
            <color indexed="81"/>
            <rFont val="Tahoma"/>
            <family val="2"/>
          </rPr>
          <t>Angis i meter med to desimaler, f.eks.</t>
        </r>
        <r>
          <rPr>
            <b/>
            <sz val="8"/>
            <color indexed="81"/>
            <rFont val="Tahoma"/>
            <family val="2"/>
          </rPr>
          <t>9,75.</t>
        </r>
      </text>
    </comment>
    <comment ref="X7" authorId="0" shapeId="0" xr:uid="{0D0921BA-E989-7949-A4C7-AF684AE8590B}">
      <text>
        <r>
          <rPr>
            <b/>
            <sz val="8"/>
            <color rgb="FF000000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8" authorId="0" shapeId="0" xr:uid="{77D646B7-9430-3540-884E-08E1401E325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N8" authorId="0" shapeId="0" xr:uid="{049857AC-3C3A-3044-837A-3A6B967C2BCB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8" authorId="0" shapeId="0" xr:uid="{DA7A6499-9A28-C644-92C2-0DF74812B83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8" authorId="0" shapeId="0" xr:uid="{3F4B5877-053A-8342-87A6-CF8114EC466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8" authorId="0" shapeId="0" xr:uid="{03F111BC-DD9B-A145-9FDB-607F08BDA777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8" authorId="0" shapeId="0" xr:uid="{856208BF-7ED1-B04C-A3C5-3885D4DD16C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0" shapeId="0" xr:uid="{9A6ACEFD-FEA8-7041-951D-6BBE5748ECB5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8" authorId="0" shapeId="0" xr:uid="{12C5242C-5DAF-B546-AF3F-817C7549422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X8" authorId="0" shapeId="0" xr:uid="{742E0CA8-E99B-FC47-8B14-B126FACFE21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L35" authorId="1" shapeId="0" xr:uid="{FB2B9492-E7D7-B542-B154-0CA9745B0C26}">
      <text>
        <r>
          <rPr>
            <sz val="10"/>
            <color rgb="FF000000"/>
            <rFont val="Tahoma"/>
            <family val="2"/>
          </rPr>
          <t xml:space="preserve">Navn, klubb, dommer grad
</t>
        </r>
      </text>
    </comment>
    <comment ref="L36" authorId="1" shapeId="0" xr:uid="{9DCE2549-27F3-1548-A8D7-C91D396469E6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37" authorId="1" shapeId="0" xr:uid="{9C53B717-1E03-9441-B264-D37F2E06745E}">
      <text>
        <r>
          <rPr>
            <b/>
            <sz val="10"/>
            <color rgb="FF000000"/>
            <rFont val="Tahoma"/>
            <family val="2"/>
          </rPr>
          <t>Navn, klubb, dommer grad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<sst xmlns="http://schemas.openxmlformats.org/spreadsheetml/2006/main" count="879" uniqueCount="182">
  <si>
    <t>Arrangør:</t>
  </si>
  <si>
    <t>Sted:</t>
  </si>
  <si>
    <t>Dato:</t>
  </si>
  <si>
    <t>Vekt-</t>
  </si>
  <si>
    <t>Kropps-</t>
  </si>
  <si>
    <t>Fødsels-</t>
  </si>
  <si>
    <t>Navn</t>
  </si>
  <si>
    <t>Lag</t>
  </si>
  <si>
    <t>Rykk</t>
  </si>
  <si>
    <t>Støt</t>
  </si>
  <si>
    <t>Poeng</t>
  </si>
  <si>
    <t>klasse</t>
  </si>
  <si>
    <t>vekt</t>
  </si>
  <si>
    <t xml:space="preserve"> </t>
  </si>
  <si>
    <t>dato</t>
  </si>
  <si>
    <t>Pulje:</t>
  </si>
  <si>
    <t>Stevnekat:</t>
  </si>
  <si>
    <t>Norges Vektløfterforbund</t>
  </si>
  <si>
    <t>Kat.</t>
  </si>
  <si>
    <t>St</t>
  </si>
  <si>
    <t>Vektløfting  total</t>
  </si>
  <si>
    <t>Trehopp</t>
  </si>
  <si>
    <t>Kulekast</t>
  </si>
  <si>
    <t>40 m sprint</t>
  </si>
  <si>
    <t>5-kamp</t>
  </si>
  <si>
    <t>PL</t>
  </si>
  <si>
    <t>Rek</t>
  </si>
  <si>
    <t>v.løft</t>
  </si>
  <si>
    <t>Klubb</t>
  </si>
  <si>
    <t>5-kamp poeng</t>
  </si>
  <si>
    <t>Sml</t>
  </si>
  <si>
    <t>total</t>
  </si>
  <si>
    <t>Kvinner</t>
  </si>
  <si>
    <t>Plass</t>
  </si>
  <si>
    <t>Kr.vekt</t>
  </si>
  <si>
    <t>Kat. vl</t>
  </si>
  <si>
    <t>Kat. 5-k</t>
  </si>
  <si>
    <t>Født</t>
  </si>
  <si>
    <t>Hopp</t>
  </si>
  <si>
    <t>Kule</t>
  </si>
  <si>
    <t>Menn</t>
  </si>
  <si>
    <t>Stevnets art:</t>
  </si>
  <si>
    <t>40m sprint</t>
  </si>
  <si>
    <t>Beste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</si>
  <si>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</si>
  <si>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>Veteran</t>
  </si>
  <si>
    <t>3-kamp</t>
  </si>
  <si>
    <t>sum</t>
  </si>
  <si>
    <t>Alder</t>
  </si>
  <si>
    <t xml:space="preserve"> ØVELSEN 40 M SPRINT</t>
  </si>
  <si>
    <t xml:space="preserve">    Ved manuell tidtaking skal det legges til 0,2 sek</t>
  </si>
  <si>
    <t>3-hopp</t>
  </si>
  <si>
    <t>nt</t>
  </si>
  <si>
    <t>Meltzer-Faber</t>
  </si>
  <si>
    <t>Poeng menn</t>
  </si>
  <si>
    <t>Poeng kvinner</t>
  </si>
  <si>
    <t>meltzer</t>
  </si>
  <si>
    <t>faber</t>
  </si>
  <si>
    <t>Kjønn</t>
  </si>
  <si>
    <t>menn</t>
  </si>
  <si>
    <t>kvinner</t>
  </si>
  <si>
    <t>gyldig</t>
  </si>
  <si>
    <r>
      <t xml:space="preserve">Kulestørrelser: Gutter: 11-12: </t>
    </r>
    <r>
      <rPr>
        <b/>
        <sz val="10"/>
        <rFont val="MS Sans Serif"/>
      </rPr>
      <t>2 kg</t>
    </r>
    <r>
      <rPr>
        <sz val="10"/>
        <rFont val="MS Sans Serif"/>
      </rPr>
      <t xml:space="preserve">, 13-14: </t>
    </r>
    <r>
      <rPr>
        <b/>
        <sz val="10"/>
        <rFont val="Arial"/>
        <family val="2"/>
      </rPr>
      <t>3 kg</t>
    </r>
    <r>
      <rPr>
        <sz val="10"/>
        <rFont val="MS Sans Serif"/>
      </rPr>
      <t xml:space="preserve">, 15-16: </t>
    </r>
    <r>
      <rPr>
        <b/>
        <sz val="10"/>
        <rFont val="Arial"/>
        <family val="2"/>
      </rPr>
      <t>4 kg</t>
    </r>
    <r>
      <rPr>
        <sz val="10"/>
        <rFont val="MS Sans Serif"/>
      </rPr>
      <t xml:space="preserve">, Alle andre: </t>
    </r>
    <r>
      <rPr>
        <b/>
        <sz val="10"/>
        <rFont val="Arial"/>
        <family val="2"/>
      </rPr>
      <t>5 kg</t>
    </r>
    <r>
      <rPr>
        <sz val="10"/>
        <rFont val="MS Sans Serif"/>
      </rPr>
      <t xml:space="preserve">.     Jenter:11-12, 13-14: </t>
    </r>
    <r>
      <rPr>
        <b/>
        <sz val="10"/>
        <rFont val="MS Sans Serif"/>
      </rPr>
      <t>2 kg,</t>
    </r>
    <r>
      <rPr>
        <sz val="10"/>
        <rFont val="MS Sans Serif"/>
      </rPr>
      <t xml:space="preserve">  Alle andre: </t>
    </r>
    <r>
      <rPr>
        <b/>
        <sz val="10"/>
        <rFont val="Arial"/>
        <family val="2"/>
      </rPr>
      <t>3 kg</t>
    </r>
    <r>
      <rPr>
        <sz val="10"/>
        <rFont val="MS Sans Serif"/>
      </rPr>
      <t>.</t>
    </r>
  </si>
  <si>
    <t>Ungdom jenter</t>
  </si>
  <si>
    <t>Ungdom gutter</t>
  </si>
  <si>
    <t>Junior jenter</t>
  </si>
  <si>
    <t>Junior gutter</t>
  </si>
  <si>
    <t>Coeff.</t>
  </si>
  <si>
    <t>Sinclair</t>
  </si>
  <si>
    <t>NVF-ID</t>
  </si>
  <si>
    <t>Rolle</t>
  </si>
  <si>
    <t>Stevnets leder</t>
  </si>
  <si>
    <t>Speaker</t>
  </si>
  <si>
    <t>Dommer</t>
  </si>
  <si>
    <t>Chief Marshall</t>
  </si>
  <si>
    <t>Teknisk kontrollør</t>
  </si>
  <si>
    <t>.</t>
  </si>
  <si>
    <t>Jury</t>
  </si>
  <si>
    <t>Tidtaker</t>
  </si>
  <si>
    <t>Sekretær</t>
  </si>
  <si>
    <t>Beskrivelse rekorder</t>
  </si>
  <si>
    <t>Seriestevne 5-kamp</t>
  </si>
  <si>
    <t>Resultat Norges Cup 2. runde Ungdom og Junior</t>
  </si>
  <si>
    <t>Resultat RM 5-kamp ranking</t>
  </si>
  <si>
    <t>Resultat RM 5-kamp kategori</t>
  </si>
  <si>
    <t>Regionsmesterskap</t>
  </si>
  <si>
    <t>Senior kvinner</t>
  </si>
  <si>
    <t>Senior menn</t>
  </si>
  <si>
    <t>AK Bjørgvn</t>
  </si>
  <si>
    <t>Bergenshallen/Turnhaallen</t>
  </si>
  <si>
    <t>77</t>
  </si>
  <si>
    <t>SK</t>
  </si>
  <si>
    <t>24-34</t>
  </si>
  <si>
    <t>Lilly Småland</t>
  </si>
  <si>
    <t>AK Bjørgvin</t>
  </si>
  <si>
    <t>Kaia Arnøy Høyheim</t>
  </si>
  <si>
    <t>Caroline Røsbø</t>
  </si>
  <si>
    <t>69</t>
  </si>
  <si>
    <t>K35</t>
  </si>
  <si>
    <t>+35</t>
  </si>
  <si>
    <t>Iselin Hatlenes</t>
  </si>
  <si>
    <t>86</t>
  </si>
  <si>
    <t>K45</t>
  </si>
  <si>
    <t>Ingeborg Endresen</t>
  </si>
  <si>
    <t>K55</t>
  </si>
  <si>
    <t>Line Søfteland</t>
  </si>
  <si>
    <t>110</t>
  </si>
  <si>
    <t>M45</t>
  </si>
  <si>
    <t>Børge Aadland</t>
  </si>
  <si>
    <t>88</t>
  </si>
  <si>
    <t>M60</t>
  </si>
  <si>
    <t>Jørn Helgheeim</t>
  </si>
  <si>
    <t>Tambarskjelvar IL</t>
  </si>
  <si>
    <t>48</t>
  </si>
  <si>
    <t>UK</t>
  </si>
  <si>
    <t>11-12</t>
  </si>
  <si>
    <t>Othilie Løvik</t>
  </si>
  <si>
    <t>44</t>
  </si>
  <si>
    <t>Miriam Mella</t>
  </si>
  <si>
    <t>13-14</t>
  </si>
  <si>
    <t>Oline Mella</t>
  </si>
  <si>
    <t>Ingrid Skag Skjefstad</t>
  </si>
  <si>
    <t>Lisa Nøstdal Lending</t>
  </si>
  <si>
    <t>53</t>
  </si>
  <si>
    <t>Isabel Jensen Fauske</t>
  </si>
  <si>
    <t>15-16</t>
  </si>
  <si>
    <t>Heidi Nævdal</t>
  </si>
  <si>
    <t>63</t>
  </si>
  <si>
    <t>Sandra Viktoria N. Amundsen</t>
  </si>
  <si>
    <t>85E</t>
  </si>
  <si>
    <t>+77</t>
  </si>
  <si>
    <t>Kristina Haugsbø Smådal</t>
  </si>
  <si>
    <t>Madeleine Indrebø</t>
  </si>
  <si>
    <t>56</t>
  </si>
  <si>
    <t>UM</t>
  </si>
  <si>
    <t>Samuel Mella</t>
  </si>
  <si>
    <t>Ådne Rydland Kalstveit</t>
  </si>
  <si>
    <t>Gard Røsjø-Magnusson</t>
  </si>
  <si>
    <t>Vinjar Kronen</t>
  </si>
  <si>
    <t>60</t>
  </si>
  <si>
    <t>Anton Rivera</t>
  </si>
  <si>
    <t>Jardar Øvrebø-Feldt</t>
  </si>
  <si>
    <t>Breimsbygda IL</t>
  </si>
  <si>
    <t>79</t>
  </si>
  <si>
    <t>Lyder Slagstad Aamot</t>
  </si>
  <si>
    <t>71</t>
  </si>
  <si>
    <t>Andreas Kvame</t>
  </si>
  <si>
    <t>-</t>
  </si>
  <si>
    <t>+94</t>
  </si>
  <si>
    <t>Albert Jonas Midtbø-Figueroa</t>
  </si>
  <si>
    <t>17-18</t>
  </si>
  <si>
    <t>Olai Slagstad Aaamot</t>
  </si>
  <si>
    <t>Andreas Kvamsås Savland</t>
  </si>
  <si>
    <t>94</t>
  </si>
  <si>
    <t>Nikolai K. Aadland</t>
  </si>
  <si>
    <t>19-23</t>
  </si>
  <si>
    <t>Maria Sæterstøl</t>
  </si>
  <si>
    <t>Emelia Tveitå</t>
  </si>
  <si>
    <t>Julia Jordanger Loen</t>
  </si>
  <si>
    <t>Laila Therese K. Bjørnarheim</t>
  </si>
  <si>
    <t>JK</t>
  </si>
  <si>
    <t>Trine Endestad Hellevang</t>
  </si>
  <si>
    <t>Mathilde Loy Enger</t>
  </si>
  <si>
    <t>Tine Rognaldsen Pedersen</t>
  </si>
  <si>
    <t>Malin Amundsen</t>
  </si>
  <si>
    <t>JM</t>
  </si>
  <si>
    <t>Brede Tengsel Lesto</t>
  </si>
  <si>
    <t>Aksel Lykkebø Svorstøl</t>
  </si>
  <si>
    <t>Jakub Karol Kudyba</t>
  </si>
  <si>
    <t>SM</t>
  </si>
  <si>
    <t>Bent André Midtbø</t>
  </si>
  <si>
    <t>Adrian Henneli</t>
  </si>
  <si>
    <t>Lars Espedal</t>
  </si>
  <si>
    <t>Laurits Hamre</t>
  </si>
  <si>
    <t>Siren Loy</t>
  </si>
  <si>
    <t>FredrikEnger</t>
  </si>
  <si>
    <t>Sindre K. Nesheim</t>
  </si>
  <si>
    <t>Johnny Sandvik</t>
  </si>
  <si>
    <t>AK Børgvin</t>
  </si>
  <si>
    <t>Ann Elen Endestad</t>
  </si>
  <si>
    <t>Marit Årdalsbakke</t>
  </si>
  <si>
    <t>Maren Grøndahl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</si>
</sst>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dd/mm/yy;@"/>
    <numFmt numFmtId="167" formatCode="0;[Red]0"/>
    <numFmt numFmtId="168" formatCode="0.000000"/>
    <numFmt numFmtId="169" formatCode="0.0000"/>
  </numFmts>
  <fonts count="39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MS Sans Serif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0"/>
      <name val="MS Sans Serif"/>
    </font>
    <font>
      <b/>
      <sz val="24"/>
      <color indexed="9"/>
      <name val="Arial"/>
      <family val="2"/>
    </font>
    <font>
      <b/>
      <sz val="20"/>
      <color indexed="9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sz val="18"/>
      <name val="Arial Black"/>
      <family val="2"/>
    </font>
    <font>
      <b/>
      <sz val="12"/>
      <color indexed="18"/>
      <name val="Times New Roman"/>
      <family val="1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MS Sans Serif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name val="Calibri"/>
      <family val="2"/>
    </font>
    <font>
      <b/>
      <i/>
      <sz val="10"/>
      <name val="Arial"/>
      <family val="2"/>
    </font>
    <font>
      <sz val="11"/>
      <color rgb="FF000000"/>
      <name val="Arial"/>
      <family val="2"/>
    </font>
    <font>
      <b/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Dashed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Dashed">
        <color auto="1"/>
      </left>
      <right style="medium">
        <color auto="1"/>
      </right>
      <top style="dashed">
        <color auto="1"/>
      </top>
      <bottom/>
      <diagonal/>
    </border>
    <border>
      <left style="mediumDashed">
        <color auto="1"/>
      </left>
      <right style="medium">
        <color auto="1"/>
      </right>
      <top/>
      <bottom style="dashed">
        <color auto="1"/>
      </bottom>
      <diagonal/>
    </border>
    <border>
      <left style="mediumDashed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/>
      <top style="thin">
        <color auto="1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auto="1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auto="1"/>
      </right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">
    <xf numFmtId="0" fontId="0" fillId="0" borderId="0"/>
    <xf numFmtId="0" fontId="2" fillId="0" borderId="0"/>
    <xf numFmtId="0" fontId="32" fillId="0" borderId="0"/>
  </cellStyleXfs>
  <cellXfs count="336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15" fillId="0" borderId="0" xfId="0" applyFont="1"/>
    <xf numFmtId="1" fontId="12" fillId="0" borderId="0" xfId="0" applyNumberFormat="1" applyFont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/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righ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2" fontId="19" fillId="0" borderId="14" xfId="1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2" fontId="19" fillId="0" borderId="17" xfId="0" applyNumberFormat="1" applyFont="1" applyBorder="1" applyAlignment="1">
      <alignment vertical="center"/>
    </xf>
    <xf numFmtId="2" fontId="12" fillId="0" borderId="0" xfId="0" applyNumberFormat="1" applyFont="1" applyAlignment="1">
      <alignment vertical="center" wrapText="1"/>
    </xf>
    <xf numFmtId="2" fontId="19" fillId="0" borderId="18" xfId="1" applyNumberFormat="1" applyFont="1" applyBorder="1" applyAlignment="1">
      <alignment vertical="center"/>
    </xf>
    <xf numFmtId="2" fontId="19" fillId="0" borderId="19" xfId="1" applyNumberFormat="1" applyFont="1" applyBorder="1" applyAlignment="1">
      <alignment vertical="center"/>
    </xf>
    <xf numFmtId="0" fontId="20" fillId="0" borderId="20" xfId="0" applyFont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19" fillId="0" borderId="16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vertical="center"/>
      <protection locked="0"/>
    </xf>
    <xf numFmtId="0" fontId="19" fillId="0" borderId="17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2" fontId="19" fillId="0" borderId="16" xfId="0" applyNumberFormat="1" applyFont="1" applyBorder="1" applyAlignment="1">
      <alignment vertical="center"/>
    </xf>
    <xf numFmtId="2" fontId="20" fillId="0" borderId="23" xfId="1" quotePrefix="1" applyNumberFormat="1" applyFont="1" applyBorder="1" applyAlignment="1" applyProtection="1">
      <alignment vertical="center"/>
      <protection locked="0"/>
    </xf>
    <xf numFmtId="2" fontId="20" fillId="0" borderId="23" xfId="1" applyNumberFormat="1" applyFont="1" applyBorder="1" applyAlignment="1" applyProtection="1">
      <alignment vertical="center"/>
      <protection locked="0"/>
    </xf>
    <xf numFmtId="2" fontId="20" fillId="0" borderId="24" xfId="1" quotePrefix="1" applyNumberFormat="1" applyFont="1" applyBorder="1" applyAlignment="1" applyProtection="1">
      <alignment vertical="center"/>
      <protection locked="0"/>
    </xf>
    <xf numFmtId="2" fontId="20" fillId="0" borderId="24" xfId="1" applyNumberFormat="1" applyFont="1" applyBorder="1" applyAlignment="1" applyProtection="1">
      <alignment vertical="center"/>
      <protection locked="0"/>
    </xf>
    <xf numFmtId="2" fontId="20" fillId="0" borderId="25" xfId="1" quotePrefix="1" applyNumberFormat="1" applyFont="1" applyBorder="1" applyAlignment="1" applyProtection="1">
      <alignment vertical="center"/>
      <protection locked="0"/>
    </xf>
    <xf numFmtId="2" fontId="20" fillId="0" borderId="26" xfId="1" quotePrefix="1" applyNumberFormat="1" applyFont="1" applyBorder="1" applyAlignment="1" applyProtection="1">
      <alignment vertical="center"/>
      <protection locked="0"/>
    </xf>
    <xf numFmtId="2" fontId="20" fillId="0" borderId="27" xfId="1" applyNumberFormat="1" applyFont="1" applyBorder="1" applyAlignment="1" applyProtection="1">
      <alignment vertical="center"/>
      <protection locked="0"/>
    </xf>
    <xf numFmtId="2" fontId="20" fillId="0" borderId="28" xfId="1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vertical="center"/>
      <protection locked="0"/>
    </xf>
    <xf numFmtId="2" fontId="20" fillId="0" borderId="30" xfId="1" applyNumberFormat="1" applyFont="1" applyBorder="1" applyAlignment="1" applyProtection="1">
      <alignment vertical="center"/>
      <protection locked="0"/>
    </xf>
    <xf numFmtId="0" fontId="0" fillId="0" borderId="4" xfId="0" applyBorder="1"/>
    <xf numFmtId="49" fontId="12" fillId="0" borderId="20" xfId="0" applyNumberFormat="1" applyFont="1" applyBorder="1" applyAlignment="1">
      <alignment horizontal="center"/>
    </xf>
    <xf numFmtId="166" fontId="19" fillId="0" borderId="0" xfId="0" applyNumberFormat="1" applyFont="1" applyAlignment="1">
      <alignment vertical="center"/>
    </xf>
    <xf numFmtId="1" fontId="19" fillId="0" borderId="0" xfId="0" applyNumberFormat="1" applyFont="1" applyAlignment="1">
      <alignment horizontal="center" vertical="center"/>
    </xf>
    <xf numFmtId="166" fontId="19" fillId="0" borderId="0" xfId="0" applyNumberFormat="1" applyFont="1" applyProtection="1"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9" fontId="10" fillId="0" borderId="6" xfId="0" applyNumberFormat="1" applyFont="1" applyBorder="1" applyAlignment="1">
      <alignment horizontal="center"/>
    </xf>
    <xf numFmtId="0" fontId="21" fillId="0" borderId="0" xfId="0" applyFont="1"/>
    <xf numFmtId="165" fontId="0" fillId="0" borderId="0" xfId="0" applyNumberFormat="1"/>
    <xf numFmtId="0" fontId="19" fillId="0" borderId="0" xfId="0" applyFont="1" applyProtection="1">
      <protection locked="0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1" applyFont="1" applyAlignment="1">
      <alignment horizontal="center"/>
    </xf>
    <xf numFmtId="166" fontId="10" fillId="0" borderId="0" xfId="0" applyNumberFormat="1" applyFont="1"/>
    <xf numFmtId="2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4" fillId="0" borderId="0" xfId="1" applyNumberFormat="1" applyFont="1" applyAlignment="1">
      <alignment horizontal="center" vertical="center"/>
    </xf>
    <xf numFmtId="0" fontId="4" fillId="0" borderId="0" xfId="1" applyFont="1" applyAlignment="1" applyProtection="1">
      <alignment horizontal="left" vertical="center"/>
      <protection locked="0"/>
    </xf>
    <xf numFmtId="2" fontId="5" fillId="0" borderId="0" xfId="1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top" wrapText="1"/>
    </xf>
    <xf numFmtId="1" fontId="12" fillId="0" borderId="0" xfId="1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 applyProtection="1">
      <alignment horizontal="left"/>
      <protection locked="0"/>
    </xf>
    <xf numFmtId="2" fontId="20" fillId="0" borderId="27" xfId="1" quotePrefix="1" applyNumberFormat="1" applyFont="1" applyBorder="1" applyAlignment="1" applyProtection="1">
      <alignment vertical="center"/>
      <protection locked="0"/>
    </xf>
    <xf numFmtId="0" fontId="0" fillId="0" borderId="38" xfId="0" applyBorder="1"/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65" fontId="10" fillId="0" borderId="0" xfId="0" applyNumberFormat="1" applyFont="1"/>
    <xf numFmtId="1" fontId="10" fillId="0" borderId="0" xfId="0" applyNumberFormat="1" applyFont="1"/>
    <xf numFmtId="165" fontId="37" fillId="0" borderId="0" xfId="0" applyNumberFormat="1" applyFont="1" applyAlignment="1">
      <alignment horizontal="right" vertical="center"/>
    </xf>
    <xf numFmtId="165" fontId="37" fillId="5" borderId="0" xfId="0" applyNumberFormat="1" applyFont="1" applyFill="1" applyAlignment="1">
      <alignment horizontal="right" vertical="center"/>
    </xf>
    <xf numFmtId="0" fontId="20" fillId="0" borderId="0" xfId="0" applyFont="1" applyAlignment="1">
      <alignment horizontal="right"/>
    </xf>
    <xf numFmtId="0" fontId="0" fillId="6" borderId="0" xfId="2" applyFont="1" applyFill="1" applyProtection="1">
      <protection locked="0"/>
    </xf>
    <xf numFmtId="0" fontId="0" fillId="6" borderId="0" xfId="2" applyFont="1" applyFill="1" applyAlignment="1" applyProtection="1">
      <alignment horizontal="center"/>
      <protection locked="0"/>
    </xf>
    <xf numFmtId="0" fontId="0" fillId="0" borderId="3" xfId="0" applyBorder="1"/>
    <xf numFmtId="0" fontId="9" fillId="0" borderId="5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9" fontId="9" fillId="0" borderId="3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40" xfId="0" applyNumberFormat="1" applyFont="1" applyBorder="1" applyAlignment="1">
      <alignment horizontal="center"/>
    </xf>
    <xf numFmtId="2" fontId="13" fillId="0" borderId="11" xfId="1" applyNumberFormat="1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49" fontId="10" fillId="0" borderId="46" xfId="0" applyNumberFormat="1" applyFont="1" applyBorder="1" applyAlignment="1">
      <alignment horizontal="center"/>
    </xf>
    <xf numFmtId="0" fontId="10" fillId="0" borderId="46" xfId="0" applyFont="1" applyBorder="1" applyAlignment="1">
      <alignment horizontal="left"/>
    </xf>
    <xf numFmtId="0" fontId="10" fillId="0" borderId="47" xfId="0" applyFont="1" applyBorder="1" applyAlignment="1">
      <alignment horizontal="center"/>
    </xf>
    <xf numFmtId="49" fontId="10" fillId="0" borderId="47" xfId="0" applyNumberFormat="1" applyFont="1" applyBorder="1" applyAlignment="1">
      <alignment horizontal="center"/>
    </xf>
    <xf numFmtId="0" fontId="10" fillId="0" borderId="47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1" fontId="13" fillId="0" borderId="0" xfId="0" applyNumberFormat="1" applyFont="1" applyAlignment="1" applyProtection="1">
      <alignment horizontal="right"/>
      <protection locked="0"/>
    </xf>
    <xf numFmtId="2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168" fontId="36" fillId="0" borderId="0" xfId="0" applyNumberFormat="1" applyFont="1" applyAlignment="1">
      <alignment vertical="center"/>
    </xf>
    <xf numFmtId="168" fontId="10" fillId="0" borderId="0" xfId="0" applyNumberFormat="1" applyFont="1"/>
    <xf numFmtId="169" fontId="10" fillId="0" borderId="0" xfId="0" applyNumberFormat="1" applyFont="1"/>
    <xf numFmtId="0" fontId="0" fillId="0" borderId="0" xfId="0" applyAlignment="1">
      <alignment horizontal="right"/>
    </xf>
    <xf numFmtId="164" fontId="6" fillId="0" borderId="2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39" xfId="1" applyFont="1" applyBorder="1" applyAlignment="1">
      <alignment horizontal="center"/>
    </xf>
    <xf numFmtId="0" fontId="6" fillId="0" borderId="4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2" xfId="1" applyFont="1" applyBorder="1" applyAlignment="1">
      <alignment horizontal="center"/>
    </xf>
    <xf numFmtId="2" fontId="6" fillId="0" borderId="2" xfId="1" applyNumberFormat="1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42" xfId="1" applyNumberFormat="1" applyFont="1" applyBorder="1" applyAlignment="1">
      <alignment horizontal="center"/>
    </xf>
    <xf numFmtId="0" fontId="6" fillId="0" borderId="42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2" fontId="6" fillId="0" borderId="42" xfId="1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2" fontId="13" fillId="0" borderId="0" xfId="1" applyNumberFormat="1" applyFont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4" fillId="0" borderId="52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60" xfId="0" applyFont="1" applyBorder="1" applyAlignment="1">
      <alignment horizontal="center" vertical="center"/>
    </xf>
    <xf numFmtId="0" fontId="3" fillId="0" borderId="63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30" fillId="0" borderId="0" xfId="0" applyFont="1" applyAlignment="1">
      <alignment vertical="top"/>
    </xf>
    <xf numFmtId="0" fontId="11" fillId="0" borderId="0" xfId="0" applyFont="1" applyAlignment="1">
      <alignment horizontal="right"/>
    </xf>
    <xf numFmtId="49" fontId="13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>
      <alignment horizontal="right"/>
    </xf>
    <xf numFmtId="1" fontId="13" fillId="0" borderId="0" xfId="0" applyNumberFormat="1" applyFont="1" applyAlignment="1" applyProtection="1">
      <alignment horizontal="center"/>
      <protection locked="0"/>
    </xf>
    <xf numFmtId="0" fontId="10" fillId="0" borderId="69" xfId="0" applyFont="1" applyBorder="1"/>
    <xf numFmtId="2" fontId="13" fillId="0" borderId="69" xfId="1" applyNumberFormat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14" fontId="13" fillId="0" borderId="69" xfId="1" applyNumberFormat="1" applyFont="1" applyBorder="1" applyAlignment="1">
      <alignment horizontal="center" vertical="center"/>
    </xf>
    <xf numFmtId="0" fontId="13" fillId="0" borderId="69" xfId="1" applyFont="1" applyBorder="1" applyAlignment="1" applyProtection="1">
      <alignment horizontal="left" vertical="center"/>
      <protection locked="0"/>
    </xf>
    <xf numFmtId="49" fontId="13" fillId="0" borderId="69" xfId="1" quotePrefix="1" applyNumberFormat="1" applyFont="1" applyBorder="1" applyAlignment="1" applyProtection="1">
      <alignment horizontal="right" vertical="center"/>
      <protection locked="0"/>
    </xf>
    <xf numFmtId="2" fontId="13" fillId="0" borderId="69" xfId="1" applyNumberFormat="1" applyFont="1" applyBorder="1" applyAlignment="1" applyProtection="1">
      <alignment horizontal="center" vertical="center"/>
      <protection locked="0"/>
    </xf>
    <xf numFmtId="49" fontId="13" fillId="0" borderId="69" xfId="1" applyNumberFormat="1" applyFont="1" applyBorder="1" applyAlignment="1" applyProtection="1">
      <alignment horizontal="center" vertical="center"/>
      <protection locked="0"/>
    </xf>
    <xf numFmtId="49" fontId="13" fillId="0" borderId="69" xfId="1" quotePrefix="1" applyNumberFormat="1" applyFont="1" applyBorder="1" applyAlignment="1" applyProtection="1">
      <alignment horizontal="center" vertical="center"/>
      <protection locked="0"/>
    </xf>
    <xf numFmtId="167" fontId="13" fillId="0" borderId="70" xfId="1" applyNumberFormat="1" applyFont="1" applyBorder="1" applyAlignment="1">
      <alignment horizontal="center" vertical="center"/>
    </xf>
    <xf numFmtId="1" fontId="13" fillId="0" borderId="70" xfId="1" applyNumberFormat="1" applyFont="1" applyBorder="1" applyAlignment="1">
      <alignment horizontal="center" vertical="center"/>
    </xf>
    <xf numFmtId="1" fontId="13" fillId="0" borderId="70" xfId="0" applyNumberFormat="1" applyFont="1" applyBorder="1" applyAlignment="1">
      <alignment horizontal="center" vertical="center"/>
    </xf>
    <xf numFmtId="2" fontId="13" fillId="0" borderId="70" xfId="0" applyNumberFormat="1" applyFont="1" applyBorder="1" applyAlignment="1">
      <alignment horizontal="center" vertical="center" wrapText="1"/>
    </xf>
    <xf numFmtId="2" fontId="27" fillId="0" borderId="70" xfId="1" applyNumberFormat="1" applyFont="1" applyBorder="1" applyAlignment="1" applyProtection="1">
      <alignment horizontal="center" vertical="center"/>
      <protection locked="0"/>
    </xf>
    <xf numFmtId="2" fontId="27" fillId="0" borderId="70" xfId="1" applyNumberFormat="1" applyFont="1" applyBorder="1" applyAlignment="1">
      <alignment horizontal="center" vertical="center"/>
    </xf>
    <xf numFmtId="0" fontId="13" fillId="0" borderId="70" xfId="0" applyFont="1" applyBorder="1" applyAlignment="1" applyProtection="1">
      <alignment horizontal="center" vertical="center"/>
      <protection locked="0"/>
    </xf>
    <xf numFmtId="0" fontId="13" fillId="0" borderId="69" xfId="0" applyFont="1" applyBorder="1" applyAlignment="1">
      <alignment horizontal="center" vertical="center"/>
    </xf>
    <xf numFmtId="0" fontId="13" fillId="0" borderId="69" xfId="0" applyFont="1" applyBorder="1" applyAlignment="1" applyProtection="1">
      <alignment horizontal="center" vertical="center"/>
      <protection locked="0"/>
    </xf>
    <xf numFmtId="2" fontId="13" fillId="0" borderId="0" xfId="1" applyNumberFormat="1" applyFont="1" applyAlignment="1">
      <alignment horizontal="center" vertical="center" wrapText="1"/>
    </xf>
    <xf numFmtId="167" fontId="11" fillId="0" borderId="69" xfId="1" applyNumberFormat="1" applyFont="1" applyBorder="1" applyAlignment="1" applyProtection="1">
      <alignment horizontal="center" vertical="center"/>
      <protection locked="0"/>
    </xf>
    <xf numFmtId="167" fontId="11" fillId="0" borderId="69" xfId="1" quotePrefix="1" applyNumberFormat="1" applyFont="1" applyBorder="1" applyAlignment="1" applyProtection="1">
      <alignment horizontal="center" vertical="center"/>
      <protection locked="0"/>
    </xf>
    <xf numFmtId="167" fontId="13" fillId="0" borderId="69" xfId="1" applyNumberFormat="1" applyFont="1" applyBorder="1" applyAlignment="1">
      <alignment horizontal="center" vertical="center"/>
    </xf>
    <xf numFmtId="1" fontId="13" fillId="0" borderId="69" xfId="1" applyNumberFormat="1" applyFont="1" applyBorder="1" applyAlignment="1">
      <alignment horizontal="center" vertical="center"/>
    </xf>
    <xf numFmtId="1" fontId="13" fillId="0" borderId="69" xfId="0" applyNumberFormat="1" applyFont="1" applyBorder="1" applyAlignment="1">
      <alignment horizontal="center" vertical="center"/>
    </xf>
    <xf numFmtId="2" fontId="13" fillId="0" borderId="69" xfId="0" applyNumberFormat="1" applyFont="1" applyBorder="1" applyAlignment="1">
      <alignment horizontal="center" vertical="center" wrapText="1"/>
    </xf>
    <xf numFmtId="2" fontId="27" fillId="0" borderId="69" xfId="1" applyNumberFormat="1" applyFont="1" applyBorder="1" applyAlignment="1" applyProtection="1">
      <alignment horizontal="center" vertical="center"/>
      <protection locked="0"/>
    </xf>
    <xf numFmtId="2" fontId="27" fillId="0" borderId="69" xfId="1" applyNumberFormat="1" applyFont="1" applyBorder="1" applyAlignment="1">
      <alignment horizontal="center" vertical="center"/>
    </xf>
    <xf numFmtId="2" fontId="13" fillId="0" borderId="71" xfId="0" applyNumberFormat="1" applyFont="1" applyBorder="1" applyAlignment="1">
      <alignment horizontal="center" vertical="center" wrapText="1"/>
    </xf>
    <xf numFmtId="2" fontId="13" fillId="0" borderId="72" xfId="0" applyNumberFormat="1" applyFont="1" applyBorder="1" applyAlignment="1">
      <alignment horizontal="center" vertical="center" wrapText="1"/>
    </xf>
    <xf numFmtId="2" fontId="27" fillId="0" borderId="71" xfId="1" applyNumberFormat="1" applyFont="1" applyBorder="1" applyAlignment="1" applyProtection="1">
      <alignment horizontal="center" vertical="center"/>
      <protection locked="0"/>
    </xf>
    <xf numFmtId="2" fontId="13" fillId="0" borderId="73" xfId="1" applyNumberFormat="1" applyFont="1" applyBorder="1" applyAlignment="1">
      <alignment horizontal="center" vertical="center"/>
    </xf>
    <xf numFmtId="2" fontId="27" fillId="0" borderId="72" xfId="1" applyNumberFormat="1" applyFont="1" applyBorder="1" applyAlignment="1" applyProtection="1">
      <alignment horizontal="center" vertical="center"/>
      <protection locked="0"/>
    </xf>
    <xf numFmtId="1" fontId="13" fillId="0" borderId="74" xfId="1" applyNumberFormat="1" applyFont="1" applyBorder="1" applyAlignment="1">
      <alignment horizontal="center" vertical="center"/>
    </xf>
    <xf numFmtId="1" fontId="13" fillId="0" borderId="0" xfId="1" applyNumberFormat="1" applyFont="1" applyAlignment="1" applyProtection="1">
      <alignment horizontal="center" vertical="center"/>
      <protection locked="0"/>
    </xf>
    <xf numFmtId="1" fontId="13" fillId="0" borderId="75" xfId="1" applyNumberFormat="1" applyFont="1" applyBorder="1" applyAlignment="1">
      <alignment horizontal="center" vertical="center"/>
    </xf>
    <xf numFmtId="2" fontId="13" fillId="0" borderId="76" xfId="1" applyNumberFormat="1" applyFont="1" applyBorder="1" applyAlignment="1">
      <alignment horizontal="center" vertical="center"/>
    </xf>
    <xf numFmtId="2" fontId="13" fillId="0" borderId="76" xfId="0" applyNumberFormat="1" applyFont="1" applyBorder="1" applyAlignment="1">
      <alignment horizontal="center" vertical="center"/>
    </xf>
    <xf numFmtId="2" fontId="13" fillId="0" borderId="76" xfId="0" applyNumberFormat="1" applyFont="1" applyBorder="1" applyAlignment="1">
      <alignment horizontal="center" vertical="center" wrapText="1"/>
    </xf>
    <xf numFmtId="2" fontId="13" fillId="0" borderId="72" xfId="1" applyNumberFormat="1" applyFont="1" applyBorder="1" applyAlignment="1">
      <alignment horizontal="center" vertical="center"/>
    </xf>
    <xf numFmtId="2" fontId="13" fillId="0" borderId="77" xfId="1" applyNumberFormat="1" applyFont="1" applyBorder="1" applyAlignment="1">
      <alignment horizontal="center" vertical="center"/>
    </xf>
    <xf numFmtId="2" fontId="13" fillId="0" borderId="79" xfId="1" applyNumberFormat="1" applyFont="1" applyBorder="1" applyAlignment="1">
      <alignment horizontal="center" vertical="center"/>
    </xf>
    <xf numFmtId="2" fontId="13" fillId="0" borderId="77" xfId="1" applyNumberFormat="1" applyFont="1" applyBorder="1" applyAlignment="1">
      <alignment horizontal="center" vertical="center" wrapText="1"/>
    </xf>
    <xf numFmtId="2" fontId="13" fillId="0" borderId="69" xfId="0" applyNumberFormat="1" applyFont="1" applyBorder="1" applyAlignment="1">
      <alignment horizontal="center" vertical="center"/>
    </xf>
    <xf numFmtId="1" fontId="13" fillId="0" borderId="77" xfId="1" applyNumberFormat="1" applyFont="1" applyBorder="1" applyAlignment="1" applyProtection="1">
      <alignment horizontal="center" vertical="center"/>
      <protection locked="0"/>
    </xf>
    <xf numFmtId="0" fontId="36" fillId="0" borderId="80" xfId="0" applyFont="1" applyBorder="1"/>
    <xf numFmtId="49" fontId="13" fillId="0" borderId="81" xfId="1" applyNumberFormat="1" applyFont="1" applyBorder="1" applyAlignment="1" applyProtection="1">
      <alignment horizontal="center" vertical="center"/>
      <protection locked="0"/>
    </xf>
    <xf numFmtId="2" fontId="13" fillId="0" borderId="82" xfId="1" applyNumberFormat="1" applyFont="1" applyBorder="1" applyAlignment="1" applyProtection="1">
      <alignment horizontal="center" vertical="center"/>
      <protection locked="0"/>
    </xf>
    <xf numFmtId="49" fontId="13" fillId="0" borderId="82" xfId="1" applyNumberFormat="1" applyFont="1" applyBorder="1" applyAlignment="1" applyProtection="1">
      <alignment horizontal="center" vertical="center"/>
      <protection locked="0"/>
    </xf>
    <xf numFmtId="49" fontId="13" fillId="0" borderId="82" xfId="1" quotePrefix="1" applyNumberFormat="1" applyFont="1" applyBorder="1" applyAlignment="1" applyProtection="1">
      <alignment horizontal="center" vertical="center"/>
      <protection locked="0"/>
    </xf>
    <xf numFmtId="166" fontId="13" fillId="0" borderId="82" xfId="0" applyNumberFormat="1" applyFont="1" applyBorder="1" applyAlignment="1" applyProtection="1">
      <alignment horizontal="center" vertical="center"/>
      <protection locked="0"/>
    </xf>
    <xf numFmtId="1" fontId="13" fillId="0" borderId="82" xfId="1" applyNumberFormat="1" applyFont="1" applyBorder="1" applyAlignment="1">
      <alignment horizontal="center" vertical="center"/>
    </xf>
    <xf numFmtId="0" fontId="13" fillId="0" borderId="82" xfId="0" applyFont="1" applyBorder="1" applyAlignment="1" applyProtection="1">
      <alignment vertical="center"/>
      <protection locked="0"/>
    </xf>
    <xf numFmtId="0" fontId="13" fillId="0" borderId="82" xfId="1" applyFont="1" applyBorder="1" applyAlignment="1" applyProtection="1">
      <alignment horizontal="left" vertical="center"/>
      <protection locked="0"/>
    </xf>
    <xf numFmtId="2" fontId="13" fillId="0" borderId="81" xfId="1" applyNumberFormat="1" applyFont="1" applyBorder="1" applyAlignment="1">
      <alignment horizontal="center" vertical="center"/>
    </xf>
    <xf numFmtId="2" fontId="13" fillId="0" borderId="82" xfId="1" applyNumberFormat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14" fontId="13" fillId="0" borderId="82" xfId="1" applyNumberFormat="1" applyFont="1" applyBorder="1" applyAlignment="1">
      <alignment horizontal="center" vertical="center"/>
    </xf>
    <xf numFmtId="1" fontId="13" fillId="0" borderId="82" xfId="1" applyNumberFormat="1" applyFont="1" applyBorder="1" applyAlignment="1" applyProtection="1">
      <alignment horizontal="center" vertical="center"/>
      <protection locked="0"/>
    </xf>
    <xf numFmtId="166" fontId="13" fillId="0" borderId="82" xfId="1" applyNumberFormat="1" applyFont="1" applyBorder="1" applyAlignment="1" applyProtection="1">
      <alignment horizontal="center" vertical="center"/>
      <protection locked="0"/>
    </xf>
    <xf numFmtId="1" fontId="13" fillId="0" borderId="82" xfId="1" quotePrefix="1" applyNumberFormat="1" applyFont="1" applyBorder="1" applyAlignment="1" applyProtection="1">
      <alignment horizontal="center" vertical="center"/>
      <protection locked="0"/>
    </xf>
    <xf numFmtId="0" fontId="5" fillId="0" borderId="82" xfId="0" applyFont="1" applyBorder="1" applyAlignment="1" applyProtection="1">
      <alignment vertical="center"/>
      <protection locked="0"/>
    </xf>
    <xf numFmtId="49" fontId="13" fillId="0" borderId="81" xfId="1" quotePrefix="1" applyNumberFormat="1" applyFont="1" applyBorder="1" applyAlignment="1" applyProtection="1">
      <alignment horizontal="center" vertical="center"/>
      <protection locked="0"/>
    </xf>
    <xf numFmtId="0" fontId="36" fillId="0" borderId="80" xfId="0" applyFont="1" applyBorder="1" applyAlignment="1">
      <alignment horizontal="center" vertical="center"/>
    </xf>
    <xf numFmtId="0" fontId="36" fillId="0" borderId="80" xfId="0" applyFont="1" applyBorder="1" applyAlignment="1">
      <alignment horizontal="right"/>
    </xf>
    <xf numFmtId="0" fontId="4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1" fontId="38" fillId="0" borderId="82" xfId="1" quotePrefix="1" applyNumberFormat="1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>
      <alignment horizontal="left" vertical="center"/>
    </xf>
    <xf numFmtId="166" fontId="13" fillId="0" borderId="0" xfId="0" applyNumberFormat="1" applyFont="1" applyAlignment="1" applyProtection="1">
      <alignment horizontal="left"/>
      <protection locked="0"/>
    </xf>
    <xf numFmtId="0" fontId="0" fillId="0" borderId="50" xfId="0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13" fillId="0" borderId="0" xfId="0" applyFont="1" applyAlignment="1" applyProtection="1">
      <alignment horizontal="left"/>
      <protection locked="0"/>
    </xf>
    <xf numFmtId="14" fontId="13" fillId="0" borderId="0" xfId="0" applyNumberFormat="1" applyFont="1" applyAlignment="1" applyProtection="1">
      <alignment horizontal="left"/>
      <protection locked="0"/>
    </xf>
    <xf numFmtId="0" fontId="3" fillId="0" borderId="50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7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3" fillId="0" borderId="4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5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0" fillId="0" borderId="3" xfId="0" applyFont="1" applyBorder="1" applyAlignment="1">
      <alignment horizontal="center" vertical="top"/>
    </xf>
    <xf numFmtId="0" fontId="10" fillId="0" borderId="48" xfId="0" applyFont="1" applyBorder="1" applyAlignment="1">
      <alignment horizontal="center" vertical="top"/>
    </xf>
    <xf numFmtId="0" fontId="4" fillId="0" borderId="49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0" xfId="0" applyFont="1" applyBorder="1" applyAlignment="1">
      <alignment vertical="center"/>
    </xf>
    <xf numFmtId="0" fontId="3" fillId="0" borderId="0" xfId="0" applyFont="1" applyAlignment="1">
      <alignment horizontal="left"/>
    </xf>
    <xf numFmtId="2" fontId="13" fillId="0" borderId="77" xfId="1" applyNumberFormat="1" applyFont="1" applyBorder="1" applyAlignment="1">
      <alignment horizontal="center" vertical="center" wrapText="1"/>
    </xf>
    <xf numFmtId="2" fontId="13" fillId="0" borderId="82" xfId="1" applyNumberFormat="1" applyFont="1" applyBorder="1" applyAlignment="1">
      <alignment horizontal="center" vertical="center"/>
    </xf>
    <xf numFmtId="2" fontId="13" fillId="0" borderId="82" xfId="1" applyNumberFormat="1" applyFont="1" applyBorder="1" applyAlignment="1">
      <alignment horizontal="center" vertical="center" wrapText="1"/>
    </xf>
    <xf numFmtId="2" fontId="13" fillId="0" borderId="0" xfId="1" applyNumberFormat="1" applyFont="1" applyAlignment="1">
      <alignment horizontal="center" vertical="center" wrapText="1"/>
    </xf>
    <xf numFmtId="0" fontId="6" fillId="0" borderId="4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43" xfId="1" applyFont="1" applyBorder="1" applyAlignment="1">
      <alignment horizontal="center"/>
    </xf>
    <xf numFmtId="0" fontId="6" fillId="0" borderId="49" xfId="1" applyFont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6" fillId="0" borderId="51" xfId="1" applyFont="1" applyBorder="1" applyAlignment="1">
      <alignment horizontal="center"/>
    </xf>
    <xf numFmtId="2" fontId="13" fillId="0" borderId="72" xfId="1" applyNumberFormat="1" applyFont="1" applyBorder="1" applyAlignment="1">
      <alignment horizontal="center" vertical="center"/>
    </xf>
    <xf numFmtId="2" fontId="13" fillId="0" borderId="77" xfId="1" applyNumberFormat="1" applyFont="1" applyBorder="1" applyAlignment="1">
      <alignment horizontal="center" vertical="center"/>
    </xf>
    <xf numFmtId="2" fontId="13" fillId="0" borderId="78" xfId="1" applyNumberFormat="1" applyFont="1" applyBorder="1" applyAlignment="1">
      <alignment horizontal="center" vertical="center"/>
    </xf>
    <xf numFmtId="2" fontId="13" fillId="0" borderId="79" xfId="1" applyNumberFormat="1" applyFont="1" applyBorder="1" applyAlignment="1">
      <alignment horizontal="center" vertical="center"/>
    </xf>
    <xf numFmtId="2" fontId="13" fillId="0" borderId="0" xfId="1" applyNumberFormat="1" applyFont="1" applyAlignment="1">
      <alignment horizontal="center" vertical="center"/>
    </xf>
    <xf numFmtId="2" fontId="13" fillId="0" borderId="38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/>
    </xf>
    <xf numFmtId="0" fontId="16" fillId="3" borderId="3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/>
    </xf>
    <xf numFmtId="0" fontId="22" fillId="4" borderId="33" xfId="0" applyFont="1" applyFill="1" applyBorder="1" applyAlignment="1">
      <alignment horizontal="center"/>
    </xf>
    <xf numFmtId="0" fontId="22" fillId="4" borderId="34" xfId="0" applyFont="1" applyFill="1" applyBorder="1" applyAlignment="1">
      <alignment horizontal="center"/>
    </xf>
    <xf numFmtId="0" fontId="22" fillId="4" borderId="35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/>
    </xf>
    <xf numFmtId="0" fontId="23" fillId="4" borderId="34" xfId="0" applyFont="1" applyFill="1" applyBorder="1" applyAlignment="1">
      <alignment horizontal="center" wrapText="1"/>
    </xf>
    <xf numFmtId="166" fontId="23" fillId="4" borderId="34" xfId="0" applyNumberFormat="1" applyFont="1" applyFill="1" applyBorder="1" applyAlignment="1">
      <alignment horizontal="center" wrapText="1"/>
    </xf>
    <xf numFmtId="166" fontId="23" fillId="4" borderId="34" xfId="0" applyNumberFormat="1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16" fillId="2" borderId="34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/>
    </xf>
    <xf numFmtId="0" fontId="16" fillId="3" borderId="34" xfId="0" applyFont="1" applyFill="1" applyBorder="1" applyAlignment="1">
      <alignment horizontal="center"/>
    </xf>
    <xf numFmtId="0" fontId="16" fillId="3" borderId="35" xfId="0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14" fontId="20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6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166" fontId="19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</cellXfs>
  <cellStyles count="3">
    <cellStyle name="Excel Built-in Normal" xfId="2" xr:uid="{DC0CCEC1-40B4-3446-A16F-4A61C416D634}"/>
    <cellStyle name="Normal" xfId="0" builtinId="0"/>
    <cellStyle name="Normal_Sheet1" xfId="1" xr:uid="{00000000-0005-0000-0000-000001000000}"/>
  </cellStyles>
  <dxfs count="122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6CAF0"/>
      <color rgb="FF94A6E7"/>
      <color rgb="FFCC9CCC"/>
      <color rgb="FFD3B2D0"/>
      <color rgb="FFCAC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75C35179-4BB3-0F40-A219-B44EC774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5900" y="2108200"/>
          <a:ext cx="848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CBC24A1F-97A3-8F4D-8A1D-9C3CEBEE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5900" y="2108200"/>
          <a:ext cx="8483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4233DA98-9207-CD42-903A-E1930D160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3520" y="2108200"/>
          <a:ext cx="9093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D69ED6CC-D713-414A-B635-21B48E3D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82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3533A4F-A080-1642-8563-28452D522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C76AE236-4784-D24F-AD12-254F588ED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7CEFF0A4-791E-7248-BB9F-D363404F6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96C79115-1769-114D-8027-F517D3EA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68393383-3DCC-A141-A01B-4B0E0240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9A6FB564-072C-CD4F-936B-C55BB8E5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998C734D-366A-F24A-83CB-5B15F92CF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9" name="Picture 192">
          <a:extLst>
            <a:ext uri="{FF2B5EF4-FFF2-40B4-BE49-F238E27FC236}">
              <a16:creationId xmlns:a16="http://schemas.microsoft.com/office/drawing/2014/main" id="{413689F3-E0A9-6F43-98FD-CA931046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8CC3A260-FB74-0143-AEA5-1764CCC81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A9206EFE-B7FE-734F-9610-A86944286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D40A6AC6-900C-5440-B4E6-1F36AD858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D4A634D6-96ED-A94A-BC68-4D8058BB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8BBF9BD3-9207-0E4F-9E9B-5103EEF7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D780DE3F-8BEF-A648-915A-4462273BE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3B2888D2-9CFA-CB44-8FFF-86A0017C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4939C53E-4A45-D14A-8076-3AF992D9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0DD890C6-3689-3749-A817-3D5E10E3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9803C577-28C6-E64E-85F4-2694D88B3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3" name="Picture 1" descr="logo2">
          <a:extLst>
            <a:ext uri="{FF2B5EF4-FFF2-40B4-BE49-F238E27FC236}">
              <a16:creationId xmlns:a16="http://schemas.microsoft.com/office/drawing/2014/main" id="{DC18BCE9-8648-D341-8BBF-71AF1E46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342900</xdr:colOff>
      <xdr:row>6</xdr:row>
      <xdr:rowOff>0</xdr:rowOff>
    </xdr:from>
    <xdr:to>
      <xdr:col>27</xdr:col>
      <xdr:colOff>251460</xdr:colOff>
      <xdr:row>6</xdr:row>
      <xdr:rowOff>0</xdr:rowOff>
    </xdr:to>
    <xdr:pic>
      <xdr:nvPicPr>
        <xdr:cNvPr id="4" name="Picture 20" descr="logo2">
          <a:extLst>
            <a:ext uri="{FF2B5EF4-FFF2-40B4-BE49-F238E27FC236}">
              <a16:creationId xmlns:a16="http://schemas.microsoft.com/office/drawing/2014/main" id="{BEFD0D78-C126-E34B-8E77-F552460B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3200" y="1968500"/>
          <a:ext cx="8356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350520</xdr:colOff>
      <xdr:row>6</xdr:row>
      <xdr:rowOff>0</xdr:rowOff>
    </xdr:from>
    <xdr:to>
      <xdr:col>27</xdr:col>
      <xdr:colOff>320040</xdr:colOff>
      <xdr:row>6</xdr:row>
      <xdr:rowOff>0</xdr:rowOff>
    </xdr:to>
    <xdr:pic>
      <xdr:nvPicPr>
        <xdr:cNvPr id="5" name="Picture 23" descr="logo2">
          <a:extLst>
            <a:ext uri="{FF2B5EF4-FFF2-40B4-BE49-F238E27FC236}">
              <a16:creationId xmlns:a16="http://schemas.microsoft.com/office/drawing/2014/main" id="{617DFC21-72C9-7B47-9ACB-AB8E4390D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0820" y="1968500"/>
          <a:ext cx="896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381000</xdr:colOff>
      <xdr:row>6</xdr:row>
      <xdr:rowOff>0</xdr:rowOff>
    </xdr:to>
    <xdr:pic>
      <xdr:nvPicPr>
        <xdr:cNvPr id="6" name="Picture 24" descr="logo2">
          <a:extLst>
            <a:ext uri="{FF2B5EF4-FFF2-40B4-BE49-F238E27FC236}">
              <a16:creationId xmlns:a16="http://schemas.microsoft.com/office/drawing/2014/main" id="{8726A1B1-8AE1-424A-B2CE-4C81E838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"/>
          <a:ext cx="381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8" name="Picture 192">
          <a:extLst>
            <a:ext uri="{FF2B5EF4-FFF2-40B4-BE49-F238E27FC236}">
              <a16:creationId xmlns:a16="http://schemas.microsoft.com/office/drawing/2014/main" id="{832C0B67-5E13-E245-A92F-5B241EE8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51"/>
  <sheetViews>
    <sheetView showGridLines="0" showRowColHeaders="0" showZeros="0" tabSelected="1" zoomScale="99" zoomScaleNormal="100" workbookViewId="0">
      <selection activeCell="B9" sqref="B9"/>
    </sheetView>
  </sheetViews>
  <sheetFormatPr baseColWidth="10" defaultColWidth="9.19921875" defaultRowHeight="13"/>
  <cols>
    <col min="1" max="1" width="4.3984375" customWidth="1"/>
    <col min="2" max="2" width="10.19921875" customWidth="1"/>
    <col min="3" max="3" width="7" style="7" customWidth="1"/>
    <col min="4" max="4" width="8" style="7" customWidth="1"/>
    <col min="5" max="5" width="5.796875" style="7" customWidth="1"/>
    <col min="6" max="6" width="7.59765625" style="7" customWidth="1"/>
    <col min="7" max="7" width="10.59765625" style="7" customWidth="1"/>
    <col min="8" max="8" width="4.3984375" style="7" customWidth="1"/>
    <col min="9" max="9" width="27.796875" customWidth="1"/>
    <col min="10" max="10" width="20.59765625" customWidth="1"/>
    <col min="11" max="19" width="6.796875" style="7" customWidth="1"/>
    <col min="20" max="23" width="8" style="7" customWidth="1"/>
    <col min="24" max="24" width="9" style="7" customWidth="1"/>
    <col min="25" max="26" width="8" style="7" customWidth="1"/>
    <col min="27" max="27" width="4.59765625" style="7" customWidth="1"/>
    <col min="28" max="28" width="5" style="7" customWidth="1"/>
    <col min="29" max="29" width="9.3984375" hidden="1" customWidth="1"/>
    <col min="30" max="35" width="9.19921875" hidden="1" customWidth="1"/>
    <col min="36" max="36" width="8.79687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251" t="s">
        <v>44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U2" s="67" t="s">
        <v>49</v>
      </c>
      <c r="Z2"/>
      <c r="AA2"/>
      <c r="AB2"/>
    </row>
    <row r="3" spans="1:36" ht="29">
      <c r="A3" s="7"/>
      <c r="B3" s="7"/>
      <c r="E3" s="68"/>
      <c r="G3" s="252" t="s">
        <v>17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154" t="s">
        <v>50</v>
      </c>
      <c r="T3" s="154"/>
      <c r="U3" s="154"/>
      <c r="V3" s="154"/>
      <c r="W3" s="154"/>
      <c r="X3" s="154"/>
      <c r="Y3" s="154"/>
      <c r="Z3" s="154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55" t="s">
        <v>16</v>
      </c>
      <c r="D5" s="253" t="s">
        <v>85</v>
      </c>
      <c r="E5" s="253"/>
      <c r="F5" s="253"/>
      <c r="G5" s="253"/>
      <c r="H5" s="253"/>
      <c r="I5" s="253"/>
      <c r="J5" s="155" t="s">
        <v>0</v>
      </c>
      <c r="K5" s="253" t="s">
        <v>88</v>
      </c>
      <c r="L5" s="253"/>
      <c r="M5" s="253"/>
      <c r="N5" s="253"/>
      <c r="O5" s="155" t="s">
        <v>1</v>
      </c>
      <c r="P5" s="254" t="s">
        <v>89</v>
      </c>
      <c r="Q5" s="254"/>
      <c r="R5" s="254"/>
      <c r="S5" s="254"/>
      <c r="T5" s="155" t="s">
        <v>2</v>
      </c>
      <c r="U5" s="243">
        <v>45829</v>
      </c>
      <c r="V5" s="243"/>
      <c r="W5" s="156"/>
      <c r="X5" s="156"/>
      <c r="Y5" s="156"/>
      <c r="Z5" s="157" t="s">
        <v>15</v>
      </c>
      <c r="AA5" s="157"/>
      <c r="AB5" s="158">
        <v>1</v>
      </c>
      <c r="AH5" s="146"/>
      <c r="AI5" s="146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280" t="s">
        <v>69</v>
      </c>
      <c r="C7" s="132" t="s">
        <v>3</v>
      </c>
      <c r="D7" s="133" t="s">
        <v>4</v>
      </c>
      <c r="E7" s="134" t="s">
        <v>18</v>
      </c>
      <c r="F7" s="135" t="s">
        <v>18</v>
      </c>
      <c r="G7" s="136" t="s">
        <v>5</v>
      </c>
      <c r="H7" s="136" t="s">
        <v>19</v>
      </c>
      <c r="I7" s="136" t="s">
        <v>6</v>
      </c>
      <c r="J7" s="136" t="s">
        <v>7</v>
      </c>
      <c r="K7" s="291" t="s">
        <v>8</v>
      </c>
      <c r="L7" s="292"/>
      <c r="M7" s="293"/>
      <c r="N7" s="291" t="s">
        <v>9</v>
      </c>
      <c r="O7" s="292"/>
      <c r="P7" s="293"/>
      <c r="Q7" s="294" t="s">
        <v>20</v>
      </c>
      <c r="R7" s="295"/>
      <c r="S7" s="295"/>
      <c r="T7" s="295"/>
      <c r="U7" s="137" t="s">
        <v>10</v>
      </c>
      <c r="V7" s="132" t="s">
        <v>51</v>
      </c>
      <c r="W7" s="132" t="s">
        <v>22</v>
      </c>
      <c r="X7" s="132" t="s">
        <v>23</v>
      </c>
      <c r="Y7" s="136" t="s">
        <v>46</v>
      </c>
      <c r="Z7" s="138" t="s">
        <v>24</v>
      </c>
      <c r="AA7" s="138" t="s">
        <v>25</v>
      </c>
      <c r="AB7" s="139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68</v>
      </c>
    </row>
    <row r="8" spans="1:36" s="17" customFormat="1" ht="15" customHeight="1">
      <c r="B8" s="281"/>
      <c r="C8" s="127" t="s">
        <v>11</v>
      </c>
      <c r="D8" s="126" t="s">
        <v>12</v>
      </c>
      <c r="E8" s="126" t="s">
        <v>27</v>
      </c>
      <c r="F8" s="122" t="s">
        <v>24</v>
      </c>
      <c r="G8" s="123" t="s">
        <v>14</v>
      </c>
      <c r="H8" s="123" t="s">
        <v>52</v>
      </c>
      <c r="I8" s="124"/>
      <c r="J8" s="124"/>
      <c r="K8" s="296" t="s">
        <v>29</v>
      </c>
      <c r="L8" s="297"/>
      <c r="M8" s="298"/>
      <c r="N8" s="296" t="s">
        <v>29</v>
      </c>
      <c r="O8" s="297"/>
      <c r="P8" s="298"/>
      <c r="Q8" s="125" t="s">
        <v>8</v>
      </c>
      <c r="R8" s="126" t="s">
        <v>9</v>
      </c>
      <c r="S8" s="127" t="s">
        <v>30</v>
      </c>
      <c r="T8" s="128" t="s">
        <v>10</v>
      </c>
      <c r="U8" s="125" t="s">
        <v>45</v>
      </c>
      <c r="V8" s="129" t="s">
        <v>10</v>
      </c>
      <c r="W8" s="129" t="s">
        <v>10</v>
      </c>
      <c r="X8" s="129" t="s">
        <v>10</v>
      </c>
      <c r="Y8" s="123" t="s">
        <v>47</v>
      </c>
      <c r="Z8" s="130" t="s">
        <v>31</v>
      </c>
      <c r="AA8" s="130"/>
      <c r="AB8" s="131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67</v>
      </c>
    </row>
    <row r="9" spans="1:36" s="17" customFormat="1" ht="18" customHeight="1">
      <c r="B9" s="203">
        <v>2000024</v>
      </c>
      <c r="C9" s="204" t="s">
        <v>90</v>
      </c>
      <c r="D9" s="205">
        <v>70.91</v>
      </c>
      <c r="E9" s="206" t="s">
        <v>91</v>
      </c>
      <c r="F9" s="206" t="s">
        <v>92</v>
      </c>
      <c r="G9" s="208">
        <v>36614</v>
      </c>
      <c r="H9" s="209"/>
      <c r="I9" s="210" t="s">
        <v>93</v>
      </c>
      <c r="J9" s="211" t="s">
        <v>94</v>
      </c>
      <c r="K9" s="216">
        <v>66</v>
      </c>
      <c r="L9" s="218">
        <v>69</v>
      </c>
      <c r="M9" s="218">
        <v>-71</v>
      </c>
      <c r="N9" s="216">
        <v>88</v>
      </c>
      <c r="O9" s="218">
        <v>-92</v>
      </c>
      <c r="P9" s="218">
        <v>-92</v>
      </c>
      <c r="Q9" s="168">
        <f>IF(MAX(K9:M9)&gt;0,IF(MAX(K9:M9)&lt;0,0,TRUNC(MAX(K9:M9)/1)*1),"")</f>
        <v>69</v>
      </c>
      <c r="R9" s="169">
        <f>IF(MAX(N9:P9)&gt;0,IF(MAX(N9:P9)&lt;0,0,TRUNC(MAX(N9:P9)/1)*1),"")</f>
        <v>88</v>
      </c>
      <c r="S9" s="170">
        <f>IF(Q9="","",IF(R9="","",IF(SUM(Q9:R9)=0,"",SUM(Q9:R9))))</f>
        <v>157</v>
      </c>
      <c r="T9" s="171">
        <f>IF(S9="","",IF(E9="","",IF((AD9="k"),IF(D9&gt;153.757,S9,IF(D9&lt;28,10^(0.787004341*LOG10(28/153.757)^2)*S9,10^(0.787004341*LOG10(D9/153.757)^2)*S9)),IF(D9&gt;193.609,S9,IF(D9&lt;32,10^(0.722762521*LOG10(32/193.609)^2)*S9,10^(0.722762521*LOG10(D9/193.609)^2)*S9)))))</f>
        <v>192.67115060314654</v>
      </c>
      <c r="U9" s="186" t="str">
        <f>IF(AF9=1,T9*AI9,"")</f>
        <v/>
      </c>
      <c r="V9" s="188">
        <f>IF('K1'!G7="","",'K1'!G7)</f>
        <v>6.75</v>
      </c>
      <c r="W9" s="172">
        <f>IF('K1'!K7="","",'K1'!K7)</f>
        <v>11.6</v>
      </c>
      <c r="X9" s="172">
        <f>IF('K1'!N7="","",'K1'!N7)</f>
        <v>7.5</v>
      </c>
      <c r="Y9" s="173"/>
      <c r="Z9" s="171"/>
      <c r="AA9" s="191"/>
      <c r="AB9" s="174"/>
      <c r="AC9" s="70">
        <f>U5</f>
        <v>45829</v>
      </c>
      <c r="AD9" s="84" t="str">
        <f>IF(ISNUMBER(FIND("M",E9)),"m",IF(ISNUMBER(FIND("K",E9)),"k"))</f>
        <v>k</v>
      </c>
      <c r="AE9" s="85">
        <f>IF(OR(G9="",AC9=""),0,(YEAR(AC9)-YEAR(G9)))</f>
        <v>25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18">
        <f>IF(D9="","",IF(D9&gt;193.609,1,IF(D9&lt;32,10^(0.722762521*LOG10(32/193.609)^2),10^(0.722762521*LOG10(D9/193.609)^2))))</f>
        <v>1.372561232995362</v>
      </c>
    </row>
    <row r="10" spans="1:36" s="17" customFormat="1" ht="18" customHeight="1">
      <c r="B10" s="203"/>
      <c r="C10" s="212"/>
      <c r="D10" s="213"/>
      <c r="E10" s="213"/>
      <c r="F10" s="214"/>
      <c r="G10" s="215"/>
      <c r="H10" s="216"/>
      <c r="I10" s="211"/>
      <c r="J10" s="211"/>
      <c r="K10" s="289"/>
      <c r="L10" s="289"/>
      <c r="M10" s="289"/>
      <c r="N10" s="288"/>
      <c r="O10" s="288"/>
      <c r="P10" s="288"/>
      <c r="Q10" s="102"/>
      <c r="R10" s="140"/>
      <c r="S10" s="290">
        <f>IF(T9="","",T9*1.2)</f>
        <v>231.20538072377585</v>
      </c>
      <c r="T10" s="290"/>
      <c r="U10" s="177"/>
      <c r="V10" s="189">
        <f>IF(V9="","",V9*20)</f>
        <v>135</v>
      </c>
      <c r="W10" s="194">
        <f>IF(W9="","",(W9*10)*AJ9)</f>
        <v>159.217103027462</v>
      </c>
      <c r="X10" s="195">
        <f>IF(X9="","",IF((80+(8-ROUNDUP(X9,1))*40)&lt;0,0,80+(8-ROUNDUP(X9,1))*40))</f>
        <v>100</v>
      </c>
      <c r="Y10" s="195">
        <f>IF(SUM(V10,W10,X10)&gt;0,SUM(V10,W10,X10),"")</f>
        <v>394.21710302746203</v>
      </c>
      <c r="Z10" s="196">
        <f>IF(AE9&gt;34,(IF(OR(S10="",V10="",W10="",X10=""),"",SUM(S10,V10,W10,X10))*AI9),IF(OR(S10="",V10="",W10="",X10=""),"", SUM(S10,V10,W10,X10)))</f>
        <v>625.42248375123791</v>
      </c>
      <c r="AA10" s="192">
        <v>2</v>
      </c>
      <c r="AB10" s="175"/>
      <c r="AC10" s="70"/>
      <c r="AD10" s="84"/>
      <c r="AE10" s="85"/>
      <c r="AF10" s="86"/>
      <c r="AG10" s="87"/>
      <c r="AH10" s="87"/>
      <c r="AI10" s="87"/>
      <c r="AJ10" s="120"/>
    </row>
    <row r="11" spans="1:36" s="17" customFormat="1" ht="18" customHeight="1">
      <c r="B11" s="203">
        <v>1996021</v>
      </c>
      <c r="C11" s="204" t="s">
        <v>90</v>
      </c>
      <c r="D11" s="205">
        <v>76.25</v>
      </c>
      <c r="E11" s="206" t="s">
        <v>91</v>
      </c>
      <c r="F11" s="206" t="s">
        <v>92</v>
      </c>
      <c r="G11" s="208">
        <v>35145</v>
      </c>
      <c r="H11" s="209"/>
      <c r="I11" s="210" t="s">
        <v>95</v>
      </c>
      <c r="J11" s="211" t="s">
        <v>94</v>
      </c>
      <c r="K11" s="216">
        <v>61</v>
      </c>
      <c r="L11" s="218">
        <v>64</v>
      </c>
      <c r="M11" s="218">
        <v>-66</v>
      </c>
      <c r="N11" s="216">
        <v>79</v>
      </c>
      <c r="O11" s="218">
        <v>82</v>
      </c>
      <c r="P11" s="218">
        <v>-84</v>
      </c>
      <c r="Q11" s="180">
        <f>IF(MAX(K11:M11)&gt;0,IF(MAX(K11:M11)&lt;0,0,TRUNC(MAX(K11:M11)/1)*1),"")</f>
        <v>64</v>
      </c>
      <c r="R11" s="181">
        <f>IF(MAX(N11:P11)&gt;0,IF(MAX(N11:P11)&lt;0,0,TRUNC(MAX(N11:P11)/1)*1),"")</f>
        <v>82</v>
      </c>
      <c r="S11" s="182">
        <f>IF(Q11="","",IF(R11="","",IF(SUM(Q11:R11)=0,"",SUM(Q11:R11))))</f>
        <v>146</v>
      </c>
      <c r="T11" s="171">
        <f>IF(S11="","",IF(E11="","",IF((AD11="k"),IF(D11&gt;153.757,S11,IF(D11&lt;28,10^(0.787004341*LOG10(28/153.757)^2)*S11,10^(0.787004341*LOG10(D11/153.757)^2)*S11)),IF(D11&gt;193.609,S11,IF(D11&lt;32,10^(0.722762521*LOG10(32/193.609)^2)*S11,10^(0.722762521*LOG10(D11/193.609)^2)*S11)))))</f>
        <v>172.73074956136222</v>
      </c>
      <c r="U11" s="187" t="str">
        <f>IF(AF11=1,T11*AI11,"")</f>
        <v/>
      </c>
      <c r="V11" s="190">
        <f>IF('K1'!G9="","",'K1'!G9)</f>
        <v>6.68</v>
      </c>
      <c r="W11" s="184">
        <f>IF('K1'!K9="","",'K1'!K9)</f>
        <v>11.6</v>
      </c>
      <c r="X11" s="184">
        <f>IF('K1'!N9="","",'K1'!N9)</f>
        <v>7.7</v>
      </c>
      <c r="Y11" s="185"/>
      <c r="Z11" s="183"/>
      <c r="AA11" s="193"/>
      <c r="AB11" s="176"/>
      <c r="AC11" s="70">
        <f>U5</f>
        <v>45829</v>
      </c>
      <c r="AD11" s="84" t="str">
        <f t="shared" ref="AD11" si="0">IF(ISNUMBER(FIND("M",E11)),"m",IF(ISNUMBER(FIND("K",E11)),"k"))</f>
        <v>k</v>
      </c>
      <c r="AE11" s="85">
        <f t="shared" ref="AE11" si="1">IF(OR(G11="",AC11=""),0,(YEAR(AC11)-YEAR(G11)))</f>
        <v>29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18">
        <f>IF(D11="","",IF(D11&gt;193.609,1,IF(D11&lt;32,10^(0.722762521*LOG10(32/193.609)^2),10^(0.722762521*LOG10(D11/193.609)^2))))</f>
        <v>1.3133098066988735</v>
      </c>
    </row>
    <row r="12" spans="1:36" s="17" customFormat="1" ht="18" customHeight="1">
      <c r="B12" s="203"/>
      <c r="C12" s="212"/>
      <c r="D12" s="213"/>
      <c r="E12" s="213"/>
      <c r="F12" s="214"/>
      <c r="G12" s="215"/>
      <c r="H12" s="216"/>
      <c r="I12" s="211"/>
      <c r="J12" s="211"/>
      <c r="K12" s="289"/>
      <c r="L12" s="289"/>
      <c r="M12" s="289"/>
      <c r="N12" s="288"/>
      <c r="O12" s="288"/>
      <c r="P12" s="288"/>
      <c r="Q12" s="102"/>
      <c r="R12" s="140"/>
      <c r="S12" s="290">
        <f>IF(T11="","",T11*1.2)</f>
        <v>207.27689947363464</v>
      </c>
      <c r="T12" s="290"/>
      <c r="U12" s="177"/>
      <c r="V12" s="189">
        <f>IF(V11="","",V11*20)</f>
        <v>133.6</v>
      </c>
      <c r="W12" s="194">
        <f>IF(W11="","",(W11*10)*AJ11)</f>
        <v>152.34393757706934</v>
      </c>
      <c r="X12" s="195">
        <f>IF(X11="","",IF((80+(8-ROUNDUP(X11,1))*40)&lt;0,0,80+(8-ROUNDUP(X11,1))*40))</f>
        <v>92</v>
      </c>
      <c r="Y12" s="195">
        <f>IF(SUM(V12,W12,X12)&gt;0,SUM(V12,W12,X12),"")</f>
        <v>377.94393757706933</v>
      </c>
      <c r="Z12" s="196">
        <f>IF(AE11&gt;34,(IF(OR(S12="",V12="",W12="",X12=""),"",SUM(S12,V12,W12,X12))*AI11),IF(OR(S12="",V12="",W12="",X12=""),"", SUM(S12,V12,W12,X12)))</f>
        <v>585.22083705070395</v>
      </c>
      <c r="AA12" s="192">
        <v>3</v>
      </c>
      <c r="AB12" s="175"/>
      <c r="AC12" s="70"/>
      <c r="AJ12" s="120"/>
    </row>
    <row r="13" spans="1:36" s="17" customFormat="1" ht="18" customHeight="1">
      <c r="B13" s="203">
        <v>1992011</v>
      </c>
      <c r="C13" s="204" t="s">
        <v>90</v>
      </c>
      <c r="D13" s="205">
        <v>69.069999999999993</v>
      </c>
      <c r="E13" s="206" t="s">
        <v>91</v>
      </c>
      <c r="F13" s="206" t="s">
        <v>92</v>
      </c>
      <c r="G13" s="208">
        <v>33707</v>
      </c>
      <c r="H13" s="209"/>
      <c r="I13" s="210" t="s">
        <v>96</v>
      </c>
      <c r="J13" s="211" t="s">
        <v>94</v>
      </c>
      <c r="K13" s="216">
        <v>64</v>
      </c>
      <c r="L13" s="218">
        <v>67</v>
      </c>
      <c r="M13" s="218">
        <v>69</v>
      </c>
      <c r="N13" s="216">
        <v>85</v>
      </c>
      <c r="O13" s="218">
        <v>-89</v>
      </c>
      <c r="P13" s="218">
        <v>-89</v>
      </c>
      <c r="Q13" s="180">
        <f>IF(MAX(K13:M13)&gt;0,IF(MAX(K13:M13)&lt;0,0,TRUNC(MAX(K13:M13)/1)*1),"")</f>
        <v>69</v>
      </c>
      <c r="R13" s="181">
        <f>IF(MAX(N13:P13)&gt;0,IF(MAX(N13:P13)&lt;0,0,TRUNC(MAX(N13:P13)/1)*1),"")</f>
        <v>85</v>
      </c>
      <c r="S13" s="182">
        <f>IF(Q13="","",IF(R13="","",IF(SUM(Q13:R13)=0,"",SUM(Q13:R13))))</f>
        <v>154</v>
      </c>
      <c r="T13" s="171">
        <f>IF(S13="","",IF(E13="","",IF((AD13="k"),IF(D13&gt;153.757,S13,IF(D13&lt;28,10^(0.787004341*LOG10(28/153.757)^2)*S13,10^(0.787004341*LOG10(D13/153.757)^2)*S13)),IF(D13&gt;193.609,S13,IF(D13&lt;32,10^(0.722762521*LOG10(32/193.609)^2)*S13,10^(0.722762521*LOG10(D13/193.609)^2)*S13)))))</f>
        <v>191.68197259633575</v>
      </c>
      <c r="U13" s="187" t="str">
        <f>IF(AF13=1,T13*AI13,"")</f>
        <v/>
      </c>
      <c r="V13" s="190">
        <f>IF('K1'!G11="","",'K1'!G11)</f>
        <v>7.07</v>
      </c>
      <c r="W13" s="184">
        <f>IF('K1'!K11="","",'K1'!K11)</f>
        <v>11.9</v>
      </c>
      <c r="X13" s="184">
        <f>IF('K1'!N11="","",'K1'!N11)</f>
        <v>7.2</v>
      </c>
      <c r="Y13" s="185"/>
      <c r="Z13" s="183"/>
      <c r="AA13" s="193"/>
      <c r="AB13" s="176"/>
      <c r="AC13" s="70">
        <f>U5</f>
        <v>45829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33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18">
        <f>IF(D13="","",IF(D13&gt;193.609,1,IF(D13&lt;32,10^(0.722762521*LOG10(32/193.609)^2),10^(0.722762521*LOG10(D13/193.609)^2))))</f>
        <v>1.3958082330385952</v>
      </c>
    </row>
    <row r="14" spans="1:36" s="17" customFormat="1" ht="18" customHeight="1">
      <c r="B14" s="203"/>
      <c r="C14" s="212"/>
      <c r="D14" s="213"/>
      <c r="E14" s="213"/>
      <c r="F14" s="214"/>
      <c r="G14" s="215"/>
      <c r="H14" s="216"/>
      <c r="I14" s="211"/>
      <c r="J14" s="211"/>
      <c r="K14" s="289"/>
      <c r="L14" s="289"/>
      <c r="M14" s="289"/>
      <c r="N14" s="288"/>
      <c r="O14" s="288"/>
      <c r="P14" s="288"/>
      <c r="Q14" s="102"/>
      <c r="R14" s="140"/>
      <c r="S14" s="290">
        <f>IF(T13="","",T13*1.2)</f>
        <v>230.0183671156029</v>
      </c>
      <c r="T14" s="290"/>
      <c r="U14" s="177"/>
      <c r="V14" s="189">
        <f>IF(V13="","",V13*20)</f>
        <v>141.4</v>
      </c>
      <c r="W14" s="194">
        <f>IF(W13="","",(W13*10)*AJ13)</f>
        <v>166.10117973159282</v>
      </c>
      <c r="X14" s="195">
        <f>IF(X13="","",IF((80+(8-ROUNDUP(X13,1))*40)&lt;0,0,80+(8-ROUNDUP(X13,1))*40))</f>
        <v>112</v>
      </c>
      <c r="Y14" s="195">
        <f>IF(SUM(V14,W14,X14)&gt;0,SUM(V14,W14,X14),"")</f>
        <v>419.50117973159286</v>
      </c>
      <c r="Z14" s="196">
        <f>IF(AE13&gt;34,(IF(OR(S14="",V14="",W14="",X14=""),"",SUM(S14,V14,W14,X14))*AI13),IF(OR(S14="",V14="",W14="",X14=""),"", SUM(S14,V14,W14,X14)))</f>
        <v>649.51954684719567</v>
      </c>
      <c r="AA14" s="192">
        <v>1</v>
      </c>
      <c r="AB14" s="175"/>
      <c r="AC14" s="70"/>
      <c r="AJ14" s="120"/>
    </row>
    <row r="15" spans="1:36" s="17" customFormat="1" ht="18" customHeight="1">
      <c r="B15" s="203">
        <v>1990006</v>
      </c>
      <c r="C15" s="204" t="s">
        <v>97</v>
      </c>
      <c r="D15" s="205">
        <v>63.91</v>
      </c>
      <c r="E15" s="206" t="s">
        <v>98</v>
      </c>
      <c r="F15" s="207" t="s">
        <v>99</v>
      </c>
      <c r="G15" s="208">
        <v>33166</v>
      </c>
      <c r="H15" s="209"/>
      <c r="I15" s="210" t="s">
        <v>100</v>
      </c>
      <c r="J15" s="211" t="s">
        <v>94</v>
      </c>
      <c r="K15" s="216">
        <v>70</v>
      </c>
      <c r="L15" s="218">
        <v>-73</v>
      </c>
      <c r="M15" s="218">
        <v>-73</v>
      </c>
      <c r="N15" s="216">
        <v>80</v>
      </c>
      <c r="O15" s="218">
        <v>83</v>
      </c>
      <c r="P15" s="218">
        <v>84</v>
      </c>
      <c r="Q15" s="180">
        <f>IF(MAX(K15:M15)&gt;0,IF(MAX(K15:M15)&lt;0,0,TRUNC(MAX(K15:M15)/1)*1),"")</f>
        <v>70</v>
      </c>
      <c r="R15" s="181">
        <f>IF(MAX(N15:P15)&gt;0,IF(MAX(N15:P15)&lt;0,0,TRUNC(MAX(N15:P15)/1)*1),"")</f>
        <v>84</v>
      </c>
      <c r="S15" s="182">
        <f>IF(Q15="","",IF(R15="","",IF(SUM(Q15:R15)=0,"",SUM(Q15:R15))))</f>
        <v>154</v>
      </c>
      <c r="T15" s="171">
        <f>IF(S15="","",IF(E15="","",IF((AD15="k"),IF(D15&gt;153.757,S15,IF(D15&lt;28,10^(0.787004341*LOG10(28/153.757)^2)*S15,10^(0.787004341*LOG10(D15/153.757)^2)*S15)),IF(D15&gt;193.609,S15,IF(D15&lt;32,10^(0.722762521*LOG10(32/193.609)^2)*S15,10^(0.722762521*LOG10(D15/193.609)^2)*S15)))))</f>
        <v>200.41151943386623</v>
      </c>
      <c r="U15" s="187">
        <f>IF(AF15=1,T15*AI15,"")</f>
        <v>214.84114883310463</v>
      </c>
      <c r="V15" s="190">
        <f>IF('K1'!G13="","",'K1'!G13)</f>
        <v>6.77</v>
      </c>
      <c r="W15" s="184">
        <f>IF('K1'!K13="","",'K1'!K13)</f>
        <v>12.7</v>
      </c>
      <c r="X15" s="184">
        <f>IF('K1'!N13="","",'K1'!N13)</f>
        <v>7.1</v>
      </c>
      <c r="Y15" s="185"/>
      <c r="Z15" s="183">
        <f>IF(OR(S16="",Y16=""),"",SUM(S16,Y16))</f>
        <v>678.6482488271979</v>
      </c>
      <c r="AA15" s="193"/>
      <c r="AB15" s="176"/>
      <c r="AC15" s="70">
        <f>U5</f>
        <v>45829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35</v>
      </c>
      <c r="AF15" s="86">
        <f t="shared" si="2"/>
        <v>1</v>
      </c>
      <c r="AG15" s="87">
        <f>IF(AF15=1,LOOKUP(AE15,'Meltzer-Faber'!A3:A63,'Meltzer-Faber'!B3:B63))</f>
        <v>1.0720000000000001</v>
      </c>
      <c r="AH15" s="87">
        <f>IF(AF15=1,LOOKUP(AE15,'Meltzer-Faber'!A3:A63,'Meltzer-Faber'!C3:C63))</f>
        <v>1.0720000000000001</v>
      </c>
      <c r="AI15" s="87">
        <f t="shared" ref="AI15" si="9">IF(AD15="m",AG15,IF(AD15="k",AH15,""))</f>
        <v>1.0720000000000001</v>
      </c>
      <c r="AJ15" s="118">
        <f>IF(D15="","",IF(D15&gt;193.609,1,IF(D15&lt;32,10^(0.722762521*LOG10(32/193.609)^2),10^(0.722762521*LOG10(D15/193.609)^2))))</f>
        <v>1.4705072874532168</v>
      </c>
    </row>
    <row r="16" spans="1:36" s="17" customFormat="1" ht="18" customHeight="1">
      <c r="B16" s="203"/>
      <c r="C16" s="212"/>
      <c r="D16" s="213"/>
      <c r="E16" s="213"/>
      <c r="F16" s="214"/>
      <c r="G16" s="215"/>
      <c r="H16" s="216"/>
      <c r="I16" s="211"/>
      <c r="J16" s="211"/>
      <c r="K16" s="289"/>
      <c r="L16" s="289"/>
      <c r="M16" s="289"/>
      <c r="N16" s="288"/>
      <c r="O16" s="288"/>
      <c r="P16" s="288"/>
      <c r="Q16" s="102"/>
      <c r="R16" s="140"/>
      <c r="S16" s="290">
        <f>IF(T15="","",T15*1.2)</f>
        <v>240.49382332063948</v>
      </c>
      <c r="T16" s="290"/>
      <c r="U16" s="177"/>
      <c r="V16" s="189">
        <f>IF(V15="","",V15*20)</f>
        <v>135.39999999999998</v>
      </c>
      <c r="W16" s="194">
        <f>IF(W15="","",(W15*10)*AJ15)</f>
        <v>186.75442550655853</v>
      </c>
      <c r="X16" s="195">
        <f>IF(X15="","",IF((80+(8-ROUNDUP(X15,1))*40)&lt;0,0,80+(8-ROUNDUP(X15,1))*40))</f>
        <v>116.00000000000001</v>
      </c>
      <c r="Y16" s="195">
        <f>IF(SUM(V16,W16,X16)&gt;0,SUM(V16,W16,X16),"")</f>
        <v>438.15442550655848</v>
      </c>
      <c r="Z16" s="196">
        <f>IF(AE15&gt;34,(IF(OR(S16="",V16="",W16="",X16=""),"",SUM(S16,V16,W16,X16))*AI15),IF(OR(S16="",V16="",W16="",X16=""),"", SUM(S16,V16,W16,X16)))</f>
        <v>727.51092274275629</v>
      </c>
      <c r="AA16" s="192">
        <v>1</v>
      </c>
      <c r="AB16" s="175"/>
      <c r="AC16" s="70"/>
      <c r="AJ16" s="120"/>
    </row>
    <row r="17" spans="2:41" s="17" customFormat="1" ht="18" customHeight="1">
      <c r="B17" s="203">
        <v>1980002</v>
      </c>
      <c r="C17" s="204" t="s">
        <v>101</v>
      </c>
      <c r="D17" s="205">
        <v>82.35</v>
      </c>
      <c r="E17" s="206" t="s">
        <v>102</v>
      </c>
      <c r="F17" s="207" t="s">
        <v>99</v>
      </c>
      <c r="G17" s="208">
        <v>29367</v>
      </c>
      <c r="H17" s="209"/>
      <c r="I17" s="210" t="s">
        <v>103</v>
      </c>
      <c r="J17" s="211" t="s">
        <v>94</v>
      </c>
      <c r="K17" s="216">
        <v>-50</v>
      </c>
      <c r="L17" s="218">
        <v>50</v>
      </c>
      <c r="M17" s="218">
        <v>-54</v>
      </c>
      <c r="N17" s="216">
        <v>57</v>
      </c>
      <c r="O17" s="218">
        <v>58</v>
      </c>
      <c r="P17" s="218">
        <v>61</v>
      </c>
      <c r="Q17" s="180">
        <f>IF(MAX(K17:M17)&gt;0,IF(MAX(K17:M17)&lt;0,0,TRUNC(MAX(K17:M17)/1)*1),"")</f>
        <v>50</v>
      </c>
      <c r="R17" s="181">
        <f>IF(MAX(N17:P17)&gt;0,IF(MAX(N17:P17)&lt;0,0,TRUNC(MAX(N17:P17)/1)*1),"")</f>
        <v>61</v>
      </c>
      <c r="S17" s="182">
        <f>IF(Q17="","",IF(R17="","",IF(SUM(Q17:R17)=0,"",SUM(Q17:R17))))</f>
        <v>111</v>
      </c>
      <c r="T17" s="171">
        <f>IF(S17="","",IF(E17="","",IF((AD17="k"),IF(D17&gt;153.757,S17,IF(D17&lt;28,10^(0.787004341*LOG10(28/153.757)^2)*S17,10^(0.787004341*LOG10(D17/153.757)^2)*S17)),IF(D17&gt;193.609,S17,IF(D17&lt;32,10^(0.722762521*LOG10(32/193.609)^2)*S17,10^(0.722762521*LOG10(D17/193.609)^2)*S17)))))</f>
        <v>126.82195798492364</v>
      </c>
      <c r="U17" s="187">
        <f>IF(AF17=1,T17*AI17,"")</f>
        <v>155.10325461556164</v>
      </c>
      <c r="V17" s="190" t="str">
        <f>IF('K1'!G15="","",'K1'!G15)</f>
        <v/>
      </c>
      <c r="W17" s="184" t="str">
        <f>IF('K1'!K15="","",'K1'!K15)</f>
        <v/>
      </c>
      <c r="X17" s="184" t="str">
        <f>IF('K1'!N15="","",'K1'!N15)</f>
        <v/>
      </c>
      <c r="Y17" s="185"/>
      <c r="Z17" s="183"/>
      <c r="AA17" s="193"/>
      <c r="AB17" s="176"/>
      <c r="AC17" s="70">
        <f>U5</f>
        <v>45829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45</v>
      </c>
      <c r="AF17" s="86">
        <f t="shared" si="2"/>
        <v>1</v>
      </c>
      <c r="AG17" s="87">
        <f>IF(AF17=1,LOOKUP(AE17,'Meltzer-Faber'!A3:A63,'Meltzer-Faber'!B3:B63))</f>
        <v>1.2030000000000001</v>
      </c>
      <c r="AH17" s="87">
        <f>IF(AF17=1,LOOKUP(AE17,'Meltzer-Faber'!A3:A63,'Meltzer-Faber'!C3:C63))</f>
        <v>1.2230000000000001</v>
      </c>
      <c r="AI17" s="87">
        <f t="shared" ref="AI17" si="12">IF(AD17="m",AG17,IF(AD17="k",AH17,""))</f>
        <v>1.2230000000000001</v>
      </c>
      <c r="AJ17" s="118">
        <f>IF(D17="","",IF(D17&gt;193.609,1,IF(D17&lt;32,10^(0.722762521*LOG10(32/193.609)^2),10^(0.722762521*LOG10(D17/193.609)^2))))</f>
        <v>1.2578309612192233</v>
      </c>
      <c r="AO17" s="119"/>
    </row>
    <row r="18" spans="2:41" s="17" customFormat="1" ht="18" customHeight="1">
      <c r="B18" s="203"/>
      <c r="C18" s="212"/>
      <c r="D18" s="213"/>
      <c r="E18" s="213"/>
      <c r="F18" s="214"/>
      <c r="G18" s="215"/>
      <c r="H18" s="216"/>
      <c r="I18" s="211"/>
      <c r="J18" s="211"/>
      <c r="K18" s="289"/>
      <c r="L18" s="289"/>
      <c r="M18" s="289"/>
      <c r="N18" s="288"/>
      <c r="O18" s="288"/>
      <c r="P18" s="288"/>
      <c r="Q18" s="102"/>
      <c r="R18" s="140"/>
      <c r="S18" s="290">
        <f>IF(T17="","",T17*1.2)</f>
        <v>152.18634958190836</v>
      </c>
      <c r="T18" s="290"/>
      <c r="U18" s="177"/>
      <c r="V18" s="189" t="str">
        <f>IF(V17="","",V17*20)</f>
        <v/>
      </c>
      <c r="W18" s="194" t="str">
        <f>IF(W17="","",(W17*10)*AJ17)</f>
        <v/>
      </c>
      <c r="X18" s="195" t="str">
        <f>IF(X17="","",IF((80+(8-ROUNDUP(X17,1))*40)&lt;0,0,80+(8-ROUNDUP(X17,1))*40))</f>
        <v/>
      </c>
      <c r="Y18" s="195" t="str">
        <f>IF(SUM(V18,W18,X18)&gt;0,SUM(V18,W18,X18),"")</f>
        <v/>
      </c>
      <c r="Z18" s="196" t="e">
        <f>IF(AE17&gt;34,(IF(OR(S18="",V18="",W18="",X18=""),"",SUM(S18,V18,W18,X18))*AI17),IF(OR(S18="",V18="",W18="",X18=""),"", SUM(S18,V18,W18,X18)))</f>
        <v>#VALUE!</v>
      </c>
      <c r="AA18" s="192"/>
      <c r="AB18" s="175"/>
      <c r="AC18" s="70"/>
    </row>
    <row r="19" spans="2:41" s="17" customFormat="1" ht="18" customHeight="1">
      <c r="B19" s="203">
        <v>1970001</v>
      </c>
      <c r="C19" s="204" t="s">
        <v>97</v>
      </c>
      <c r="D19" s="205">
        <v>63.69</v>
      </c>
      <c r="E19" s="206" t="s">
        <v>104</v>
      </c>
      <c r="F19" s="207" t="s">
        <v>99</v>
      </c>
      <c r="G19" s="208">
        <v>25929</v>
      </c>
      <c r="H19" s="209"/>
      <c r="I19" s="210" t="s">
        <v>105</v>
      </c>
      <c r="J19" s="211" t="s">
        <v>94</v>
      </c>
      <c r="K19" s="216">
        <v>41</v>
      </c>
      <c r="L19" s="218">
        <v>-43</v>
      </c>
      <c r="M19" s="218">
        <v>43</v>
      </c>
      <c r="N19" s="216">
        <v>56</v>
      </c>
      <c r="O19" s="218">
        <v>-59</v>
      </c>
      <c r="P19" s="218">
        <v>-61</v>
      </c>
      <c r="Q19" s="180">
        <f>IF(MAX(K19:M19)&gt;0,IF(MAX(K19:M19)&lt;0,0,TRUNC(MAX(K19:M19)/1)*1),"")</f>
        <v>43</v>
      </c>
      <c r="R19" s="181">
        <f>IF(MAX(N19:P19)&gt;0,IF(MAX(N19:P19)&lt;0,0,TRUNC(MAX(N19:P19)/1)*1),"")</f>
        <v>56</v>
      </c>
      <c r="S19" s="182">
        <f>IF(Q19="","",IF(R19="","",IF(SUM(Q19:R19)=0,"",SUM(Q19:R19))))</f>
        <v>99</v>
      </c>
      <c r="T19" s="171">
        <f>IF(S19="","",IF(E19="","",IF((AD19="k"),IF(D19&gt;153.757,S19,IF(D19&lt;28,10^(0.787004341*LOG10(28/153.757)^2)*S19,10^(0.787004341*LOG10(D19/153.757)^2)*S19)),IF(D19&gt;193.609,S19,IF(D19&lt;32,10^(0.722762521*LOG10(32/193.609)^2)*S19,10^(0.722762521*LOG10(D19/193.609)^2)*S19)))))</f>
        <v>129.1033865604231</v>
      </c>
      <c r="U19" s="187">
        <f>IF(AF19=1,T19*AI19,"")</f>
        <v>194.55880354655761</v>
      </c>
      <c r="V19" s="190" t="str">
        <f>IF('K1'!G17="","",'K1'!G17)</f>
        <v/>
      </c>
      <c r="W19" s="184" t="str">
        <f>IF('K1'!K17="","",'K1'!K17)</f>
        <v/>
      </c>
      <c r="X19" s="184" t="str">
        <f>IF('K1'!N17="","",'K1'!N17)</f>
        <v/>
      </c>
      <c r="Y19" s="185"/>
      <c r="Z19" s="183" t="str">
        <f>IF(OR(S20="",Y20=""),"",SUM(S20,Y20))</f>
        <v/>
      </c>
      <c r="AA19" s="193"/>
      <c r="AB19" s="176"/>
      <c r="AC19" s="70">
        <f>U5</f>
        <v>45829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55</v>
      </c>
      <c r="AF19" s="86">
        <f t="shared" si="2"/>
        <v>1</v>
      </c>
      <c r="AG19" s="87">
        <f>IF(AF19=1,LOOKUP(AE19,'Meltzer-Faber'!A3:A63,'Meltzer-Faber'!B3:B63))</f>
        <v>1.385</v>
      </c>
      <c r="AH19" s="87">
        <f>IF(AF19=1,LOOKUP(AE19,'Meltzer-Faber'!A3:A63,'Meltzer-Faber'!C3:C63))</f>
        <v>1.5069999999999999</v>
      </c>
      <c r="AI19" s="87">
        <f t="shared" ref="AI19" si="15">IF(AD19="m",AG19,IF(AD19="k",AH19,""))</f>
        <v>1.5069999999999999</v>
      </c>
      <c r="AJ19" s="118">
        <f>IF(D19="","",IF(D19&gt;193.609,1,IF(D19&lt;32,10^(0.722762521*LOG10(32/193.609)^2),10^(0.722762521*LOG10(D19/193.609)^2))))</f>
        <v>1.4740452990822352</v>
      </c>
    </row>
    <row r="20" spans="2:41" s="17" customFormat="1" ht="18" customHeight="1">
      <c r="B20" s="203"/>
      <c r="C20" s="212"/>
      <c r="D20" s="213"/>
      <c r="E20" s="213"/>
      <c r="F20" s="214"/>
      <c r="G20" s="215"/>
      <c r="H20" s="216"/>
      <c r="I20" s="211"/>
      <c r="J20" s="211"/>
      <c r="K20" s="289"/>
      <c r="L20" s="289"/>
      <c r="M20" s="289"/>
      <c r="N20" s="288"/>
      <c r="O20" s="288"/>
      <c r="P20" s="288"/>
      <c r="Q20" s="102"/>
      <c r="R20" s="140"/>
      <c r="S20" s="290">
        <f>IF(T19="","",T19*1.2)</f>
        <v>154.92406387250773</v>
      </c>
      <c r="T20" s="290"/>
      <c r="U20" s="177"/>
      <c r="V20" s="189" t="str">
        <f>IF(V19="","",V19*20)</f>
        <v/>
      </c>
      <c r="W20" s="194" t="str">
        <f>IF(W19="","",(W19*10)*AJ19)</f>
        <v/>
      </c>
      <c r="X20" s="195" t="str">
        <f>IF(X19="","",IF((80+(8-ROUNDUP(X19,1))*40)&lt;0,0,80+(8-ROUNDUP(X19,1))*40))</f>
        <v/>
      </c>
      <c r="Y20" s="195" t="str">
        <f>IF(SUM(V20,W20,X20)&gt;0,SUM(V20,W20,X20),"")</f>
        <v/>
      </c>
      <c r="Z20" s="196" t="e">
        <f>IF(AE19&gt;34,(IF(OR(S20="",V20="",W20="",X20=""),"",SUM(S20,V20,W20,X20))*AI19),IF(OR(S20="",V20="",W20="",X20=""),"", SUM(S20,V20,W20,X20)))</f>
        <v>#VALUE!</v>
      </c>
      <c r="AA20" s="192" t="s">
        <v>13</v>
      </c>
      <c r="AB20" s="175"/>
      <c r="AC20" s="70"/>
    </row>
    <row r="21" spans="2:41" s="17" customFormat="1" ht="18" customHeight="1">
      <c r="B21" s="203">
        <v>1976003</v>
      </c>
      <c r="C21" s="204" t="s">
        <v>106</v>
      </c>
      <c r="D21" s="205">
        <v>106.69</v>
      </c>
      <c r="E21" s="206" t="s">
        <v>107</v>
      </c>
      <c r="F21" s="207" t="s">
        <v>99</v>
      </c>
      <c r="G21" s="217">
        <v>27849</v>
      </c>
      <c r="H21" s="209"/>
      <c r="I21" s="211" t="s">
        <v>108</v>
      </c>
      <c r="J21" s="211" t="s">
        <v>94</v>
      </c>
      <c r="K21" s="216">
        <v>95</v>
      </c>
      <c r="L21" s="218">
        <v>98</v>
      </c>
      <c r="M21" s="218">
        <v>101</v>
      </c>
      <c r="N21" s="216">
        <v>127</v>
      </c>
      <c r="O21" s="218">
        <v>132</v>
      </c>
      <c r="P21" s="218">
        <v>137</v>
      </c>
      <c r="Q21" s="180">
        <f>IF(MAX(K21:M21)&gt;0,IF(MAX(K21:M21)&lt;0,0,TRUNC(MAX(K21:M21)/1)*1),"")</f>
        <v>101</v>
      </c>
      <c r="R21" s="181">
        <f>IF(MAX(N21:P21)&gt;0,IF(MAX(N21:P21)&lt;0,0,TRUNC(MAX(N21:P21)/1)*1),"")</f>
        <v>137</v>
      </c>
      <c r="S21" s="182">
        <f>IF(Q21="","",IF(R21="","",IF(SUM(Q21:R21)=0,"",SUM(Q21:R21))))</f>
        <v>238</v>
      </c>
      <c r="T21" s="171">
        <f>IF(S21="","",IF(E21="","",IF((AD21="k"),IF(D21&gt;153.757,S21,IF(D21&lt;28,10^(0.787004341*LOG10(28/153.757)^2)*S21,10^(0.787004341*LOG10(D21/153.757)^2)*S21)),IF(D21&gt;193.609,S21,IF(D21&lt;32,10^(0.722762521*LOG10(32/193.609)^2)*S21,10^(0.722762521*LOG10(D21/193.609)^2)*S21)))))</f>
        <v>266.06418859440413</v>
      </c>
      <c r="U21" s="187">
        <f>IF(AF21=1,T21*AI21,"")</f>
        <v>336.0390701947324</v>
      </c>
      <c r="V21" s="190">
        <f>IF('K1'!G19="","",'K1'!G19)</f>
        <v>7.63</v>
      </c>
      <c r="W21" s="184">
        <f>IF('K1'!K19="","",'K1'!K19)</f>
        <v>11.7</v>
      </c>
      <c r="X21" s="184">
        <f>IF('K1'!N19="","",'K1'!N19)</f>
        <v>8.1999999999999993</v>
      </c>
      <c r="Y21" s="185"/>
      <c r="Z21" s="183">
        <f>IF(OR(S22="",Y22=""),"",SUM(S22,Y22))</f>
        <v>674.67328709288699</v>
      </c>
      <c r="AA21" s="193"/>
      <c r="AB21" s="176"/>
      <c r="AC21" s="70">
        <f>U5</f>
        <v>45829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49</v>
      </c>
      <c r="AF21" s="86">
        <f t="shared" si="2"/>
        <v>1</v>
      </c>
      <c r="AG21" s="87">
        <f>IF(AF21=1,LOOKUP(AE21,'Meltzer-Faber'!A3:A63,'Meltzer-Faber'!B3:B63))</f>
        <v>1.2629999999999999</v>
      </c>
      <c r="AH21" s="87">
        <f>IF(AF21=1,LOOKUP(AE21,'Meltzer-Faber'!A3:A63,'Meltzer-Faber'!C3:C63))</f>
        <v>1.3129999999999999</v>
      </c>
      <c r="AI21" s="87">
        <f t="shared" ref="AI21" si="18">IF(AD21="m",AG21,IF(AD21="k",AH21,""))</f>
        <v>1.2629999999999999</v>
      </c>
      <c r="AJ21" s="118">
        <f>IF(D21="","",IF(D21&gt;193.609,1,IF(D21&lt;32,10^(0.722762521*LOG10(32/193.609)^2),10^(0.722762521*LOG10(D21/193.609)^2))))</f>
        <v>1.1179167588000174</v>
      </c>
    </row>
    <row r="22" spans="2:41" s="17" customFormat="1" ht="18" customHeight="1">
      <c r="B22" s="203"/>
      <c r="C22" s="212"/>
      <c r="D22" s="213"/>
      <c r="E22" s="213"/>
      <c r="F22" s="214"/>
      <c r="G22" s="215"/>
      <c r="H22" s="216"/>
      <c r="I22" s="211"/>
      <c r="J22" s="211"/>
      <c r="K22" s="289"/>
      <c r="L22" s="289"/>
      <c r="M22" s="289"/>
      <c r="N22" s="288"/>
      <c r="O22" s="288"/>
      <c r="P22" s="288"/>
      <c r="Q22" s="102"/>
      <c r="R22" s="140"/>
      <c r="S22" s="290">
        <f>IF(T21="","",T21*1.2)</f>
        <v>319.27702631328492</v>
      </c>
      <c r="T22" s="290"/>
      <c r="U22" s="177"/>
      <c r="V22" s="189">
        <f>IF(V21="","",V21*20)</f>
        <v>152.6</v>
      </c>
      <c r="W22" s="194">
        <f>IF(W21="","",(W21*10)*AJ21)</f>
        <v>130.79626077960202</v>
      </c>
      <c r="X22" s="195">
        <f>IF(X21="","",IF((80+(8-ROUNDUP(X21,1))*40)&lt;0,0,80+(8-ROUNDUP(X21,1))*40))</f>
        <v>72.000000000000028</v>
      </c>
      <c r="Y22" s="195">
        <f>IF(SUM(V22,W22,X22)&gt;0,SUM(V22,W22,X22),"")</f>
        <v>355.39626077960202</v>
      </c>
      <c r="Z22" s="196">
        <f>IF(AE21&gt;34,(IF(OR(S22="",V22="",W22="",X22=""),"",SUM(S22,V22,W22,X22))*AI21),IF(OR(S22="",V22="",W22="",X22=""),"", SUM(S22,V22,W22,X22)))</f>
        <v>852.11236159831606</v>
      </c>
      <c r="AA22" s="192">
        <v>1</v>
      </c>
      <c r="AB22" s="175"/>
      <c r="AC22" s="70"/>
    </row>
    <row r="23" spans="2:41" s="17" customFormat="1" ht="18" customHeight="1">
      <c r="B23" s="203">
        <v>1963002</v>
      </c>
      <c r="C23" s="204" t="s">
        <v>109</v>
      </c>
      <c r="D23" s="205">
        <v>87.64</v>
      </c>
      <c r="E23" s="206" t="s">
        <v>110</v>
      </c>
      <c r="F23" s="206" t="s">
        <v>99</v>
      </c>
      <c r="G23" s="208">
        <v>23243</v>
      </c>
      <c r="H23" s="209"/>
      <c r="I23" s="210" t="s">
        <v>111</v>
      </c>
      <c r="J23" s="210" t="s">
        <v>112</v>
      </c>
      <c r="K23" s="216">
        <v>52</v>
      </c>
      <c r="L23" s="218">
        <v>-55</v>
      </c>
      <c r="M23" s="218">
        <v>55</v>
      </c>
      <c r="N23" s="216">
        <v>65</v>
      </c>
      <c r="O23" s="218">
        <v>69</v>
      </c>
      <c r="P23" s="218">
        <v>72</v>
      </c>
      <c r="Q23" s="180">
        <f>IF(MAX(K23:M23)&gt;0,IF(MAX(K23:M23)&lt;0,0,TRUNC(MAX(K23:M23)/1)*1),"")</f>
        <v>55</v>
      </c>
      <c r="R23" s="181">
        <f>IF(MAX(N23:P23)&gt;0,IF(MAX(N23:P23)&lt;0,0,TRUNC(MAX(N23:P23)/1)*1),"")</f>
        <v>72</v>
      </c>
      <c r="S23" s="182">
        <f>IF(Q23="","",IF(R23="","",IF(SUM(Q23:R23)=0,"",SUM(Q23:R23))))</f>
        <v>127</v>
      </c>
      <c r="T23" s="171">
        <f>IF(S23="","",IF(E23="","",IF((AD23="k"),IF(D23&gt;153.757,S23,IF(D23&lt;28,10^(0.787004341*LOG10(28/153.757)^2)*S23,10^(0.787004341*LOG10(D23/153.757)^2)*S23)),IF(D23&gt;193.609,S23,IF(D23&lt;32,10^(0.722762521*LOG10(32/193.609)^2)*S23,10^(0.722762521*LOG10(D23/193.609)^2)*S23)))))</f>
        <v>154.68334596179588</v>
      </c>
      <c r="U23" s="187">
        <f>IF(AF23=1,T23*AI23,"")</f>
        <v>242.54348646809595</v>
      </c>
      <c r="V23" s="190">
        <f>IF('K1'!G21="","",'K1'!G21)</f>
        <v>6.09</v>
      </c>
      <c r="W23" s="184">
        <f>IF('K1'!K21="","",'K1'!K21)</f>
        <v>10.199999999999999</v>
      </c>
      <c r="X23" s="184">
        <f>IF('K1'!N21="","",'K1'!N21)</f>
        <v>8.9</v>
      </c>
      <c r="Y23" s="185"/>
      <c r="Z23" s="183">
        <f>IF(OR(S24="",Y24=""),"",SUM(S24,Y24))</f>
        <v>475.65388356441628</v>
      </c>
      <c r="AA23" s="193"/>
      <c r="AB23" s="176"/>
      <c r="AC23" s="70">
        <f>U5</f>
        <v>45829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62</v>
      </c>
      <c r="AF23" s="86">
        <f t="shared" si="2"/>
        <v>1</v>
      </c>
      <c r="AG23" s="87">
        <f>IF(AF23=1,LOOKUP(AE23,'Meltzer-Faber'!A3:A63,'Meltzer-Faber'!B3:B63))</f>
        <v>1.5680000000000001</v>
      </c>
      <c r="AH23" s="87">
        <f>IF(AF23=1,LOOKUP(AE23,'Meltzer-Faber'!A3:A63,'Meltzer-Faber'!C3:C63))</f>
        <v>1.778</v>
      </c>
      <c r="AI23" s="87">
        <f t="shared" ref="AI23" si="21">IF(AD23="m",AG23,IF(AD23="k",AH23,""))</f>
        <v>1.5680000000000001</v>
      </c>
      <c r="AJ23" s="118">
        <f>IF(D23="","",IF(D23&gt;193.609,1,IF(D23&lt;32,10^(0.722762521*LOG10(32/193.609)^2),10^(0.722762521*LOG10(D23/193.609)^2))))</f>
        <v>1.2179791020613848</v>
      </c>
    </row>
    <row r="24" spans="2:41" s="17" customFormat="1" ht="18" customHeight="1">
      <c r="B24" s="203"/>
      <c r="C24" s="212"/>
      <c r="D24" s="213"/>
      <c r="E24" s="213"/>
      <c r="F24" s="214"/>
      <c r="G24" s="215"/>
      <c r="H24" s="216"/>
      <c r="I24" s="211"/>
      <c r="J24" s="211"/>
      <c r="K24" s="289"/>
      <c r="L24" s="289"/>
      <c r="M24" s="289"/>
      <c r="N24" s="288"/>
      <c r="O24" s="288"/>
      <c r="P24" s="288"/>
      <c r="Q24" s="102"/>
      <c r="R24" s="140"/>
      <c r="S24" s="290">
        <f>IF(T23="","",T23*1.2)</f>
        <v>185.62001515415506</v>
      </c>
      <c r="T24" s="290"/>
      <c r="U24" s="177"/>
      <c r="V24" s="189">
        <f>IF(V23="","",V23*20)</f>
        <v>121.8</v>
      </c>
      <c r="W24" s="194">
        <f>IF(W23="","",(W23*10)*AJ23)</f>
        <v>124.23386841026125</v>
      </c>
      <c r="X24" s="195">
        <f>IF(X23="","",IF((80+(8-ROUNDUP(X23,1))*40)&lt;0,0,80+(8-ROUNDUP(X23,1))*40))</f>
        <v>43.999999999999986</v>
      </c>
      <c r="Y24" s="195">
        <f>IF(SUM(V24,W24,X24)&gt;0,SUM(V24,W24,X24),"")</f>
        <v>290.03386841026122</v>
      </c>
      <c r="Z24" s="196">
        <f>IF(AE23&gt;34,(IF(OR(S24="",V24="",W24="",X24=""),"",SUM(S24,V24,W24,X24))*AI23),IF(OR(S24="",V24="",W24="",X24=""),"", SUM(S24,V24,W24,X24)))</f>
        <v>745.82528942900478</v>
      </c>
      <c r="AA24" s="192">
        <v>2</v>
      </c>
      <c r="AB24" s="175"/>
      <c r="AC24" s="70"/>
    </row>
    <row r="25" spans="2:41" s="17" customFormat="1" ht="18" customHeight="1">
      <c r="B25" s="203"/>
      <c r="C25" s="204"/>
      <c r="D25" s="205"/>
      <c r="E25" s="206"/>
      <c r="F25" s="207"/>
      <c r="G25" s="217"/>
      <c r="H25" s="209"/>
      <c r="I25" s="211"/>
      <c r="J25" s="211"/>
      <c r="K25" s="216"/>
      <c r="L25" s="218"/>
      <c r="M25" s="218"/>
      <c r="N25" s="216"/>
      <c r="O25" s="218"/>
      <c r="P25" s="218"/>
      <c r="Q25" s="180" t="str">
        <f>IF(MAX(K25:M25)&gt;0,IF(MAX(K25:M25)&lt;0,0,TRUNC(MAX(K25:M25)/1)*1),"")</f>
        <v/>
      </c>
      <c r="R25" s="181" t="str">
        <f>IF(MAX(N25:P25)&gt;0,IF(MAX(N25:P25)&lt;0,0,TRUNC(MAX(N25:P25)/1)*1),"")</f>
        <v/>
      </c>
      <c r="S25" s="182" t="str">
        <f>IF(Q25="","",IF(R25="","",IF(SUM(Q25:R25)=0,"",SUM(Q25:R25))))</f>
        <v/>
      </c>
      <c r="T25" s="171" t="str">
        <f>IF(S25="","",IF(E25="","",IF((AD25="k"),IF(D25&gt;153.757,S25,IF(D25&lt;28,10^(0.787004341*LOG10(28/153.757)^2)*S25,10^(0.787004341*LOG10(D25/153.757)^2)*S25)),IF(D25&gt;193.609,S25,IF(D25&lt;32,10^(0.722762521*LOG10(32/193.609)^2)*S25,10^(0.722762521*LOG10(D25/193.609)^2)*S25)))))</f>
        <v/>
      </c>
      <c r="U25" s="187" t="str">
        <f>IF(AF25=1,T25*AI25,"")</f>
        <v/>
      </c>
      <c r="V25" s="190" t="str">
        <f>IF('K1'!G23="","",'K1'!G23)</f>
        <v/>
      </c>
      <c r="W25" s="184" t="str">
        <f>IF('K1'!K23="","",'K1'!K23)</f>
        <v/>
      </c>
      <c r="X25" s="184" t="str">
        <f>IF('K1'!N23="","",'K1'!N23)</f>
        <v/>
      </c>
      <c r="Y25" s="185"/>
      <c r="Z25" s="183" t="str">
        <f>IF(OR(S26="",Y26=""),"",SUM(S26,Y26))</f>
        <v/>
      </c>
      <c r="AA25" s="193"/>
      <c r="AB25" s="176"/>
      <c r="AC25" s="70">
        <f>U5</f>
        <v>45829</v>
      </c>
      <c r="AD25" s="84" t="b">
        <f t="shared" ref="AD25" si="22">IF(ISNUMBER(FIND("M",E25)),"m",IF(ISNUMBER(FIND("K",E25)),"k"))</f>
        <v>0</v>
      </c>
      <c r="AE25" s="85">
        <f t="shared" ref="AE25" si="23">IF(OR(G25="",AC25=""),0,(YEAR(AC25)-YEAR(G25)))</f>
        <v>0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str">
        <f t="shared" ref="AI25" si="24">IF(AD25="m",AG25,IF(AD25="k",AH25,""))</f>
        <v/>
      </c>
      <c r="AJ25" s="118" t="str">
        <f>IF(D25="","",IF(D25&gt;193.609,1,IF(D25&lt;32,10^(0.722762521*LOG10(32/193.609)^2),10^(0.722762521*LOG10(D25/193.609)^2))))</f>
        <v/>
      </c>
    </row>
    <row r="26" spans="2:41" s="17" customFormat="1" ht="18" customHeight="1">
      <c r="B26" s="203"/>
      <c r="C26" s="212"/>
      <c r="D26" s="213"/>
      <c r="E26" s="213"/>
      <c r="F26" s="214"/>
      <c r="G26" s="215"/>
      <c r="H26" s="216"/>
      <c r="I26" s="211"/>
      <c r="J26" s="211"/>
      <c r="K26" s="289"/>
      <c r="L26" s="289"/>
      <c r="M26" s="289"/>
      <c r="N26" s="288"/>
      <c r="O26" s="288"/>
      <c r="P26" s="288"/>
      <c r="Q26" s="102"/>
      <c r="R26" s="140"/>
      <c r="S26" s="290" t="str">
        <f>IF(T25="","",T25*1.2)</f>
        <v/>
      </c>
      <c r="T26" s="290"/>
      <c r="U26" s="177"/>
      <c r="V26" s="189" t="str">
        <f>IF(V25="","",V25*20)</f>
        <v/>
      </c>
      <c r="W26" s="194" t="str">
        <f>IF(W25="","",(W25*10)*AJ25)</f>
        <v/>
      </c>
      <c r="X26" s="195" t="str">
        <f>IF(X25="","",IF((80+(8-ROUNDUP(X25,1))*40)&lt;0,0,80+(8-ROUNDUP(X25,1))*40))</f>
        <v/>
      </c>
      <c r="Y26" s="195" t="str">
        <f>IF(SUM(V26,W26,X26)&gt;0,SUM(V26,W26,X26),"")</f>
        <v/>
      </c>
      <c r="Z26" s="196" t="str">
        <f>IF(AE25&gt;34,(IF(OR(S26="",V26="",W26="",X26=""),"",SUM(S26,V26,W26,X26))*AI25),IF(OR(S26="",V26="",W26="",X26=""),"", SUM(S26,V26,W26,X26)))</f>
        <v/>
      </c>
      <c r="AA26" s="192"/>
      <c r="AB26" s="175"/>
      <c r="AC26" s="70"/>
    </row>
    <row r="27" spans="2:41" s="17" customFormat="1" ht="18" customHeight="1">
      <c r="B27" s="203"/>
      <c r="C27" s="204"/>
      <c r="D27" s="205"/>
      <c r="E27" s="206"/>
      <c r="F27" s="206"/>
      <c r="G27" s="208"/>
      <c r="H27" s="209"/>
      <c r="I27" s="210"/>
      <c r="J27" s="210"/>
      <c r="K27" s="216"/>
      <c r="L27" s="218"/>
      <c r="M27" s="218"/>
      <c r="N27" s="216"/>
      <c r="O27" s="218"/>
      <c r="P27" s="218"/>
      <c r="Q27" s="180" t="str">
        <f>IF(MAX(K27:M27)&gt;0,IF(MAX(K27:M27)&lt;0,0,TRUNC(MAX(K27:M27)/1)*1),"")</f>
        <v/>
      </c>
      <c r="R27" s="181" t="str">
        <f>IF(MAX(N27:P27)&gt;0,IF(MAX(N27:P27)&lt;0,0,TRUNC(MAX(N27:P27)/1)*1),"")</f>
        <v/>
      </c>
      <c r="S27" s="182" t="str">
        <f>IF(Q27="","",IF(R27="","",IF(SUM(Q27:R27)=0,"",SUM(Q27:R27))))</f>
        <v/>
      </c>
      <c r="T27" s="171" t="str">
        <f>IF(S27="","",IF(E27="","",IF((AD27="k"),IF(D27&gt;153.757,S27,IF(D27&lt;28,10^(0.787004341*LOG10(28/153.757)^2)*S27,10^(0.787004341*LOG10(D27/153.757)^2)*S27)),IF(D27&gt;193.609,S27,IF(D27&lt;32,10^(0.722762521*LOG10(32/193.609)^2)*S27,10^(0.722762521*LOG10(D27/193.609)^2)*S27)))))</f>
        <v/>
      </c>
      <c r="U27" s="187" t="str">
        <f>IF(AF27=1,T27*AI27,"")</f>
        <v/>
      </c>
      <c r="V27" s="190" t="str">
        <f>IF('K1'!G25="","",'K1'!G25)</f>
        <v/>
      </c>
      <c r="W27" s="184" t="str">
        <f>IF('K1'!K25="","",'K1'!K25)</f>
        <v/>
      </c>
      <c r="X27" s="184" t="str">
        <f>IF('K1'!N25="","",'K1'!N25)</f>
        <v/>
      </c>
      <c r="Y27" s="185"/>
      <c r="Z27" s="183" t="str">
        <f>IF(OR(S28="",Y28=""),"",SUM(S28,Y28))</f>
        <v/>
      </c>
      <c r="AA27" s="193"/>
      <c r="AB27" s="176"/>
      <c r="AC27" s="70">
        <f>U5</f>
        <v>45829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18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203"/>
      <c r="C28" s="212"/>
      <c r="D28" s="213"/>
      <c r="E28" s="213"/>
      <c r="F28" s="214"/>
      <c r="G28" s="215"/>
      <c r="H28" s="216"/>
      <c r="I28" s="211"/>
      <c r="J28" s="211"/>
      <c r="K28" s="289"/>
      <c r="L28" s="289"/>
      <c r="M28" s="289"/>
      <c r="N28" s="288"/>
      <c r="O28" s="288"/>
      <c r="P28" s="288"/>
      <c r="Q28" s="102"/>
      <c r="R28" s="140"/>
      <c r="S28" s="290" t="str">
        <f>IF(T27="","",T27*1.2)</f>
        <v/>
      </c>
      <c r="T28" s="290"/>
      <c r="U28" s="177"/>
      <c r="V28" s="189" t="str">
        <f>IF(V27="","",V27*20)</f>
        <v/>
      </c>
      <c r="W28" s="194" t="str">
        <f>IF(W27="","",(W27*10)*AJ27)</f>
        <v/>
      </c>
      <c r="X28" s="195" t="str">
        <f>IF(X27="","",IF((80+(8-ROUNDUP(X27,1))*40)&lt;0,0,80+(8-ROUNDUP(X27,1))*40))</f>
        <v/>
      </c>
      <c r="Y28" s="195" t="str">
        <f>IF(SUM(V28,W28,X28)&gt;0,SUM(V28,W28,X28),"")</f>
        <v/>
      </c>
      <c r="Z28" s="196" t="str">
        <f>IF(AE27&gt;34,(IF(OR(S28="",V28="",W28="",X28=""),"",SUM(S28,V28,W28,X28))*AI27),IF(OR(S28="",V28="",W28="",X28=""),"", SUM(S28,V28,W28,X28)))</f>
        <v/>
      </c>
      <c r="AA28" s="192"/>
      <c r="AB28" s="175"/>
      <c r="AC28" s="70"/>
    </row>
    <row r="29" spans="2:41" s="17" customFormat="1" ht="18" customHeight="1">
      <c r="B29" s="203"/>
      <c r="C29" s="204"/>
      <c r="D29" s="205"/>
      <c r="E29" s="206"/>
      <c r="F29" s="206"/>
      <c r="G29" s="208"/>
      <c r="H29" s="209"/>
      <c r="I29" s="210"/>
      <c r="J29" s="210"/>
      <c r="K29" s="216"/>
      <c r="L29" s="218"/>
      <c r="M29" s="218"/>
      <c r="N29" s="216"/>
      <c r="O29" s="218"/>
      <c r="P29" s="218"/>
      <c r="Q29" s="180" t="str">
        <f>IF(MAX(K29:M29)&gt;0,IF(MAX(K29:M29)&lt;0,0,TRUNC(MAX(K29:M29)/1)*1),"")</f>
        <v/>
      </c>
      <c r="R29" s="181" t="str">
        <f>IF(MAX(N29:P29)&gt;0,IF(MAX(N29:P29)&lt;0,0,TRUNC(MAX(N29:P29)/1)*1),"")</f>
        <v/>
      </c>
      <c r="S29" s="182" t="str">
        <f>IF(Q29="","",IF(R29="","",IF(SUM(Q29:R29)=0,"",SUM(Q29:R29))))</f>
        <v/>
      </c>
      <c r="T29" s="171" t="str">
        <f>IF(S29="","",IF(E29="","",IF((AD29="k"),IF(D29&gt;153.757,S29,IF(D29&lt;28,10^(0.787004341*LOG10(28/153.757)^2)*S29,10^(0.787004341*LOG10(D29/153.757)^2)*S29)),IF(D29&gt;193.609,S29,IF(D29&lt;32,10^(0.722762521*LOG10(32/193.609)^2)*S29,10^(0.722762521*LOG10(D29/193.609)^2)*S29)))))</f>
        <v/>
      </c>
      <c r="U29" s="187" t="str">
        <f>IF(AF29=1,T29*AI29,"")</f>
        <v/>
      </c>
      <c r="V29" s="190" t="str">
        <f>IF('K1'!G27="","",'K1'!G27)</f>
        <v/>
      </c>
      <c r="W29" s="184" t="str">
        <f>IF('K1'!K27="","",'K1'!K27)</f>
        <v/>
      </c>
      <c r="X29" s="184" t="str">
        <f>IF('K1'!N27="","",'K1'!N27)</f>
        <v/>
      </c>
      <c r="Y29" s="185"/>
      <c r="Z29" s="183" t="str">
        <f>IF(OR(S30="",Y30=""),"",SUM(S30,Y30))</f>
        <v/>
      </c>
      <c r="AA29" s="193"/>
      <c r="AB29" s="176"/>
      <c r="AC29" s="70">
        <f>U5</f>
        <v>45829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18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203"/>
      <c r="C30" s="212"/>
      <c r="D30" s="213"/>
      <c r="E30" s="213"/>
      <c r="F30" s="214"/>
      <c r="G30" s="215"/>
      <c r="H30" s="216"/>
      <c r="I30" s="211"/>
      <c r="J30" s="211"/>
      <c r="K30" s="289"/>
      <c r="L30" s="289"/>
      <c r="M30" s="289"/>
      <c r="N30" s="288"/>
      <c r="O30" s="288"/>
      <c r="P30" s="288"/>
      <c r="Q30" s="102"/>
      <c r="R30" s="140"/>
      <c r="S30" s="290" t="str">
        <f>IF(T29="","",T29*1.2)</f>
        <v/>
      </c>
      <c r="T30" s="290"/>
      <c r="U30" s="177"/>
      <c r="V30" s="189" t="str">
        <f>IF(V29="","",V29*20)</f>
        <v/>
      </c>
      <c r="W30" s="194" t="str">
        <f>IF(W29="","",(W29*10)*AJ29)</f>
        <v/>
      </c>
      <c r="X30" s="195" t="str">
        <f>IF(X29="","",IF((80+(8-ROUNDUP(X29,1))*40)&lt;0,0,80+(8-ROUNDUP(X29,1))*40))</f>
        <v/>
      </c>
      <c r="Y30" s="195" t="str">
        <f>IF(SUM(V30,W30,X30)&gt;0,SUM(V30,W30,X30),"")</f>
        <v/>
      </c>
      <c r="Z30" s="196" t="str">
        <f>IF(AE29&gt;34,(IF(OR(S30="",V30="",W30="",X30=""),"",SUM(S30,V30,W30,X30))*AI29),IF(OR(S30="",V30="",W30="",X30=""),"", SUM(S30,V30,W30,X30)))</f>
        <v/>
      </c>
      <c r="AA30" s="192"/>
      <c r="AB30" s="175"/>
      <c r="AC30" s="70"/>
    </row>
    <row r="31" spans="2:41" s="17" customFormat="1" ht="18" customHeight="1">
      <c r="B31" s="159"/>
      <c r="C31" s="164"/>
      <c r="D31" s="165"/>
      <c r="E31" s="166"/>
      <c r="F31" s="167"/>
      <c r="G31" s="166"/>
      <c r="H31" s="166"/>
      <c r="I31" s="163"/>
      <c r="J31" s="163"/>
      <c r="K31" s="178"/>
      <c r="L31" s="179"/>
      <c r="M31" s="179"/>
      <c r="N31" s="179"/>
      <c r="O31" s="179"/>
      <c r="P31" s="179"/>
      <c r="Q31" s="180" t="str">
        <f>IF(MAX(K31:M31)&gt;0,IF(MAX(K31:M31)&lt;0,0,TRUNC(MAX(K31:M31)/1)*1),"")</f>
        <v/>
      </c>
      <c r="R31" s="181" t="str">
        <f>IF(MAX(N31:P31)&gt;0,IF(MAX(N31:P31)&lt;0,0,TRUNC(MAX(N31:P31)/1)*1),"")</f>
        <v/>
      </c>
      <c r="S31" s="182" t="str">
        <f>IF(Q31="","",IF(R31="","",IF(SUM(Q31:R31)=0,"",SUM(Q31:R31))))</f>
        <v/>
      </c>
      <c r="T31" s="183" t="str">
        <f>IF(S31="","",IF(E31="","",IF((AD31="k"),IF(D31&gt;153.655,S31,IF(D31&lt;28,10^(0.783497476*LOG10(28/153.655)^2)*S31,10^(0.783497476*LOG10(D31/153.655)^2)*S31)),IF(D31&gt;175.508,S31,IF(D31&lt;32,10^(0.75194503*LOG10(32/175.508)^2)*S31,10^(0.75194503*LOG10(D31/175.508)^2)*S31)))))</f>
        <v/>
      </c>
      <c r="U31" s="187" t="str">
        <f>IF(AF31=1,T31*AI31,"")</f>
        <v/>
      </c>
      <c r="V31" s="190" t="str">
        <f>IF('K1'!G29="","",'K1'!G29)</f>
        <v/>
      </c>
      <c r="W31" s="184" t="str">
        <f>IF('K1'!K29="","",'K1'!K29)</f>
        <v/>
      </c>
      <c r="X31" s="184" t="str">
        <f>IF('K1'!N29="","",'K1'!N29)</f>
        <v/>
      </c>
      <c r="Y31" s="185" t="s">
        <v>13</v>
      </c>
      <c r="Z31" s="183"/>
      <c r="AA31" s="193"/>
      <c r="AB31" s="176"/>
      <c r="AC31" s="70">
        <f>U5</f>
        <v>45829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18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59"/>
      <c r="C32" s="160"/>
      <c r="D32" s="160"/>
      <c r="E32" s="160"/>
      <c r="F32" s="161"/>
      <c r="G32" s="162"/>
      <c r="H32" s="162"/>
      <c r="I32" s="163"/>
      <c r="J32" s="163"/>
      <c r="K32" s="299"/>
      <c r="L32" s="300"/>
      <c r="M32" s="301"/>
      <c r="N32" s="302"/>
      <c r="O32" s="300"/>
      <c r="P32" s="301"/>
      <c r="Q32" s="199"/>
      <c r="R32" s="198"/>
      <c r="S32" s="287" t="str">
        <f>IF(T31="","",T31*1.2)</f>
        <v/>
      </c>
      <c r="T32" s="287"/>
      <c r="U32" s="200"/>
      <c r="V32" s="197" t="str">
        <f>IF(V31="","",V31*20)</f>
        <v/>
      </c>
      <c r="W32" s="160" t="str">
        <f>IF(W31="","",(W31*10)*AJ31)</f>
        <v/>
      </c>
      <c r="X32" s="201" t="str">
        <f>IF(X31="","",IF((80+(8-ROUNDUP(X31,1))*40)&lt;0,0,80+(8-ROUNDUP(X31,1))*40))</f>
        <v/>
      </c>
      <c r="Y32" s="201" t="str">
        <f>IF(SUM(V32,W32,X32)&gt;0,SUM(V32,W32,X32),"")</f>
        <v/>
      </c>
      <c r="Z32" s="183" t="str">
        <f>IF(AE31&gt;34,(IF(OR(S32="",V32="",W32="",X32=""),"",SUM(S32,V32,W32,X32))*AI31),IF(OR(S32="",V32="",W32="",X32=""),"", SUM(S32,V32,W32,X32)))</f>
        <v/>
      </c>
      <c r="AA32" s="202"/>
      <c r="AB32" s="17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282" t="s">
        <v>70</v>
      </c>
      <c r="C35" s="283"/>
      <c r="D35" s="141" t="s">
        <v>69</v>
      </c>
      <c r="E35" s="282" t="s">
        <v>6</v>
      </c>
      <c r="F35" s="284"/>
      <c r="G35" s="284"/>
      <c r="H35" s="283"/>
      <c r="I35" s="142" t="s">
        <v>28</v>
      </c>
      <c r="J35" s="80"/>
      <c r="K35" s="282" t="s">
        <v>70</v>
      </c>
      <c r="L35" s="284"/>
      <c r="M35" s="283"/>
      <c r="N35" s="143" t="s">
        <v>69</v>
      </c>
      <c r="O35" s="270" t="s">
        <v>6</v>
      </c>
      <c r="P35" s="285"/>
      <c r="Q35" s="285"/>
      <c r="R35" s="271"/>
      <c r="S35" s="270" t="s">
        <v>28</v>
      </c>
      <c r="T35" s="271"/>
      <c r="AC35" s="4"/>
      <c r="AD35" s="4"/>
      <c r="AE35" s="4"/>
      <c r="AF35" s="1"/>
      <c r="AH35" s="121"/>
      <c r="AI35" s="121"/>
    </row>
    <row r="36" spans="2:35" s="6" customFormat="1" ht="20" customHeight="1">
      <c r="B36" s="272" t="s">
        <v>71</v>
      </c>
      <c r="C36" s="273"/>
      <c r="D36" s="144"/>
      <c r="E36" s="274"/>
      <c r="F36" s="275"/>
      <c r="G36" s="275"/>
      <c r="H36" s="273"/>
      <c r="I36" s="145"/>
      <c r="J36" s="5"/>
      <c r="K36" s="272" t="s">
        <v>72</v>
      </c>
      <c r="L36" s="275"/>
      <c r="M36" s="273"/>
      <c r="N36" s="242">
        <v>1994027</v>
      </c>
      <c r="O36" s="276" t="s">
        <v>172</v>
      </c>
      <c r="P36" s="277"/>
      <c r="Q36" s="277"/>
      <c r="R36" s="278"/>
      <c r="S36" s="276" t="s">
        <v>94</v>
      </c>
      <c r="T36" s="279"/>
      <c r="AF36" s="1"/>
      <c r="AH36" s="146"/>
      <c r="AI36" s="146"/>
    </row>
    <row r="37" spans="2:35" s="6" customFormat="1" ht="21" customHeight="1">
      <c r="B37" s="262" t="s">
        <v>73</v>
      </c>
      <c r="C37" s="263"/>
      <c r="D37" s="147">
        <v>2008009</v>
      </c>
      <c r="E37" s="264" t="s">
        <v>154</v>
      </c>
      <c r="F37" s="265"/>
      <c r="G37" s="265"/>
      <c r="H37" s="263"/>
      <c r="I37" s="148" t="s">
        <v>94</v>
      </c>
      <c r="J37" s="5"/>
      <c r="K37" s="262" t="s">
        <v>74</v>
      </c>
      <c r="L37" s="265"/>
      <c r="M37" s="263"/>
      <c r="N37" s="149"/>
      <c r="O37" s="266"/>
      <c r="P37" s="267"/>
      <c r="Q37" s="267"/>
      <c r="R37" s="268"/>
      <c r="S37" s="266"/>
      <c r="T37" s="269"/>
      <c r="AH37" s="146"/>
      <c r="AI37" s="146"/>
    </row>
    <row r="38" spans="2:35" s="6" customFormat="1" ht="19" customHeight="1">
      <c r="B38" s="262" t="s">
        <v>73</v>
      </c>
      <c r="C38" s="263"/>
      <c r="D38" s="147">
        <v>2004022</v>
      </c>
      <c r="E38" s="264" t="s">
        <v>159</v>
      </c>
      <c r="F38" s="265"/>
      <c r="G38" s="265"/>
      <c r="H38" s="263"/>
      <c r="I38" s="148" t="s">
        <v>142</v>
      </c>
      <c r="J38" s="5"/>
      <c r="K38" s="262" t="s">
        <v>75</v>
      </c>
      <c r="L38" s="265"/>
      <c r="M38" s="263"/>
      <c r="N38" s="149"/>
      <c r="O38" s="266"/>
      <c r="P38" s="267"/>
      <c r="Q38" s="267"/>
      <c r="R38" s="268"/>
      <c r="S38" s="266"/>
      <c r="T38" s="269"/>
      <c r="V38" s="6" t="s">
        <v>76</v>
      </c>
      <c r="AH38" s="146"/>
      <c r="AI38" s="146"/>
    </row>
    <row r="39" spans="2:35" s="6" customFormat="1" ht="21" customHeight="1">
      <c r="B39" s="262" t="s">
        <v>73</v>
      </c>
      <c r="C39" s="263"/>
      <c r="D39" s="147">
        <v>1977007</v>
      </c>
      <c r="E39" s="264" t="s">
        <v>174</v>
      </c>
      <c r="F39" s="265"/>
      <c r="G39" s="265"/>
      <c r="H39" s="263"/>
      <c r="I39" s="148" t="s">
        <v>94</v>
      </c>
      <c r="J39" s="5"/>
      <c r="K39" s="262" t="s">
        <v>77</v>
      </c>
      <c r="L39" s="265"/>
      <c r="M39" s="263"/>
      <c r="N39" s="149"/>
      <c r="O39" s="266"/>
      <c r="P39" s="267"/>
      <c r="Q39" s="267"/>
      <c r="R39" s="268"/>
      <c r="S39" s="266"/>
      <c r="T39" s="269"/>
      <c r="AD39" s="6" t="s">
        <v>13</v>
      </c>
      <c r="AH39" s="146"/>
      <c r="AI39" s="146"/>
    </row>
    <row r="40" spans="2:35" s="6" customFormat="1" ht="20" customHeight="1">
      <c r="B40" s="262" t="s">
        <v>73</v>
      </c>
      <c r="C40" s="263"/>
      <c r="D40" s="147">
        <v>1977010</v>
      </c>
      <c r="E40" s="264" t="s">
        <v>175</v>
      </c>
      <c r="F40" s="265"/>
      <c r="G40" s="265"/>
      <c r="H40" s="263"/>
      <c r="I40" s="148" t="s">
        <v>94</v>
      </c>
      <c r="J40" s="5"/>
      <c r="K40" s="262" t="s">
        <v>77</v>
      </c>
      <c r="L40" s="265"/>
      <c r="M40" s="263"/>
      <c r="N40" s="149"/>
      <c r="O40" s="266"/>
      <c r="P40" s="267"/>
      <c r="Q40" s="267"/>
      <c r="R40" s="268"/>
      <c r="S40" s="266"/>
      <c r="T40" s="269"/>
      <c r="AH40" s="146"/>
      <c r="AI40" s="146"/>
    </row>
    <row r="41" spans="2:35" s="4" customFormat="1" ht="19" customHeight="1">
      <c r="B41" s="262" t="s">
        <v>73</v>
      </c>
      <c r="C41" s="263"/>
      <c r="D41" s="147"/>
      <c r="E41" s="264"/>
      <c r="F41" s="265"/>
      <c r="G41" s="265"/>
      <c r="H41" s="263"/>
      <c r="I41" s="148"/>
      <c r="K41" s="262" t="s">
        <v>77</v>
      </c>
      <c r="L41" s="265"/>
      <c r="M41" s="263"/>
      <c r="N41" s="149"/>
      <c r="O41" s="266"/>
      <c r="P41" s="267"/>
      <c r="Q41" s="267"/>
      <c r="R41" s="268"/>
      <c r="S41" s="266"/>
      <c r="T41" s="269"/>
      <c r="AH41" s="3"/>
      <c r="AI41" s="3"/>
    </row>
    <row r="42" spans="2:35" s="4" customFormat="1" ht="20" customHeight="1">
      <c r="B42" s="262" t="s">
        <v>78</v>
      </c>
      <c r="C42" s="263"/>
      <c r="D42" s="147">
        <v>1950001</v>
      </c>
      <c r="E42" s="264" t="s">
        <v>177</v>
      </c>
      <c r="F42" s="265"/>
      <c r="G42" s="265"/>
      <c r="H42" s="263"/>
      <c r="I42" s="148" t="s">
        <v>94</v>
      </c>
      <c r="K42" s="262" t="s">
        <v>79</v>
      </c>
      <c r="L42" s="265"/>
      <c r="M42" s="263"/>
      <c r="N42" s="149">
        <v>2001014</v>
      </c>
      <c r="O42" s="266" t="s">
        <v>176</v>
      </c>
      <c r="P42" s="267"/>
      <c r="Q42" s="267"/>
      <c r="R42" s="268"/>
      <c r="S42" s="266" t="s">
        <v>94</v>
      </c>
      <c r="T42" s="269"/>
      <c r="AH42" s="3"/>
      <c r="AI42" s="3"/>
    </row>
    <row r="43" spans="2:35" s="4" customFormat="1" ht="20" customHeight="1">
      <c r="B43" s="248"/>
      <c r="C43" s="256"/>
      <c r="D43" s="150"/>
      <c r="E43" s="257"/>
      <c r="F43" s="249"/>
      <c r="G43" s="249"/>
      <c r="H43" s="256"/>
      <c r="I43" s="151"/>
      <c r="K43" s="248"/>
      <c r="L43" s="249"/>
      <c r="M43" s="256"/>
      <c r="N43" s="152"/>
      <c r="O43" s="258"/>
      <c r="P43" s="259"/>
      <c r="Q43" s="259"/>
      <c r="R43" s="260"/>
      <c r="S43" s="258"/>
      <c r="T43" s="261"/>
      <c r="AH43" s="3"/>
      <c r="AI43" s="3"/>
    </row>
    <row r="44" spans="2:35" s="4" customFormat="1" ht="19" customHeight="1">
      <c r="B44" s="255"/>
      <c r="C44" s="255"/>
      <c r="D44" s="244"/>
      <c r="E44" s="244"/>
      <c r="F44" s="153"/>
      <c r="G44" s="244"/>
      <c r="H44" s="244"/>
      <c r="I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AH44" s="3"/>
      <c r="AI44" s="3"/>
    </row>
    <row r="45" spans="2:35" s="4" customFormat="1" ht="18" customHeight="1">
      <c r="B45" s="245" t="s">
        <v>80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AH45" s="3"/>
      <c r="AI45" s="3"/>
    </row>
    <row r="46" spans="2:35" s="4" customFormat="1" ht="18" customHeight="1">
      <c r="B46" s="248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50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30:M30"/>
    <mergeCell ref="N30:P30"/>
    <mergeCell ref="S30:T30"/>
    <mergeCell ref="K32:M32"/>
    <mergeCell ref="N32:P32"/>
    <mergeCell ref="K20:M20"/>
    <mergeCell ref="K14:M14"/>
    <mergeCell ref="N14:P14"/>
    <mergeCell ref="S14:T14"/>
    <mergeCell ref="N8:P8"/>
    <mergeCell ref="K10:M10"/>
    <mergeCell ref="N10:P10"/>
    <mergeCell ref="S10:T10"/>
    <mergeCell ref="K12:M12"/>
    <mergeCell ref="N12:P12"/>
    <mergeCell ref="S12:T12"/>
    <mergeCell ref="K8:M8"/>
    <mergeCell ref="K18:M18"/>
    <mergeCell ref="N18:P18"/>
    <mergeCell ref="S18:T18"/>
    <mergeCell ref="K16:M16"/>
    <mergeCell ref="N16:P16"/>
    <mergeCell ref="S16:T16"/>
    <mergeCell ref="B7:B8"/>
    <mergeCell ref="B35:C35"/>
    <mergeCell ref="E35:H35"/>
    <mergeCell ref="K35:M35"/>
    <mergeCell ref="O35:R35"/>
    <mergeCell ref="K47:AB47"/>
    <mergeCell ref="S32:T32"/>
    <mergeCell ref="N20:P20"/>
    <mergeCell ref="K26:M26"/>
    <mergeCell ref="N26:P26"/>
    <mergeCell ref="S26:T26"/>
    <mergeCell ref="K28:M28"/>
    <mergeCell ref="N28:P28"/>
    <mergeCell ref="S28:T28"/>
    <mergeCell ref="K7:M7"/>
    <mergeCell ref="N7:P7"/>
    <mergeCell ref="Q7:T7"/>
    <mergeCell ref="S20:T20"/>
    <mergeCell ref="K22:M22"/>
    <mergeCell ref="N22:P22"/>
    <mergeCell ref="S22:T22"/>
    <mergeCell ref="K24:M24"/>
    <mergeCell ref="N24:P24"/>
    <mergeCell ref="S24:T24"/>
    <mergeCell ref="B37:C37"/>
    <mergeCell ref="E37:H37"/>
    <mergeCell ref="K37:M37"/>
    <mergeCell ref="O37:R37"/>
    <mergeCell ref="S37:T37"/>
    <mergeCell ref="S35:T35"/>
    <mergeCell ref="B36:C36"/>
    <mergeCell ref="E36:H36"/>
    <mergeCell ref="K36:M36"/>
    <mergeCell ref="O36:R36"/>
    <mergeCell ref="S36:T36"/>
    <mergeCell ref="B39:C39"/>
    <mergeCell ref="E39:H39"/>
    <mergeCell ref="K39:M39"/>
    <mergeCell ref="O39:R39"/>
    <mergeCell ref="S39:T39"/>
    <mergeCell ref="B38:C38"/>
    <mergeCell ref="E38:H38"/>
    <mergeCell ref="K38:M38"/>
    <mergeCell ref="O38:R38"/>
    <mergeCell ref="S38:T38"/>
    <mergeCell ref="B41:C41"/>
    <mergeCell ref="E41:H41"/>
    <mergeCell ref="K41:M41"/>
    <mergeCell ref="O41:R41"/>
    <mergeCell ref="S41:T41"/>
    <mergeCell ref="B40:C40"/>
    <mergeCell ref="E40:H40"/>
    <mergeCell ref="K40:M40"/>
    <mergeCell ref="O40:R40"/>
    <mergeCell ref="S40:T40"/>
    <mergeCell ref="U5:V5"/>
    <mergeCell ref="P44:T44"/>
    <mergeCell ref="B45:T45"/>
    <mergeCell ref="B46:T46"/>
    <mergeCell ref="G2:R2"/>
    <mergeCell ref="G3:R3"/>
    <mergeCell ref="D5:I5"/>
    <mergeCell ref="K5:N5"/>
    <mergeCell ref="P5:S5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  <mergeCell ref="S43:T43"/>
    <mergeCell ref="B42:C42"/>
    <mergeCell ref="E42:H42"/>
    <mergeCell ref="K42:M42"/>
    <mergeCell ref="O42:R42"/>
    <mergeCell ref="S42:T42"/>
  </mergeCells>
  <phoneticPr fontId="0" type="noConversion"/>
  <conditionalFormatting sqref="K9:P9">
    <cfRule type="cellIs" dxfId="121" priority="15" stopIfTrue="1" operator="between">
      <formula>1</formula>
      <formula>300</formula>
    </cfRule>
    <cfRule type="cellIs" dxfId="120" priority="16" stopIfTrue="1" operator="lessThanOrEqual">
      <formula>0</formula>
    </cfRule>
  </conditionalFormatting>
  <conditionalFormatting sqref="K11:P11">
    <cfRule type="cellIs" dxfId="119" priority="13" stopIfTrue="1" operator="between">
      <formula>1</formula>
      <formula>300</formula>
    </cfRule>
    <cfRule type="cellIs" dxfId="118" priority="14" stopIfTrue="1" operator="lessThanOrEqual">
      <formula>0</formula>
    </cfRule>
  </conditionalFormatting>
  <conditionalFormatting sqref="K13:P13">
    <cfRule type="cellIs" dxfId="117" priority="11" stopIfTrue="1" operator="between">
      <formula>1</formula>
      <formula>300</formula>
    </cfRule>
    <cfRule type="cellIs" dxfId="116" priority="12" stopIfTrue="1" operator="lessThanOrEqual">
      <formula>0</formula>
    </cfRule>
  </conditionalFormatting>
  <conditionalFormatting sqref="K15:P15">
    <cfRule type="cellIs" dxfId="115" priority="9" stopIfTrue="1" operator="between">
      <formula>1</formula>
      <formula>300</formula>
    </cfRule>
    <cfRule type="cellIs" dxfId="114" priority="10" stopIfTrue="1" operator="lessThanOrEqual">
      <formula>0</formula>
    </cfRule>
  </conditionalFormatting>
  <conditionalFormatting sqref="K17:P17">
    <cfRule type="cellIs" dxfId="113" priority="7" stopIfTrue="1" operator="between">
      <formula>1</formula>
      <formula>300</formula>
    </cfRule>
    <cfRule type="cellIs" dxfId="112" priority="8" stopIfTrue="1" operator="lessThanOrEqual">
      <formula>0</formula>
    </cfRule>
  </conditionalFormatting>
  <conditionalFormatting sqref="K19:P19">
    <cfRule type="cellIs" dxfId="111" priority="5" stopIfTrue="1" operator="between">
      <formula>1</formula>
      <formula>300</formula>
    </cfRule>
    <cfRule type="cellIs" dxfId="110" priority="6" stopIfTrue="1" operator="lessThanOrEqual">
      <formula>0</formula>
    </cfRule>
  </conditionalFormatting>
  <conditionalFormatting sqref="K21:P21">
    <cfRule type="cellIs" dxfId="109" priority="3" stopIfTrue="1" operator="between">
      <formula>1</formula>
      <formula>300</formula>
    </cfRule>
    <cfRule type="cellIs" dxfId="108" priority="4" stopIfTrue="1" operator="lessThanOrEqual">
      <formula>0</formula>
    </cfRule>
  </conditionalFormatting>
  <conditionalFormatting sqref="K23:P23">
    <cfRule type="cellIs" dxfId="107" priority="1" stopIfTrue="1" operator="between">
      <formula>1</formula>
      <formula>300</formula>
    </cfRule>
    <cfRule type="cellIs" dxfId="106" priority="2" stopIfTrue="1" operator="lessThanOrEqual">
      <formula>0</formula>
    </cfRule>
  </conditionalFormatting>
  <conditionalFormatting sqref="K25:P25">
    <cfRule type="cellIs" dxfId="105" priority="37" stopIfTrue="1" operator="between">
      <formula>1</formula>
      <formula>300</formula>
    </cfRule>
    <cfRule type="cellIs" dxfId="104" priority="38" stopIfTrue="1" operator="lessThanOrEqual">
      <formula>0</formula>
    </cfRule>
  </conditionalFormatting>
  <conditionalFormatting sqref="K27:P27">
    <cfRule type="cellIs" dxfId="103" priority="27" stopIfTrue="1" operator="between">
      <formula>1</formula>
      <formula>300</formula>
    </cfRule>
    <cfRule type="cellIs" dxfId="102" priority="28" stopIfTrue="1" operator="lessThanOrEqual">
      <formula>0</formula>
    </cfRule>
  </conditionalFormatting>
  <conditionalFormatting sqref="K29:P29">
    <cfRule type="cellIs" dxfId="101" priority="29" stopIfTrue="1" operator="between">
      <formula>1</formula>
      <formula>300</formula>
    </cfRule>
    <cfRule type="cellIs" dxfId="100" priority="30" stopIfTrue="1" operator="lessThanOrEqual">
      <formula>0</formula>
    </cfRule>
  </conditionalFormatting>
  <conditionalFormatting sqref="K31:P31">
    <cfRule type="cellIs" dxfId="99" priority="49" stopIfTrue="1" operator="between">
      <formula>1</formula>
      <formula>300</formula>
    </cfRule>
    <cfRule type="cellIs" dxfId="98" priority="50" stopIfTrue="1" operator="lessThanOrEqual">
      <formula>0</formula>
    </cfRule>
  </conditionalFormatting>
  <dataValidations count="5">
    <dataValidation type="list" allowBlank="1" showInputMessage="1" showErrorMessage="1" sqref="C31 C29 C25 C27 C15 C11 C17 C19 C23 C21 C9 C13" xr:uid="{43608DB3-09EF-9047-969F-B082CFA5AC5E}">
      <formula1>"44,48,53,56,58,60,63,65,69,71,77,'+77,79,86,'+86,88,94,'+94,110,'+110"</formula1>
    </dataValidation>
    <dataValidation type="list" allowBlank="1" showInputMessage="1" showErrorMessage="1" sqref="E31 E29 E27 E25 E19 E15 E17 E21 E23 E11 E9 E13" xr:uid="{9BC2FD00-439D-034D-A4A5-F35B0EE29CBA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27 F29 F31 F25 F9 F11 F15 F17 F19 F21 F23 F13" xr:uid="{404003CB-9CDB-F349-AEF8-DA4B23B92360}">
      <formula1>"11-12,13-14,15-16,17-18,19-23,24-34,+35"</formula1>
    </dataValidation>
    <dataValidation type="list" allowBlank="1" showInputMessage="1" showErrorMessage="1" sqref="B36:C43 K36:M43" xr:uid="{0ECD6C45-8F67-A54B-B599-478E3AE3C7C6}">
      <formula1>"Dommer,Stevnets leder,Jury,Sekretær,Speaker,Teknisk kontrollør, Chief Marshall,Tidtaker"</formula1>
    </dataValidation>
    <dataValidation type="list" allowBlank="1" showInputMessage="1" showErrorMessage="1" sqref="D5:I5" xr:uid="{F2C7412A-CF15-7C41-BFCE-14F2809EB26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</dataValidations>
  <pageMargins left="0.27559055118110198" right="0.27559055118110198" top="0.27559055118110198" bottom="0.27559055118110198" header="0.511811023622047" footer="0.511811023622047"/>
  <pageSetup paperSize="9" scale="58" orientation="landscape" horizontalDpi="300" verticalDpi="300" copies="2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P32"/>
  <sheetViews>
    <sheetView showGridLines="0" showZeros="0" topLeftCell="B3" zoomScaleNormal="100" workbookViewId="0">
      <selection activeCell="X16" sqref="X16"/>
    </sheetView>
  </sheetViews>
  <sheetFormatPr baseColWidth="10" defaultColWidth="8.796875" defaultRowHeight="13"/>
  <cols>
    <col min="1" max="1" width="5.59765625" customWidth="1"/>
    <col min="2" max="2" width="7.59765625" customWidth="1"/>
    <col min="3" max="3" width="27.59765625" customWidth="1"/>
    <col min="4" max="14" width="7.3984375" customWidth="1"/>
    <col min="15" max="15" width="9.3984375" customWidth="1"/>
    <col min="16" max="16" width="4.59765625" style="7" customWidth="1"/>
  </cols>
  <sheetData>
    <row r="1" spans="1:16" ht="23">
      <c r="A1" s="327" t="s">
        <v>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33" t="s">
        <v>0</v>
      </c>
      <c r="B3" s="333"/>
      <c r="C3" s="329" t="str">
        <f>IF('Pulje 1'!K5&gt;0,'Pulje 1'!K5,"")</f>
        <v>AK Bjørgvn</v>
      </c>
      <c r="D3" s="329"/>
      <c r="E3" s="14" t="s">
        <v>1</v>
      </c>
      <c r="F3" s="331" t="str">
        <f>IF('Pulje 1'!R5&gt;0,'Pulje 1'!R5,"")</f>
        <v/>
      </c>
      <c r="G3" s="331"/>
      <c r="H3" s="331"/>
      <c r="I3" s="331"/>
      <c r="J3" s="15" t="s">
        <v>2</v>
      </c>
      <c r="K3" s="332" t="str">
        <f>IF('Pulje 1'!X5&gt;0,'Pulje 1'!X5,"")</f>
        <v/>
      </c>
      <c r="L3" s="332"/>
      <c r="M3" s="15" t="s">
        <v>15</v>
      </c>
      <c r="N3" s="58">
        <v>3</v>
      </c>
      <c r="O3" s="57"/>
      <c r="P3" s="16"/>
    </row>
    <row r="4" spans="1:16" ht="15" thickBot="1">
      <c r="B4" s="323" t="s">
        <v>62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5"/>
      <c r="P4" s="16"/>
    </row>
    <row r="5" spans="1:16" s="17" customFormat="1" ht="14">
      <c r="B5" s="18" t="s">
        <v>18</v>
      </c>
      <c r="C5" s="19" t="s">
        <v>6</v>
      </c>
      <c r="D5" s="324" t="s">
        <v>21</v>
      </c>
      <c r="E5" s="324"/>
      <c r="F5" s="324"/>
      <c r="G5" s="324"/>
      <c r="H5" s="325" t="s">
        <v>22</v>
      </c>
      <c r="I5" s="325"/>
      <c r="J5" s="325"/>
      <c r="K5" s="325"/>
      <c r="L5" s="326" t="s">
        <v>42</v>
      </c>
      <c r="M5" s="326"/>
      <c r="N5" s="326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2'!F9="","",'Pulje 2'!F9)</f>
        <v>11-12</v>
      </c>
      <c r="C7" s="96" t="str">
        <f>IF('Pulje 2'!I9="","",'Pulje 2'!I9)</f>
        <v>Othilie Løvik</v>
      </c>
      <c r="D7" s="45">
        <v>5.59</v>
      </c>
      <c r="E7" s="45"/>
      <c r="F7" s="46"/>
      <c r="G7" s="28">
        <f>IF(MAX(D7,E7,F7)&gt;0,MAX(D7,E7,F7),"")</f>
        <v>5.59</v>
      </c>
      <c r="H7" s="49">
        <v>7.04</v>
      </c>
      <c r="I7" s="49"/>
      <c r="J7" s="45"/>
      <c r="K7" s="28">
        <f>IF(MAX(H7,I7,J7)&gt;0,MAX(H7,I7,J7),"")</f>
        <v>7.04</v>
      </c>
      <c r="L7" s="51">
        <v>7.7</v>
      </c>
      <c r="M7" s="46"/>
      <c r="N7" s="28">
        <f>IF(MIN(L7,M7)&gt;0,MIN(L7,M7),"")</f>
        <v>7.7</v>
      </c>
      <c r="O7" s="29"/>
      <c r="P7" s="30"/>
    </row>
    <row r="8" spans="1:16" ht="16.5" customHeight="1">
      <c r="B8" s="31"/>
      <c r="C8" s="109" t="str">
        <f>IF('Pulje 2'!J9="","",'Pulje 2'!J9)</f>
        <v>AK Bjørgvin</v>
      </c>
      <c r="D8" s="38"/>
      <c r="E8" s="38"/>
      <c r="F8" s="39"/>
      <c r="G8" s="32"/>
      <c r="H8" s="41"/>
      <c r="I8" s="41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2'!F11="","",'Pulje 2'!F11)</f>
        <v/>
      </c>
      <c r="C9" s="98" t="str">
        <f>IF('Pulje 2'!I11="","",'Pulje 2'!I11)</f>
        <v/>
      </c>
      <c r="D9" s="47"/>
      <c r="E9" s="47"/>
      <c r="F9" s="48"/>
      <c r="G9" s="36" t="str">
        <f>IF(MAX(D9,E9,F9)&gt;0,MAX(D9,E9,F9),"")</f>
        <v/>
      </c>
      <c r="H9" s="50"/>
      <c r="I9" s="50"/>
      <c r="J9" s="47"/>
      <c r="K9" s="37" t="str">
        <f>IF(MAX(H9,I9,J9)&gt;0,MAX(H9,I9,J9),"")</f>
        <v/>
      </c>
      <c r="L9" s="52"/>
      <c r="M9" s="48"/>
      <c r="N9" s="37" t="str">
        <f>IF(MIN(L9,M9)&gt;0,MIN(L9,M9),"")</f>
        <v/>
      </c>
      <c r="O9" s="29"/>
      <c r="P9" s="30"/>
    </row>
    <row r="10" spans="1:16" ht="16.5" customHeight="1">
      <c r="B10" s="31"/>
      <c r="C10" s="109" t="str">
        <f>IF('Pulje 2'!J11="","",'Pulje 2'!J11)</f>
        <v/>
      </c>
      <c r="D10" s="38"/>
      <c r="E10" s="38"/>
      <c r="F10" s="39"/>
      <c r="G10" s="32"/>
      <c r="H10" s="41"/>
      <c r="I10" s="41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2'!F13="","",'Pulje 2'!F13)</f>
        <v>11-12</v>
      </c>
      <c r="C11" s="98" t="str">
        <f>IF('Pulje 2'!I13="","",'Pulje 2'!I13)</f>
        <v>Miriam Mella</v>
      </c>
      <c r="D11" s="47">
        <v>5.88</v>
      </c>
      <c r="E11" s="47"/>
      <c r="F11" s="48"/>
      <c r="G11" s="36">
        <f>IF(MAX(D11,E11,F11)&gt;0,MAX(D11,E11,F11),"")</f>
        <v>5.88</v>
      </c>
      <c r="H11" s="50">
        <v>5.55</v>
      </c>
      <c r="I11" s="50"/>
      <c r="J11" s="47"/>
      <c r="K11" s="37">
        <f>IF(MAX(H11,I11,J11)&gt;0,MAX(H11,I11,J11),"")</f>
        <v>5.55</v>
      </c>
      <c r="L11" s="52">
        <v>8.4</v>
      </c>
      <c r="M11" s="48"/>
      <c r="N11" s="37">
        <f>IF(MIN(L11,M11)&gt;0,MIN(L11,M11),"")</f>
        <v>8.4</v>
      </c>
      <c r="O11" s="29"/>
      <c r="P11" s="30"/>
    </row>
    <row r="12" spans="1:16" ht="16.5" customHeight="1">
      <c r="B12" s="31"/>
      <c r="C12" s="109" t="str">
        <f>IF('Pulje 2'!J13="","",'Pulje 2'!J13)</f>
        <v>AK Bjørgvin</v>
      </c>
      <c r="D12" s="38"/>
      <c r="E12" s="38"/>
      <c r="F12" s="39"/>
      <c r="G12" s="32"/>
      <c r="H12" s="41"/>
      <c r="I12" s="41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2'!F15="","",'Pulje 2'!F15)</f>
        <v>13-14</v>
      </c>
      <c r="C13" s="98" t="str">
        <f>IF('Pulje 2'!I15="","",'Pulje 2'!I15)</f>
        <v>Oline Mella</v>
      </c>
      <c r="D13" s="47">
        <v>5.37</v>
      </c>
      <c r="E13" s="47"/>
      <c r="F13" s="48"/>
      <c r="G13" s="36">
        <f>IF(MAX(D13,E13,F13)&gt;0,MAX(D13,E13,F13),"")</f>
        <v>5.37</v>
      </c>
      <c r="H13" s="50">
        <v>5.92</v>
      </c>
      <c r="I13" s="50"/>
      <c r="J13" s="47"/>
      <c r="K13" s="37">
        <f>IF(MAX(H13,I13,J13)&gt;0,MAX(H13,I13,J13),"")</f>
        <v>5.92</v>
      </c>
      <c r="L13" s="52">
        <v>7.8</v>
      </c>
      <c r="M13" s="48"/>
      <c r="N13" s="37">
        <f>IF(MIN(L13,M13)&gt;0,MIN(L13,M13),"")</f>
        <v>7.8</v>
      </c>
      <c r="O13" s="29"/>
      <c r="P13" s="30"/>
    </row>
    <row r="14" spans="1:16" ht="16.5" customHeight="1">
      <c r="B14" s="31"/>
      <c r="C14" s="109" t="str">
        <f>IF('Pulje 2'!J15="","",'Pulje 2'!J15)</f>
        <v>AK Bjørgvin</v>
      </c>
      <c r="D14" s="38"/>
      <c r="E14" s="38"/>
      <c r="F14" s="39"/>
      <c r="G14" s="32"/>
      <c r="H14" s="41"/>
      <c r="I14" s="41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2'!F17="","",'Pulje 2'!F17)</f>
        <v>13-14</v>
      </c>
      <c r="C15" s="98" t="str">
        <f>IF('Pulje 2'!I17="","",'Pulje 2'!I17)</f>
        <v>Ingrid Skag Skjefstad</v>
      </c>
      <c r="D15" s="47">
        <v>5.9</v>
      </c>
      <c r="E15" s="47"/>
      <c r="F15" s="48"/>
      <c r="G15" s="36">
        <f>IF(MAX(D15,E15,F15)&gt;0,MAX(D15,E15,F15),"")</f>
        <v>5.9</v>
      </c>
      <c r="H15" s="50">
        <v>7.5</v>
      </c>
      <c r="I15" s="50"/>
      <c r="J15" s="47"/>
      <c r="K15" s="37">
        <f>IF(MAX(H15,I15,J15)&gt;0,MAX(H15,I15,J15),"")</f>
        <v>7.5</v>
      </c>
      <c r="L15" s="52">
        <v>7.9</v>
      </c>
      <c r="M15" s="48"/>
      <c r="N15" s="37">
        <f>IF(MIN(L15,M15)&gt;0,MIN(L15,M15),"")</f>
        <v>7.9</v>
      </c>
      <c r="O15" s="29"/>
      <c r="P15" s="30"/>
    </row>
    <row r="16" spans="1:16" ht="16.5" customHeight="1">
      <c r="B16" s="31"/>
      <c r="C16" s="109" t="str">
        <f>IF('Pulje 2'!J17="","",'Pulje 2'!J17)</f>
        <v>AK Bjørgvin</v>
      </c>
      <c r="D16" s="38"/>
      <c r="E16" s="38"/>
      <c r="F16" s="39"/>
      <c r="G16" s="32"/>
      <c r="H16" s="41"/>
      <c r="I16" s="41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1:16" ht="16.5" customHeight="1">
      <c r="B17" s="99" t="str">
        <f>IF('Pulje 2'!F19="","",'Pulje 2'!F19)</f>
        <v>13-14</v>
      </c>
      <c r="C17" s="98" t="str">
        <f>IF('Pulje 2'!I19="","",'Pulje 2'!I19)</f>
        <v>Lisa Nøstdal Lending</v>
      </c>
      <c r="D17" s="47">
        <v>5.93</v>
      </c>
      <c r="E17" s="47"/>
      <c r="F17" s="48"/>
      <c r="G17" s="36">
        <f>IF(MAX(D17,E17,F17)&gt;0,MAX(D17,E17,F17),"")</f>
        <v>5.93</v>
      </c>
      <c r="H17" s="50">
        <v>6.08</v>
      </c>
      <c r="I17" s="50"/>
      <c r="J17" s="47"/>
      <c r="K17" s="37">
        <f>IF(MAX(H17,I17,J17)&gt;0,MAX(H17,I17,J17),"")</f>
        <v>6.08</v>
      </c>
      <c r="L17" s="52">
        <v>7.4</v>
      </c>
      <c r="M17" s="48"/>
      <c r="N17" s="37">
        <f>IF(MIN(L17,M17)&gt;0,MIN(L17,M17),"")</f>
        <v>7.4</v>
      </c>
      <c r="O17" s="29"/>
      <c r="P17" s="30"/>
    </row>
    <row r="18" spans="1:16" ht="16.5" customHeight="1">
      <c r="B18" s="31"/>
      <c r="C18" s="109" t="str">
        <f>IF('Pulje 2'!J19="","",'Pulje 2'!J19)</f>
        <v>Tambarskjelvar IL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1:16" ht="16.5" customHeight="1">
      <c r="B19" s="99" t="str">
        <f>IF('Pulje 2'!F21="","",'Pulje 2'!F21)</f>
        <v>13-14</v>
      </c>
      <c r="C19" s="98" t="str">
        <f>IF('Pulje 2'!I21="","",'Pulje 2'!I21)</f>
        <v>Isabel Jensen Fauske</v>
      </c>
      <c r="D19" s="47">
        <v>5.37</v>
      </c>
      <c r="E19" s="47"/>
      <c r="F19" s="48"/>
      <c r="G19" s="36">
        <f>IF(MAX(D19,E19,F19)&gt;0,MAX(D19,E19,F19),"")</f>
        <v>5.37</v>
      </c>
      <c r="H19" s="50">
        <v>5.15</v>
      </c>
      <c r="I19" s="50"/>
      <c r="J19" s="47"/>
      <c r="K19" s="37">
        <f>IF(MAX(H19,I19,J19)&gt;0,MAX(H19,I19,J19),"")</f>
        <v>5.15</v>
      </c>
      <c r="L19" s="52">
        <v>8.6</v>
      </c>
      <c r="M19" s="48"/>
      <c r="N19" s="37">
        <f>IF(MIN(L19,M19)&gt;0,MIN(L19,M19),"")</f>
        <v>8.6</v>
      </c>
      <c r="O19" s="29"/>
      <c r="P19" s="30"/>
    </row>
    <row r="20" spans="1:16" ht="16.5" customHeight="1">
      <c r="B20" s="31"/>
      <c r="C20" s="109" t="str">
        <f>IF('Pulje 2'!J21="","",'Pulje 2'!J21)</f>
        <v>Tambarskjelvar IL</v>
      </c>
      <c r="D20" s="38"/>
      <c r="E20" s="38"/>
      <c r="F20" s="39"/>
      <c r="G20" s="32"/>
      <c r="H20" s="41"/>
      <c r="I20" s="41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1:16" ht="16.5" customHeight="1">
      <c r="B21" s="99" t="str">
        <f>IF('Pulje 2'!F23="","",'Pulje 2'!F23)</f>
        <v>15-16</v>
      </c>
      <c r="C21" s="98" t="str">
        <f>IF('Pulje 2'!I23="","",'Pulje 2'!I23)</f>
        <v>Heidi Nævdal</v>
      </c>
      <c r="D21" s="47">
        <v>6.67</v>
      </c>
      <c r="E21" s="47"/>
      <c r="F21" s="48"/>
      <c r="G21" s="36">
        <f>IF(MAX(D21,E21,F21)&gt;0,MAX(D21,E21,F21),"")</f>
        <v>6.67</v>
      </c>
      <c r="H21" s="50">
        <v>8.59</v>
      </c>
      <c r="I21" s="50"/>
      <c r="J21" s="47"/>
      <c r="K21" s="37">
        <f>IF(MAX(H21,I21,J21)&gt;0,MAX(H21,I21,J21),"")</f>
        <v>8.59</v>
      </c>
      <c r="L21" s="52">
        <v>7.4</v>
      </c>
      <c r="M21" s="48"/>
      <c r="N21" s="37">
        <f>IF(MIN(L21,M21)&gt;0,MIN(L21,M21),"")</f>
        <v>7.4</v>
      </c>
      <c r="O21" s="29"/>
      <c r="P21" s="30"/>
    </row>
    <row r="22" spans="1:16" ht="16.5" customHeight="1">
      <c r="B22" s="31"/>
      <c r="C22" s="109" t="str">
        <f>IF('Pulje 2'!J23="","",'Pulje 2'!J23)</f>
        <v>AK Bjørgvin</v>
      </c>
      <c r="D22" s="38"/>
      <c r="E22" s="38"/>
      <c r="F22" s="39"/>
      <c r="G22" s="40"/>
      <c r="H22" s="41"/>
      <c r="I22" s="41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1:16" ht="16.5" customHeight="1">
      <c r="B23" s="99" t="str">
        <f>IF('Pulje 2'!F25="","",'Pulje 2'!F25)</f>
        <v>15-16</v>
      </c>
      <c r="C23" s="98" t="str">
        <f>IF('Pulje 2'!I25="","",'Pulje 2'!I25)</f>
        <v>Sandra Viktoria N. Amundsen</v>
      </c>
      <c r="D23" s="47">
        <v>5.84</v>
      </c>
      <c r="E23" s="47"/>
      <c r="F23" s="48"/>
      <c r="G23" s="36">
        <f>IF(MAX(D23,E23,F23)&gt;0,MAX(D23,E23,F23),"")</f>
        <v>5.84</v>
      </c>
      <c r="H23" s="50">
        <v>7.84</v>
      </c>
      <c r="I23" s="50"/>
      <c r="J23" s="47"/>
      <c r="K23" s="37">
        <f>IF(MAX(H23,I23,J23)&gt;0,MAX(H23,I23,J23),"")</f>
        <v>7.84</v>
      </c>
      <c r="L23" s="52">
        <v>7.5</v>
      </c>
      <c r="M23" s="48"/>
      <c r="N23" s="37">
        <f>IF(MIN(L23,M23)&gt;0,MIN(L23,M23),"")</f>
        <v>7.5</v>
      </c>
      <c r="O23" s="29"/>
      <c r="P23" s="30"/>
    </row>
    <row r="24" spans="1:16" ht="16.5" customHeight="1">
      <c r="B24" s="31"/>
      <c r="C24" s="109" t="str">
        <f>IF('Pulje 2'!J25="","",'Pulje 2'!J25)</f>
        <v>AK Bjørgvin</v>
      </c>
      <c r="D24" s="38"/>
      <c r="E24" s="38"/>
      <c r="F24" s="39"/>
      <c r="G24" s="32"/>
      <c r="H24" s="41"/>
      <c r="I24" s="41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1:16" ht="16.5" customHeight="1">
      <c r="B25" s="99" t="str">
        <f>IF('Pulje 2'!F27="","",'Pulje 2'!F27)</f>
        <v>15-16</v>
      </c>
      <c r="C25" s="98" t="str">
        <f>IF('Pulje 2'!I27="","",'Pulje 2'!I27)</f>
        <v>Kristina Haugsbø Smådal</v>
      </c>
      <c r="D25" s="47">
        <v>5.44</v>
      </c>
      <c r="E25" s="47"/>
      <c r="F25" s="48"/>
      <c r="G25" s="36">
        <f>IF(MAX(D25,E25,F25)&gt;0,MAX(D25,E25,F25),"")</f>
        <v>5.44</v>
      </c>
      <c r="H25" s="50">
        <v>7.5</v>
      </c>
      <c r="I25" s="50"/>
      <c r="J25" s="47"/>
      <c r="K25" s="37">
        <f>IF(MAX(H25,I25,J25)&gt;0,MAX(H25,I25,J25),"")</f>
        <v>7.5</v>
      </c>
      <c r="L25" s="52">
        <v>7.8</v>
      </c>
      <c r="M25" s="48"/>
      <c r="N25" s="37">
        <f>IF(MIN(L25,M25)&gt;0,MIN(L25,M25),"")</f>
        <v>7.8</v>
      </c>
      <c r="O25" s="29"/>
      <c r="P25" s="30"/>
    </row>
    <row r="26" spans="1:16" ht="16.5" customHeight="1">
      <c r="B26" s="31"/>
      <c r="C26" s="109" t="str">
        <f>IF('Pulje 2'!J27="","",'Pulje 2'!J27)</f>
        <v>Tambarskjelvar IL</v>
      </c>
      <c r="D26" s="38"/>
      <c r="E26" s="38"/>
      <c r="F26" s="39"/>
      <c r="G26" s="32"/>
      <c r="H26" s="41"/>
      <c r="I26" s="41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1:16" ht="16.5" customHeight="1">
      <c r="B27" s="99" t="str">
        <f>IF('Pulje 2'!F29="","",'Pulje 2'!F29)</f>
        <v>15-16</v>
      </c>
      <c r="C27" s="98" t="str">
        <f>IF('Pulje 2'!I29="","",'Pulje 2'!I29)</f>
        <v>Madeleine Indrebø</v>
      </c>
      <c r="D27" s="47">
        <v>5.61</v>
      </c>
      <c r="E27" s="47"/>
      <c r="F27" s="48"/>
      <c r="G27" s="36">
        <f>IF(MAX(D27,E27,F27)&gt;0,MAX(D27,E27,F27),"")</f>
        <v>5.61</v>
      </c>
      <c r="H27" s="50">
        <v>6.3</v>
      </c>
      <c r="I27" s="50"/>
      <c r="J27" s="47"/>
      <c r="K27" s="37">
        <f>IF(MAX(H27,I27,J27)&gt;0,MAX(H27,I27,J27),"")</f>
        <v>6.3</v>
      </c>
      <c r="L27" s="52">
        <v>8.3000000000000007</v>
      </c>
      <c r="M27" s="48"/>
      <c r="N27" s="37">
        <f>IF(MIN(L27,M27)&gt;0,MIN(L27,M27),"")</f>
        <v>8.3000000000000007</v>
      </c>
      <c r="O27" s="29"/>
      <c r="P27" s="30"/>
    </row>
    <row r="28" spans="1:16" ht="16.5" customHeight="1">
      <c r="B28" s="31"/>
      <c r="C28" s="109" t="str">
        <f>IF('Pulje 2'!J29="","",'Pulje 2'!J29)</f>
        <v>Tambarskjelvar IL</v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1:16" ht="16.5" customHeight="1">
      <c r="B29" s="99" t="str">
        <f>IF('Pulje 2'!F31="","",'Pulje 2'!F31)</f>
        <v/>
      </c>
      <c r="C29" s="98" t="str">
        <f>IF('Pulje 2'!I31="","",'Pulje 2'!I31)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1:16" ht="16.5" customHeight="1">
      <c r="A30" s="83"/>
      <c r="B30" s="56"/>
      <c r="C30" s="97" t="str">
        <f>IF('Pulje 2'!J31="","",'Pulje 2'!J31)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  <row r="31" spans="1:16" ht="16.5" customHeight="1">
      <c r="B31" s="99" t="str">
        <f>IF('Pulje 2'!F33="","",'Pulje 2'!F33)</f>
        <v/>
      </c>
      <c r="C31" s="98" t="str">
        <f>IF('Pulje 2'!I33="","",'Pulje 2'!I33)</f>
        <v/>
      </c>
      <c r="D31" s="47"/>
      <c r="E31" s="47"/>
      <c r="F31" s="48"/>
      <c r="G31" s="36" t="str">
        <f>IF(MAX(D31,E31,F31)&gt;0,MAX(D31,E31,F31),"")</f>
        <v/>
      </c>
      <c r="H31" s="50"/>
      <c r="I31" s="47"/>
      <c r="J31" s="47"/>
      <c r="K31" s="37" t="str">
        <f>IF(MAX(H31,I31,J31)&gt;0,MAX(H31,I31,J31),"")</f>
        <v/>
      </c>
      <c r="L31" s="54"/>
      <c r="M31" s="48"/>
      <c r="N31" s="37" t="str">
        <f>IF(MIN(L31,M31)&gt;0,MIN(L31,M31),"")</f>
        <v/>
      </c>
      <c r="O31" s="29"/>
      <c r="P31" s="30"/>
    </row>
    <row r="32" spans="1:16" ht="16.5" customHeight="1">
      <c r="A32" s="83"/>
      <c r="B32" s="56"/>
      <c r="C32" s="97" t="str">
        <f>IF('Pulje 2'!J33="","",'Pulje 2'!J33)</f>
        <v/>
      </c>
      <c r="D32" s="38"/>
      <c r="E32" s="38"/>
      <c r="F32" s="39"/>
      <c r="G32" s="43"/>
      <c r="H32" s="41"/>
      <c r="I32" s="38"/>
      <c r="J32" s="39"/>
      <c r="K32" s="40"/>
      <c r="L32" s="41"/>
      <c r="M32" s="39"/>
      <c r="N32" s="44"/>
      <c r="O32" s="35" t="str">
        <f>IF(SUM(L32:N32)&gt;0,SUM(L32:N32),"")</f>
        <v/>
      </c>
      <c r="P32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D43B-19C6-0E42-8AC3-82FA39C53C1F}">
  <sheetPr>
    <pageSetUpPr fitToPage="1"/>
  </sheetPr>
  <dimension ref="A1:P30"/>
  <sheetViews>
    <sheetView showGridLines="0" showRowColHeaders="0" showZeros="0" workbookViewId="0">
      <selection activeCell="S27" sqref="S27"/>
    </sheetView>
  </sheetViews>
  <sheetFormatPr baseColWidth="10" defaultColWidth="8.796875" defaultRowHeight="13"/>
  <cols>
    <col min="1" max="1" width="5.59765625" customWidth="1"/>
    <col min="2" max="2" width="7.59765625" customWidth="1"/>
    <col min="3" max="3" width="27.59765625" customWidth="1"/>
    <col min="4" max="14" width="7.3984375" customWidth="1"/>
    <col min="15" max="15" width="9.3984375" customWidth="1"/>
    <col min="16" max="16" width="4.59765625" style="7" customWidth="1"/>
  </cols>
  <sheetData>
    <row r="1" spans="1:16" ht="23">
      <c r="A1" s="327" t="s">
        <v>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33" t="s">
        <v>0</v>
      </c>
      <c r="B3" s="333"/>
      <c r="C3" s="329" t="str">
        <f>IF('Pulje 1'!K5&gt;0,'Pulje 1'!K5,"")</f>
        <v>AK Bjørgvn</v>
      </c>
      <c r="D3" s="329"/>
      <c r="E3" s="14" t="s">
        <v>1</v>
      </c>
      <c r="F3" s="331" t="str">
        <f>IF('Pulje 1'!R5&gt;0,'Pulje 1'!R5,"")</f>
        <v/>
      </c>
      <c r="G3" s="331"/>
      <c r="H3" s="331"/>
      <c r="I3" s="331"/>
      <c r="J3" s="15" t="s">
        <v>2</v>
      </c>
      <c r="K3" s="332" t="str">
        <f>IF('Pulje 1'!X5&gt;0,'Pulje 1'!X5,"")</f>
        <v/>
      </c>
      <c r="L3" s="332"/>
      <c r="M3" s="15" t="s">
        <v>15</v>
      </c>
      <c r="N3" s="58">
        <v>3</v>
      </c>
      <c r="O3" s="57"/>
      <c r="P3" s="16"/>
    </row>
    <row r="4" spans="1:16" ht="15" thickBot="1">
      <c r="B4" s="323" t="s">
        <v>62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5"/>
      <c r="P4" s="16"/>
    </row>
    <row r="5" spans="1:16" s="17" customFormat="1" ht="14">
      <c r="B5" s="18" t="s">
        <v>18</v>
      </c>
      <c r="C5" s="19" t="s">
        <v>6</v>
      </c>
      <c r="D5" s="324" t="s">
        <v>21</v>
      </c>
      <c r="E5" s="324"/>
      <c r="F5" s="324"/>
      <c r="G5" s="324"/>
      <c r="H5" s="325" t="s">
        <v>22</v>
      </c>
      <c r="I5" s="325"/>
      <c r="J5" s="325"/>
      <c r="K5" s="325"/>
      <c r="L5" s="326" t="s">
        <v>42</v>
      </c>
      <c r="M5" s="326"/>
      <c r="N5" s="326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3'!F9="","",'Pulje 3'!F9)</f>
        <v>11-12</v>
      </c>
      <c r="C7" s="96" t="str">
        <f>IF('Pulje 3'!I9="","",'Pulje 3'!I9)</f>
        <v>Samuel Mella</v>
      </c>
      <c r="D7" s="45">
        <v>3.92</v>
      </c>
      <c r="E7" s="45"/>
      <c r="F7" s="46"/>
      <c r="G7" s="28">
        <f>IF(MAX(D7,E7,F7)&gt;0,MAX(D7,E7,F7),"")</f>
        <v>3.92</v>
      </c>
      <c r="H7" s="49">
        <v>3.22</v>
      </c>
      <c r="I7" s="45"/>
      <c r="J7" s="45"/>
      <c r="K7" s="28">
        <f>IF(MAX(H7,I7,J7)&gt;0,MAX(H7,I7,J7),"")</f>
        <v>3.22</v>
      </c>
      <c r="L7" s="51">
        <v>10.8</v>
      </c>
      <c r="M7" s="46"/>
      <c r="N7" s="28">
        <f>IF(MIN(L7,M7)&gt;0,MIN(L7,M7),"")</f>
        <v>10.8</v>
      </c>
      <c r="O7" s="29"/>
      <c r="P7" s="30"/>
    </row>
    <row r="8" spans="1:16" ht="16.5" customHeight="1">
      <c r="B8" s="31"/>
      <c r="C8" s="97">
        <f>IF('Pulje 3'!J9="","",'Pulje 3'!GJ9)</f>
        <v>0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3'!F11="","",'Pulje 3'!F11)</f>
        <v>11-12</v>
      </c>
      <c r="C9" s="98" t="str">
        <f>IF('Pulje 3'!I11="","",'Pulje 3'!I11)</f>
        <v>Ådne Rydland Kalstveit</v>
      </c>
      <c r="D9" s="47">
        <v>4.63</v>
      </c>
      <c r="E9" s="47"/>
      <c r="F9" s="48"/>
      <c r="G9" s="36">
        <f>IF(MAX(D9,E9,F9)&gt;0,MAX(D9,E9,F9),"")</f>
        <v>4.63</v>
      </c>
      <c r="H9" s="50">
        <v>6.24</v>
      </c>
      <c r="I9" s="47"/>
      <c r="J9" s="47"/>
      <c r="K9" s="37">
        <f>IF(MAX(H9,I9,J9)&gt;0,MAX(H9,I9,J9),"")</f>
        <v>6.24</v>
      </c>
      <c r="L9" s="52">
        <v>8.9</v>
      </c>
      <c r="M9" s="48"/>
      <c r="N9" s="37">
        <f>IF(MIN(L9,M9)&gt;0,MIN(L9,M9),"")</f>
        <v>8.9</v>
      </c>
      <c r="O9" s="29"/>
      <c r="P9" s="30"/>
    </row>
    <row r="10" spans="1:16" ht="16.5" customHeight="1">
      <c r="B10" s="31"/>
      <c r="C10" s="97">
        <f>IF('Pulje 3'!J11="","",'Pulje 3'!GJ11)</f>
        <v>0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3'!F13="","",'Pulje 3'!F13)</f>
        <v>11-12</v>
      </c>
      <c r="C11" s="98" t="str">
        <f>IF('Pulje 3'!I13="","",'Pulje 3'!I13)</f>
        <v>Gard Røsjø-Magnusson</v>
      </c>
      <c r="D11" s="47"/>
      <c r="E11" s="47"/>
      <c r="F11" s="48"/>
      <c r="G11" s="36" t="str">
        <f>IF(MAX(D11,E11,F11)&gt;0,MAX(D11,E11,F11),"")</f>
        <v/>
      </c>
      <c r="H11" s="50"/>
      <c r="I11" s="47"/>
      <c r="J11" s="47"/>
      <c r="K11" s="37" t="str">
        <f>IF(MAX(H11,I11,J11)&gt;0,MAX(H11,I11,J11),"")</f>
        <v/>
      </c>
      <c r="L11" s="52"/>
      <c r="M11" s="48"/>
      <c r="N11" s="37" t="str">
        <f>IF(MIN(L11,M11)&gt;0,MIN(L11,M11),"")</f>
        <v/>
      </c>
      <c r="O11" s="29"/>
      <c r="P11" s="30"/>
    </row>
    <row r="12" spans="1:16" ht="16.5" customHeight="1">
      <c r="B12" s="31"/>
      <c r="C12" s="97">
        <f>IF('Pulje 3'!J13="","",'Pulje 3'!GJ13)</f>
        <v>0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3'!F15="","",'Pulje 3'!F15)</f>
        <v>13-14</v>
      </c>
      <c r="C13" s="98" t="str">
        <f>IF('Pulje 3'!I15="","",'Pulje 3'!I15)</f>
        <v>Vinjar Kronen</v>
      </c>
      <c r="D13" s="47">
        <v>5.0999999999999996</v>
      </c>
      <c r="E13" s="47"/>
      <c r="F13" s="48"/>
      <c r="G13" s="36">
        <f>IF(MAX(D13,E13,F13)&gt;0,MAX(D13,E13,F13),"")</f>
        <v>5.0999999999999996</v>
      </c>
      <c r="H13" s="50">
        <v>4.5199999999999996</v>
      </c>
      <c r="I13" s="47"/>
      <c r="J13" s="47"/>
      <c r="K13" s="37">
        <f>IF(MAX(H13,I13,J13)&gt;0,MAX(H13,I13,J13),"")</f>
        <v>4.5199999999999996</v>
      </c>
      <c r="L13" s="52">
        <v>9</v>
      </c>
      <c r="M13" s="48"/>
      <c r="N13" s="37">
        <f>IF(MIN(L13,M13)&gt;0,MIN(L13,M13),"")</f>
        <v>9</v>
      </c>
      <c r="O13" s="29"/>
      <c r="P13" s="30"/>
    </row>
    <row r="14" spans="1:16" ht="16.5" customHeight="1">
      <c r="B14" s="31"/>
      <c r="C14" s="97">
        <f>IF('Pulje 3'!J15="","",'Pulje 3'!GJ15)</f>
        <v>0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3'!F17="","",'Pulje 3'!F17)</f>
        <v>13-14</v>
      </c>
      <c r="C15" s="98" t="str">
        <f>IF('Pulje 3'!I17="","",'Pulje 3'!I17)</f>
        <v>Anton Rivera</v>
      </c>
      <c r="D15" s="47">
        <v>6.15</v>
      </c>
      <c r="E15" s="47"/>
      <c r="F15" s="48"/>
      <c r="G15" s="36">
        <f>IF(MAX(D15,E15,F15)&gt;0,MAX(D15,E15,F15),"")</f>
        <v>6.15</v>
      </c>
      <c r="H15" s="50">
        <v>6.94</v>
      </c>
      <c r="I15" s="47"/>
      <c r="J15" s="47"/>
      <c r="K15" s="37">
        <f>IF(MAX(H15,I15,J15)&gt;0,MAX(H15,I15,J15),"")</f>
        <v>6.94</v>
      </c>
      <c r="L15" s="52">
        <v>7.9</v>
      </c>
      <c r="M15" s="48"/>
      <c r="N15" s="37">
        <f>IF(MIN(L15,M15)&gt;0,MIN(L15,M15),"")</f>
        <v>7.9</v>
      </c>
      <c r="O15" s="29"/>
      <c r="P15" s="30"/>
    </row>
    <row r="16" spans="1:16" ht="16.5" customHeight="1">
      <c r="B16" s="31"/>
      <c r="C16" s="97">
        <f>IF('Pulje 3'!J17="","",'Pulje 3'!GJ17)</f>
        <v>0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1:16" ht="16.5" customHeight="1">
      <c r="B17" s="99" t="str">
        <f>IF('Pulje 3'!F19="","",'Pulje 3'!F19)</f>
        <v>13-14</v>
      </c>
      <c r="C17" s="98" t="str">
        <f>IF('Pulje 3'!I19="","",'Pulje 3'!I19)</f>
        <v>Jardar Øvrebø-Feldt</v>
      </c>
      <c r="D17" s="47">
        <v>6.71</v>
      </c>
      <c r="E17" s="47"/>
      <c r="F17" s="48"/>
      <c r="G17" s="36">
        <f>IF(MAX(D17,E17,F17)&gt;0,MAX(D17,E17,F17),"")</f>
        <v>6.71</v>
      </c>
      <c r="H17" s="50">
        <v>9.25</v>
      </c>
      <c r="I17" s="47"/>
      <c r="J17" s="47"/>
      <c r="K17" s="37">
        <f>IF(MAX(H17,I17,J17)&gt;0,MAX(H17,I17,J17),"")</f>
        <v>9.25</v>
      </c>
      <c r="L17" s="52">
        <v>7.5</v>
      </c>
      <c r="M17" s="48"/>
      <c r="N17" s="37">
        <f>IF(MIN(L17,M17)&gt;0,MIN(L17,M17),"")</f>
        <v>7.5</v>
      </c>
      <c r="O17" s="29"/>
      <c r="P17" s="30"/>
    </row>
    <row r="18" spans="1:16" ht="16.5" customHeight="1">
      <c r="B18" s="31"/>
      <c r="C18" s="97">
        <f>IF('Pulje 3'!J19="","",'Pulje 3'!GJ19)</f>
        <v>0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1:16" ht="16.5" customHeight="1">
      <c r="B19" s="99" t="str">
        <f>IF('Pulje 3'!F21="","",'Pulje 3'!F21)</f>
        <v>15-16</v>
      </c>
      <c r="C19" s="98" t="str">
        <f>IF('Pulje 3'!I21="","",'Pulje 3'!I21)</f>
        <v>Lyder Slagstad Aamot</v>
      </c>
      <c r="D19" s="47">
        <v>7.84</v>
      </c>
      <c r="E19" s="47"/>
      <c r="F19" s="48"/>
      <c r="G19" s="36">
        <f>IF(MAX(D19,E19,F19)&gt;0,MAX(D19,E19,F19),"")</f>
        <v>7.84</v>
      </c>
      <c r="H19" s="50">
        <v>10</v>
      </c>
      <c r="I19" s="47"/>
      <c r="J19" s="47"/>
      <c r="K19" s="37">
        <f>IF(MAX(H19,I19,J19)&gt;0,MAX(H19,I19,J19),"")</f>
        <v>10</v>
      </c>
      <c r="L19" s="52">
        <v>6.9</v>
      </c>
      <c r="M19" s="48"/>
      <c r="N19" s="37">
        <f>IF(MIN(L19,M19)&gt;0,MIN(L19,M19),"")</f>
        <v>6.9</v>
      </c>
      <c r="O19" s="29"/>
      <c r="P19" s="30"/>
    </row>
    <row r="20" spans="1:16" ht="16.5" customHeight="1">
      <c r="B20" s="31"/>
      <c r="C20" s="97">
        <f>IF('Pulje 3'!J21="","",'Pulje 3'!GJ21)</f>
        <v>0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1:16" ht="16.5" customHeight="1">
      <c r="B21" s="99" t="str">
        <f>IF('Pulje 3'!F23="","",'Pulje 3'!F23)</f>
        <v>15-16</v>
      </c>
      <c r="C21" s="98" t="str">
        <f>IF('Pulje 3'!I23="","",'Pulje 3'!I23)</f>
        <v>Andreas Kvame</v>
      </c>
      <c r="D21" s="47">
        <v>7.42</v>
      </c>
      <c r="E21" s="47"/>
      <c r="F21" s="48"/>
      <c r="G21" s="36">
        <f>IF(MAX(D21,E21,F21)&gt;0,MAX(D21,E21,F21),"")</f>
        <v>7.42</v>
      </c>
      <c r="H21" s="50">
        <v>9.1999999999999993</v>
      </c>
      <c r="I21" s="47"/>
      <c r="J21" s="47"/>
      <c r="K21" s="37">
        <f>IF(MAX(H21,I21,J21)&gt;0,MAX(H21,I21,J21),"")</f>
        <v>9.1999999999999993</v>
      </c>
      <c r="L21" s="52">
        <v>7.1</v>
      </c>
      <c r="M21" s="48"/>
      <c r="N21" s="37">
        <f>IF(MIN(L21,M21)&gt;0,MIN(L21,M21),"")</f>
        <v>7.1</v>
      </c>
      <c r="O21" s="29"/>
      <c r="P21" s="30"/>
    </row>
    <row r="22" spans="1:16" ht="16.5" customHeight="1">
      <c r="B22" s="31"/>
      <c r="C22" s="97">
        <f>IF('Pulje 3'!J23="","",'Pulje 3'!GJ23)</f>
        <v>0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1:16" ht="16.5" customHeight="1">
      <c r="B23" s="99" t="str">
        <f>IF('Pulje 3'!F25="","",'Pulje 3'!F25)</f>
        <v>15-16</v>
      </c>
      <c r="C23" s="98" t="str">
        <f>IF('Pulje 3'!I25="","",'Pulje 3'!I25)</f>
        <v>Albert Jonas Midtbø-Figueroa</v>
      </c>
      <c r="D23" s="47">
        <v>5.82</v>
      </c>
      <c r="E23" s="47"/>
      <c r="F23" s="48"/>
      <c r="G23" s="36">
        <f>IF(MAX(D23,E23,F23)&gt;0,MAX(D23,E23,F23),"")</f>
        <v>5.82</v>
      </c>
      <c r="H23" s="50">
        <v>12.11</v>
      </c>
      <c r="I23" s="47"/>
      <c r="J23" s="47"/>
      <c r="K23" s="37">
        <f>IF(MAX(H23,I23,J23)&gt;0,MAX(H23,I23,J23),"")</f>
        <v>12.11</v>
      </c>
      <c r="L23" s="52">
        <v>18.8</v>
      </c>
      <c r="M23" s="48"/>
      <c r="N23" s="37">
        <f>IF(MIN(L23,M23)&gt;0,MIN(L23,M23),"")</f>
        <v>18.8</v>
      </c>
      <c r="O23" s="29"/>
      <c r="P23" s="30"/>
    </row>
    <row r="24" spans="1:16" ht="16.5" customHeight="1">
      <c r="B24" s="31"/>
      <c r="C24" s="97">
        <f>IF('Pulje 3'!J25="","",'Pulje 3'!GJ25)</f>
        <v>0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1:16" ht="16.5" customHeight="1">
      <c r="B25" s="99" t="str">
        <f>IF('Pulje 3'!F27="","",'Pulje 3'!F27)</f>
        <v>17-18</v>
      </c>
      <c r="C25" s="98" t="str">
        <f>IF('Pulje 3'!I27="","",'Pulje 3'!I27)</f>
        <v>Olai Slagstad Aaamot</v>
      </c>
      <c r="D25" s="47">
        <v>8.6</v>
      </c>
      <c r="E25" s="47"/>
      <c r="F25" s="48"/>
      <c r="G25" s="36">
        <f>IF(MAX(D25,E25,F25)&gt;0,MAX(D25,E25,F25),"")</f>
        <v>8.6</v>
      </c>
      <c r="H25" s="50">
        <v>10.26</v>
      </c>
      <c r="I25" s="47"/>
      <c r="J25" s="47"/>
      <c r="K25" s="37">
        <f>IF(MAX(H25,I25,J25)&gt;0,MAX(H25,I25,J25),"")</f>
        <v>10.26</v>
      </c>
      <c r="L25" s="52">
        <v>6.6</v>
      </c>
      <c r="M25" s="48"/>
      <c r="N25" s="37">
        <f>IF(MIN(L25,M25)&gt;0,MIN(L25,M25),"")</f>
        <v>6.6</v>
      </c>
      <c r="O25" s="29"/>
      <c r="P25" s="30"/>
    </row>
    <row r="26" spans="1:16" ht="16.5" customHeight="1">
      <c r="B26" s="31"/>
      <c r="C26" s="97">
        <f>IF('Pulje 3'!J27="","",'Pulje 3'!GJ27)</f>
        <v>0</v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1:16" ht="16.5" customHeight="1">
      <c r="B27" s="99" t="str">
        <f>IF('Pulje 3'!F29="","",'Pulje 3'!F29)</f>
        <v>17-18</v>
      </c>
      <c r="C27" s="98" t="str">
        <f>IF('Pulje 3'!I29="","",'Pulje 3'!I29)</f>
        <v>Andreas Kvamsås Savland</v>
      </c>
      <c r="D27" s="47">
        <v>7.52</v>
      </c>
      <c r="E27" s="47"/>
      <c r="F27" s="48"/>
      <c r="G27" s="36">
        <f>IF(MAX(D27,E27,F27)&gt;0,MAX(D27,E27,F27),"")</f>
        <v>7.52</v>
      </c>
      <c r="H27" s="50">
        <v>9.39</v>
      </c>
      <c r="I27" s="47"/>
      <c r="J27" s="47"/>
      <c r="K27" s="37">
        <f>IF(MAX(H27,I27,J27)&gt;0,MAX(H27,I27,J27),"")</f>
        <v>9.39</v>
      </c>
      <c r="L27" s="52">
        <v>6.7</v>
      </c>
      <c r="M27" s="48"/>
      <c r="N27" s="37">
        <f>IF(MIN(L27,M27)&gt;0,MIN(L27,M27),"")</f>
        <v>6.7</v>
      </c>
      <c r="O27" s="29"/>
      <c r="P27" s="30"/>
    </row>
    <row r="28" spans="1:16" ht="16.5" customHeight="1">
      <c r="B28" s="31"/>
      <c r="C28" s="97">
        <f>IF('Pulje 3'!J29="","",'Pulje 3'!GJ29)</f>
        <v>0</v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1:16" ht="16.5" customHeight="1">
      <c r="B29" s="99" t="str">
        <f>IF('Pulje 3'!F31="","",'Pulje 3'!F31)</f>
        <v>17-18</v>
      </c>
      <c r="C29" s="98" t="str">
        <f>IF('Pulje 3'!I31="","",'Pulje 3'!I31)</f>
        <v>Nikolai K. Aadland</v>
      </c>
      <c r="D29" s="47">
        <v>7.54</v>
      </c>
      <c r="E29" s="47"/>
      <c r="F29" s="48"/>
      <c r="G29" s="36">
        <f>IF(MAX(D29,E29,F29)&gt;0,MAX(D29,E29,F29),"")</f>
        <v>7.54</v>
      </c>
      <c r="H29" s="50">
        <v>10.8</v>
      </c>
      <c r="I29" s="47"/>
      <c r="J29" s="47"/>
      <c r="K29" s="37">
        <f>IF(MAX(H29,I29,J29)&gt;0,MAX(H29,I29,J29),"")</f>
        <v>10.8</v>
      </c>
      <c r="L29" s="54">
        <v>6.8</v>
      </c>
      <c r="M29" s="48"/>
      <c r="N29" s="37">
        <f>IF(MIN(L29,M29)&gt;0,MIN(L29,M29),"")</f>
        <v>6.8</v>
      </c>
      <c r="O29" s="29"/>
      <c r="P29" s="30"/>
    </row>
    <row r="30" spans="1:16" ht="16.5" customHeight="1">
      <c r="A30" s="55"/>
      <c r="B30" s="56"/>
      <c r="C30" s="97">
        <f>IF('Pulje 3'!J31="","",'Pulje 3'!GJ31)</f>
        <v>0</v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</sheetData>
  <mergeCells count="9">
    <mergeCell ref="D5:G5"/>
    <mergeCell ref="H5:K5"/>
    <mergeCell ref="L5:N5"/>
    <mergeCell ref="A1:N1"/>
    <mergeCell ref="A3:B3"/>
    <mergeCell ref="C3:D3"/>
    <mergeCell ref="F3:I3"/>
    <mergeCell ref="K3:L3"/>
    <mergeCell ref="B4:N4"/>
  </mergeCells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P30"/>
  <sheetViews>
    <sheetView showGridLines="0" showRowColHeaders="0" showZeros="0" workbookViewId="0">
      <selection activeCell="S25" sqref="S25"/>
    </sheetView>
  </sheetViews>
  <sheetFormatPr baseColWidth="10" defaultColWidth="8.796875" defaultRowHeight="13"/>
  <cols>
    <col min="1" max="1" width="5.59765625" customWidth="1"/>
    <col min="2" max="2" width="7.59765625" customWidth="1"/>
    <col min="3" max="3" width="27.59765625" customWidth="1"/>
    <col min="4" max="14" width="7.3984375" customWidth="1"/>
    <col min="15" max="15" width="9.3984375" customWidth="1"/>
    <col min="16" max="16" width="4.59765625" style="7" customWidth="1"/>
  </cols>
  <sheetData>
    <row r="1" spans="1:16" ht="23">
      <c r="A1" s="327" t="s">
        <v>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33" t="s">
        <v>0</v>
      </c>
      <c r="B3" s="333"/>
      <c r="C3" s="329" t="str">
        <f>IF('Pulje 1'!K5&gt;0,'Pulje 1'!K5,"")</f>
        <v>AK Bjørgvn</v>
      </c>
      <c r="D3" s="329"/>
      <c r="E3" s="14" t="s">
        <v>1</v>
      </c>
      <c r="F3" s="331" t="str">
        <f>IF('Pulje 1'!R5&gt;0,'Pulje 1'!R5,"")</f>
        <v/>
      </c>
      <c r="G3" s="331"/>
      <c r="H3" s="331"/>
      <c r="I3" s="331"/>
      <c r="J3" s="15" t="s">
        <v>2</v>
      </c>
      <c r="K3" s="334" t="str">
        <f>IF('Pulje 1'!X5&gt;0,'Pulje 1'!X5,"")</f>
        <v/>
      </c>
      <c r="L3" s="334"/>
      <c r="M3" s="15" t="s">
        <v>15</v>
      </c>
      <c r="N3" s="60">
        <v>4</v>
      </c>
      <c r="O3" s="59"/>
      <c r="P3" s="16"/>
    </row>
    <row r="4" spans="1:16" ht="15" thickBot="1">
      <c r="B4" s="323" t="s">
        <v>62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5"/>
      <c r="P4" s="16"/>
    </row>
    <row r="5" spans="1:16" s="17" customFormat="1" ht="14">
      <c r="B5" s="18" t="s">
        <v>18</v>
      </c>
      <c r="C5" s="19" t="s">
        <v>6</v>
      </c>
      <c r="D5" s="324" t="s">
        <v>21</v>
      </c>
      <c r="E5" s="324"/>
      <c r="F5" s="324"/>
      <c r="G5" s="324"/>
      <c r="H5" s="325" t="s">
        <v>22</v>
      </c>
      <c r="I5" s="325"/>
      <c r="J5" s="325"/>
      <c r="K5" s="325"/>
      <c r="L5" s="326" t="s">
        <v>42</v>
      </c>
      <c r="M5" s="326"/>
      <c r="N5" s="326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4'!F9="","",'Pulje 4'!F9)</f>
        <v>19-23</v>
      </c>
      <c r="C7" s="96" t="str">
        <f>IF('Pulje 4'!I9="","",'Pulje 4'!I9)</f>
        <v>Maria Sæterstøl</v>
      </c>
      <c r="D7" s="45">
        <v>6.1</v>
      </c>
      <c r="E7" s="45"/>
      <c r="F7" s="46"/>
      <c r="G7" s="28">
        <f>IF(MAX(D7,E7,F7)&gt;0,MAX(D7,E7,F7),"")</f>
        <v>6.1</v>
      </c>
      <c r="H7" s="49">
        <v>8.9</v>
      </c>
      <c r="I7" s="45"/>
      <c r="J7" s="45"/>
      <c r="K7" s="28">
        <f>IF(MAX(H7,I7,J7)&gt;0,MAX(H7,I7,J7),"")</f>
        <v>8.9</v>
      </c>
      <c r="L7" s="51">
        <v>7.3</v>
      </c>
      <c r="M7" s="46"/>
      <c r="N7" s="28">
        <f>IF(MIN(L7,M7)&gt;0,MIN(L7,M7),"")</f>
        <v>7.3</v>
      </c>
      <c r="O7" s="29"/>
      <c r="P7" s="30"/>
    </row>
    <row r="8" spans="1:16" ht="16.5" customHeight="1">
      <c r="B8" s="31"/>
      <c r="C8" s="109" t="str">
        <f>IF('Pulje 4'!J9="","",'Pulje 4'!J9)</f>
        <v>AK Bjørgvin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100" t="str">
        <f>IF('Pulje 4'!F11="","",'Pulje 4'!F11)</f>
        <v>19-23</v>
      </c>
      <c r="C9" s="110" t="str">
        <f>IF('Pulje 4'!I11="","",'Pulje 4'!I11)</f>
        <v>Emelia Tveitå</v>
      </c>
      <c r="D9" s="47">
        <v>7.85</v>
      </c>
      <c r="E9" s="47"/>
      <c r="F9" s="48"/>
      <c r="G9" s="36">
        <f>IF(MAX(D9,E9,F9)&gt;0,MAX(D9,E9,F9),"")</f>
        <v>7.85</v>
      </c>
      <c r="H9" s="50">
        <v>16.399999999999999</v>
      </c>
      <c r="I9" s="47"/>
      <c r="J9" s="47"/>
      <c r="K9" s="37">
        <f>IF(MAX(H9,I9,J9)&gt;0,MAX(H9,I9,J9),"")</f>
        <v>16.399999999999999</v>
      </c>
      <c r="L9" s="52">
        <v>6.6</v>
      </c>
      <c r="M9" s="48"/>
      <c r="N9" s="37">
        <f>IF(MIN(L9,M9)&gt;0,MIN(L9,M9),"")</f>
        <v>6.6</v>
      </c>
      <c r="O9" s="29"/>
      <c r="P9" s="30"/>
    </row>
    <row r="10" spans="1:16" ht="16.5" customHeight="1">
      <c r="B10" s="31"/>
      <c r="C10" s="97" t="str">
        <f>IF('Pulje 4'!J11="","",'Pulje 4'!J11)</f>
        <v>AK Bjørgvin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100" t="str">
        <f>IF('Pulje 4'!F13="","",'Pulje 4'!F13)</f>
        <v>19-23</v>
      </c>
      <c r="C11" s="110" t="str">
        <f>IF('Pulje 4'!I13="","",'Pulje 4'!I13)</f>
        <v>Julia Jordanger Loen</v>
      </c>
      <c r="D11" s="47">
        <v>7.6</v>
      </c>
      <c r="E11" s="47"/>
      <c r="F11" s="48"/>
      <c r="G11" s="36">
        <f>IF(MAX(D11,E11,F11)&gt;0,MAX(D11,E11,F11),"")</f>
        <v>7.6</v>
      </c>
      <c r="H11" s="50">
        <v>14.5</v>
      </c>
      <c r="I11" s="47"/>
      <c r="J11" s="47"/>
      <c r="K11" s="37">
        <f>IF(MAX(H11,I11,J11)&gt;0,MAX(H11,I11,J11),"")</f>
        <v>14.5</v>
      </c>
      <c r="L11" s="52">
        <v>7</v>
      </c>
      <c r="M11" s="48"/>
      <c r="N11" s="37">
        <f>IF(MIN(L11,M11)&gt;0,MIN(L11,M11),"")</f>
        <v>7</v>
      </c>
      <c r="O11" s="29"/>
      <c r="P11" s="30"/>
    </row>
    <row r="12" spans="1:16" ht="16.5" customHeight="1">
      <c r="B12" s="31"/>
      <c r="C12" s="97" t="str">
        <f>IF('Pulje 4'!J13="","",'Pulje 4'!J13)</f>
        <v>Breimsbygda IL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100" t="str">
        <f>IF('Pulje 4'!F15="","",'Pulje 4'!F15)</f>
        <v>19-23</v>
      </c>
      <c r="C13" s="110" t="str">
        <f>IF('Pulje 4'!I15="","",'Pulje 4'!I15)</f>
        <v>Laila Therese K. Bjørnarheim</v>
      </c>
      <c r="D13" s="47">
        <v>6.9</v>
      </c>
      <c r="E13" s="47"/>
      <c r="F13" s="48"/>
      <c r="G13" s="36">
        <f>IF(MAX(D13,E13,F13)&gt;0,MAX(D13,E13,F13),"")</f>
        <v>6.9</v>
      </c>
      <c r="H13" s="50">
        <v>11.5</v>
      </c>
      <c r="I13" s="47"/>
      <c r="J13" s="47"/>
      <c r="K13" s="37">
        <f>IF(MAX(H13,I13,J13)&gt;0,MAX(H13,I13,J13),"")</f>
        <v>11.5</v>
      </c>
      <c r="L13" s="52">
        <v>7.6</v>
      </c>
      <c r="M13" s="48"/>
      <c r="N13" s="37">
        <f>IF(MIN(L13,M13)&gt;0,MIN(L13,M13),"")</f>
        <v>7.6</v>
      </c>
      <c r="O13" s="29"/>
      <c r="P13" s="30"/>
    </row>
    <row r="14" spans="1:16" ht="16.5" customHeight="1">
      <c r="B14" s="31"/>
      <c r="C14" s="97" t="str">
        <f>IF('Pulje 4'!J15="","",'Pulje 4'!J15)</f>
        <v>Breimsbygda IL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100" t="str">
        <f>IF('Pulje 4'!F17="","",'Pulje 4'!F17)</f>
        <v>19-23</v>
      </c>
      <c r="C15" s="110" t="str">
        <f>IF('Pulje 4'!I17="","",'Pulje 4'!I17)</f>
        <v>Trine Endestad Hellevang</v>
      </c>
      <c r="D15" s="47">
        <v>6.75</v>
      </c>
      <c r="E15" s="47"/>
      <c r="F15" s="48"/>
      <c r="G15" s="36">
        <f>IF(MAX(D15,E15,F15)&gt;0,MAX(D15,E15,F15),"")</f>
        <v>6.75</v>
      </c>
      <c r="H15" s="50">
        <v>12.5</v>
      </c>
      <c r="I15" s="47"/>
      <c r="J15" s="47"/>
      <c r="K15" s="37">
        <f>IF(MAX(H15,I15,J15)&gt;0,MAX(H15,I15,J15),"")</f>
        <v>12.5</v>
      </c>
      <c r="L15" s="52">
        <v>7.8</v>
      </c>
      <c r="M15" s="48"/>
      <c r="N15" s="37">
        <f>IF(MIN(L15,M15)&gt;0,MIN(L15,M15),"")</f>
        <v>7.8</v>
      </c>
      <c r="O15" s="29"/>
      <c r="P15" s="30"/>
    </row>
    <row r="16" spans="1:16" ht="16.5" customHeight="1">
      <c r="B16" s="31"/>
      <c r="C16" s="97" t="str">
        <f>IF('Pulje 4'!J17="","",'Pulje 4'!J17)</f>
        <v>Tambarskjelvar IL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100" t="str">
        <f>IF('Pulje 4'!F19="","",'Pulje 4'!F19)</f>
        <v>19-23</v>
      </c>
      <c r="C17" s="110" t="str">
        <f>IF('Pulje 4'!I19="","",'Pulje 4'!I19)</f>
        <v>Mathilde Loy Enger</v>
      </c>
      <c r="D17" s="47">
        <v>6</v>
      </c>
      <c r="E17" s="47"/>
      <c r="F17" s="48"/>
      <c r="G17" s="36">
        <f>IF(MAX(D17,E17,F17)&gt;0,MAX(D17,E17,F17),"")</f>
        <v>6</v>
      </c>
      <c r="H17" s="50">
        <v>9</v>
      </c>
      <c r="I17" s="47"/>
      <c r="J17" s="47"/>
      <c r="K17" s="37">
        <f>IF(MAX(H17,I17,J17)&gt;0,MAX(H17,I17,J17),"")</f>
        <v>9</v>
      </c>
      <c r="L17" s="52">
        <v>7.8</v>
      </c>
      <c r="M17" s="48"/>
      <c r="N17" s="37">
        <f>IF(MIN(L17,M17)&gt;0,MIN(L17,M17),"")</f>
        <v>7.8</v>
      </c>
      <c r="O17" s="29"/>
      <c r="P17" s="30"/>
    </row>
    <row r="18" spans="2:16" ht="16.5" customHeight="1">
      <c r="B18" s="31"/>
      <c r="C18" s="97" t="str">
        <f>IF('Pulje 4'!J19="","",'Pulje 4'!J19)</f>
        <v>AK Bjørgvin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100" t="str">
        <f>IF('Pulje 4'!F21="","",'Pulje 4'!F21)</f>
        <v>19-23</v>
      </c>
      <c r="C19" s="110" t="str">
        <f>IF('Pulje 4'!I21="","",'Pulje 4'!I21)</f>
        <v>Tine Rognaldsen Pedersen</v>
      </c>
      <c r="D19" s="47"/>
      <c r="E19" s="47"/>
      <c r="F19" s="48"/>
      <c r="G19" s="36" t="str">
        <f>IF(MAX(D19,E19,F19)&gt;0,MAX(D19,E19,F19),"")</f>
        <v/>
      </c>
      <c r="H19" s="50"/>
      <c r="I19" s="47"/>
      <c r="J19" s="47"/>
      <c r="K19" s="37" t="str">
        <f>IF(MAX(H19,I19,J19)&gt;0,MAX(H19,I19,J19),"")</f>
        <v/>
      </c>
      <c r="L19" s="52"/>
      <c r="M19" s="48"/>
      <c r="N19" s="37" t="str">
        <f>IF(MIN(L19,M19)&gt;0,MIN(L19,M19),"")</f>
        <v/>
      </c>
      <c r="O19" s="29"/>
      <c r="P19" s="30"/>
    </row>
    <row r="20" spans="2:16" ht="16.5" customHeight="1">
      <c r="B20" s="31"/>
      <c r="C20" s="97" t="str">
        <f>IF('Pulje 4'!J21="","",'Pulje 4'!J21)</f>
        <v>Tambarskjelvar IL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100" t="str">
        <f>IF('Pulje 4'!F23="","",'Pulje 4'!F23)</f>
        <v/>
      </c>
      <c r="C21" s="110" t="str">
        <f>IF('Pulje 4'!I23="","",'Pulje 4'!I23)</f>
        <v/>
      </c>
      <c r="D21" s="47"/>
      <c r="E21" s="47"/>
      <c r="F21" s="48"/>
      <c r="G21" s="36" t="str">
        <f>IF(MAX(D21,E21,F21)&gt;0,MAX(D21,E21,F21),"")</f>
        <v/>
      </c>
      <c r="H21" s="50"/>
      <c r="I21" s="47"/>
      <c r="J21" s="47"/>
      <c r="K21" s="37" t="str">
        <f>IF(MAX(H21,I21,J21)&gt;0,MAX(H21,I21,J21),"")</f>
        <v/>
      </c>
      <c r="L21" s="52"/>
      <c r="M21" s="48"/>
      <c r="N21" s="37" t="str">
        <f>IF(MIN(L21,M21)&gt;0,MIN(L21,M21),"")</f>
        <v/>
      </c>
      <c r="O21" s="29"/>
      <c r="P21" s="30"/>
    </row>
    <row r="22" spans="2:16" ht="16.5" customHeight="1">
      <c r="B22" s="31"/>
      <c r="C22" s="97" t="str">
        <f>IF('Pulje 4'!J23="","",'Pulje 4'!J23)</f>
        <v/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100" t="str">
        <f>IF('Pulje 4'!F25="","",'Pulje 4'!F25)</f>
        <v>19-23</v>
      </c>
      <c r="C23" s="110" t="str">
        <f>IF('Pulje 4'!I25="","",'Pulje 4'!I25)</f>
        <v>Malin Amundsen</v>
      </c>
      <c r="D23" s="47">
        <v>5.9</v>
      </c>
      <c r="E23" s="47"/>
      <c r="F23" s="48"/>
      <c r="G23" s="36">
        <f>IF(MAX(D23,E23,F23)&gt;0,MAX(D23,E23,F23),"")</f>
        <v>5.9</v>
      </c>
      <c r="H23" s="50">
        <v>11.3</v>
      </c>
      <c r="I23" s="47"/>
      <c r="J23" s="47"/>
      <c r="K23" s="37">
        <f>IF(MAX(H23,I23,J23)&gt;0,MAX(H23,I23,J23),"")</f>
        <v>11.3</v>
      </c>
      <c r="L23" s="52">
        <v>8.1999999999999993</v>
      </c>
      <c r="M23" s="48"/>
      <c r="N23" s="37">
        <f>IF(MIN(L23,M23)&gt;0,MIN(L23,M23),"")</f>
        <v>8.1999999999999993</v>
      </c>
      <c r="O23" s="29"/>
      <c r="P23" s="30"/>
    </row>
    <row r="24" spans="2:16" ht="16.5" customHeight="1">
      <c r="B24" s="31"/>
      <c r="C24" s="97" t="str">
        <f>IF('Pulje 4'!J25="","",'Pulje 4'!J25)</f>
        <v>AK Bjørgvin</v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100" t="str">
        <f>IF('Pulje 4'!F27="","",'Pulje 4'!F27)</f>
        <v/>
      </c>
      <c r="C25" s="110" t="str">
        <f>IF('Pulje 4'!I27="","",'Pulje 4'!I27)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4'!J27="","",'Pulje 4'!J27)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100" t="str">
        <f>IF('Pulje 4'!F29="","",'Pulje 4'!F29)</f>
        <v/>
      </c>
      <c r="C27" s="110" t="str">
        <f>IF('Pulje 4'!I29="","",'Pulje 4'!I29)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4'!J29="","",'Pulje 4'!J29)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100" t="str">
        <f>IF('Pulje 4'!F31="","",'Pulje 4'!F31)</f>
        <v/>
      </c>
      <c r="C29" s="110" t="str">
        <f>IF('Pulje 4'!I31="","",'Pulje 4'!I31)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4'!J31="","",'Pulje 4'!J31)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P30"/>
  <sheetViews>
    <sheetView showGridLines="0" showRowColHeaders="0" showZeros="0" zoomScaleNormal="100" workbookViewId="0">
      <selection activeCell="AA22" sqref="AA22"/>
    </sheetView>
  </sheetViews>
  <sheetFormatPr baseColWidth="10" defaultColWidth="8.796875" defaultRowHeight="13"/>
  <cols>
    <col min="1" max="1" width="5.59765625" customWidth="1"/>
    <col min="2" max="2" width="7.59765625" customWidth="1"/>
    <col min="3" max="3" width="27.59765625" customWidth="1"/>
    <col min="4" max="14" width="7.3984375" customWidth="1"/>
    <col min="15" max="15" width="9.3984375" customWidth="1"/>
    <col min="16" max="16" width="4.59765625" style="7" customWidth="1"/>
  </cols>
  <sheetData>
    <row r="1" spans="1:16" ht="23">
      <c r="A1" s="327" t="s">
        <v>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2"/>
      <c r="P1" s="12"/>
    </row>
    <row r="2" spans="1:16" ht="15" customHeight="1">
      <c r="B2" s="13" t="s">
        <v>41</v>
      </c>
      <c r="C2" s="66" t="str">
        <f>IF('Pulje 1'!E5&gt;0,'Pulje 1'!E5,"")</f>
        <v/>
      </c>
      <c r="D2" s="66"/>
      <c r="E2" s="66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33" t="s">
        <v>0</v>
      </c>
      <c r="B3" s="333"/>
      <c r="C3" s="329" t="str">
        <f>IF('Pulje 1'!K5&gt;0,'Pulje 1'!K5,"")</f>
        <v>AK Bjørgvn</v>
      </c>
      <c r="D3" s="329"/>
      <c r="E3" s="14" t="s">
        <v>1</v>
      </c>
      <c r="F3" s="331" t="str">
        <f>IF('Pulje 1'!R5&gt;0,'Pulje 1'!R5,"")</f>
        <v/>
      </c>
      <c r="G3" s="331"/>
      <c r="H3" s="331"/>
      <c r="I3" s="331"/>
      <c r="J3" s="15" t="s">
        <v>2</v>
      </c>
      <c r="K3" s="332" t="str">
        <f>IF('Pulje 1'!X5&gt;0,'Pulje 1'!X5,"")</f>
        <v/>
      </c>
      <c r="L3" s="332"/>
      <c r="M3" s="15" t="s">
        <v>15</v>
      </c>
      <c r="N3" s="58">
        <v>5</v>
      </c>
      <c r="O3" s="57"/>
      <c r="P3" s="16"/>
    </row>
    <row r="4" spans="1:16" ht="15" thickBot="1">
      <c r="B4" s="323" t="s">
        <v>62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5"/>
      <c r="P4" s="16"/>
    </row>
    <row r="5" spans="1:16" s="17" customFormat="1" ht="14">
      <c r="B5" s="18" t="s">
        <v>18</v>
      </c>
      <c r="C5" s="19" t="s">
        <v>6</v>
      </c>
      <c r="D5" s="324" t="s">
        <v>21</v>
      </c>
      <c r="E5" s="324"/>
      <c r="F5" s="324"/>
      <c r="G5" s="324"/>
      <c r="H5" s="325" t="s">
        <v>22</v>
      </c>
      <c r="I5" s="325"/>
      <c r="J5" s="325"/>
      <c r="K5" s="325"/>
      <c r="L5" s="326" t="s">
        <v>42</v>
      </c>
      <c r="M5" s="326"/>
      <c r="N5" s="326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5'!F9="","",'Pulje 5'!F9)</f>
        <v>19-23</v>
      </c>
      <c r="C7" s="98" t="str">
        <f>IF('Pulje 5'!I9="","",'Pulje 5'!I9)</f>
        <v>Brede Tengsel Lesto</v>
      </c>
      <c r="D7" s="45">
        <v>8.76</v>
      </c>
      <c r="E7" s="45"/>
      <c r="F7" s="46"/>
      <c r="G7" s="28">
        <f>IF(MAX(D7,E7,F7)&gt;0,MAX(D7,E7,F7),"")</f>
        <v>8.76</v>
      </c>
      <c r="H7" s="49">
        <v>12.6</v>
      </c>
      <c r="I7" s="45"/>
      <c r="J7" s="45"/>
      <c r="K7" s="28">
        <f>IF(MAX(H7,I7,J7)&gt;0,MAX(H7,I7,J7),"")</f>
        <v>12.6</v>
      </c>
      <c r="L7" s="51">
        <v>6.8</v>
      </c>
      <c r="M7" s="46"/>
      <c r="N7" s="28">
        <f>IF(MIN(L7,M7)&gt;0,MIN(L7,M7),"")</f>
        <v>6.8</v>
      </c>
      <c r="O7" s="29"/>
      <c r="P7" s="30"/>
    </row>
    <row r="8" spans="1:16" ht="16.5" customHeight="1">
      <c r="B8" s="31"/>
      <c r="C8" s="97" t="str">
        <f>IF('Pulje 5'!J9="","",'Pulje 5'!J9)</f>
        <v>Tambarskjelvar IL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5'!F11="","",'Pulje 5'!F11)</f>
        <v>19-23</v>
      </c>
      <c r="C9" s="98" t="str">
        <f>IF('Pulje 5'!I11="","",'Pulje 5'!I11)</f>
        <v>Aksel Lykkebø Svorstøl</v>
      </c>
      <c r="D9" s="47">
        <v>7.75</v>
      </c>
      <c r="E9" s="47"/>
      <c r="F9" s="48"/>
      <c r="G9" s="36">
        <f>IF(MAX(D9,E9,F9)&gt;0,MAX(D9,E9,F9),"")</f>
        <v>7.75</v>
      </c>
      <c r="H9" s="50">
        <v>13</v>
      </c>
      <c r="I9" s="47"/>
      <c r="J9" s="47"/>
      <c r="K9" s="37">
        <f>IF(MAX(H9,I9,J9)&gt;0,MAX(H9,I9,J9),"")</f>
        <v>13</v>
      </c>
      <c r="L9" s="52">
        <v>6</v>
      </c>
      <c r="M9" s="48"/>
      <c r="N9" s="37">
        <f>IF(MIN(L9,M9)&gt;0,MIN(L9,M9),"")</f>
        <v>6</v>
      </c>
      <c r="O9" s="29"/>
      <c r="P9" s="30"/>
    </row>
    <row r="10" spans="1:16" ht="16.5" customHeight="1">
      <c r="B10" s="31"/>
      <c r="C10" s="97" t="str">
        <f>IF('Pulje 5'!J11="","",'Pulje 5'!J11)</f>
        <v>Tambarskjelvar IL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5'!F13="","",'Pulje 5'!F13)</f>
        <v>19-23</v>
      </c>
      <c r="C11" s="98" t="str">
        <f>IF('Pulje 5'!I13="","",'Pulje 5'!I13)</f>
        <v>Jakub Karol Kudyba</v>
      </c>
      <c r="D11" s="47">
        <v>8.23</v>
      </c>
      <c r="E11" s="47"/>
      <c r="F11" s="48"/>
      <c r="G11" s="36">
        <f>IF(MAX(D11,E11,F11)&gt;0,MAX(D11,E11,F11),"")</f>
        <v>8.23</v>
      </c>
      <c r="H11" s="50">
        <v>13.35</v>
      </c>
      <c r="I11" s="47"/>
      <c r="J11" s="47"/>
      <c r="K11" s="37">
        <f>IF(MAX(H11,I11,J11)&gt;0,MAX(H11,I11,J11),"")</f>
        <v>13.35</v>
      </c>
      <c r="L11" s="52">
        <v>6.7</v>
      </c>
      <c r="M11" s="48"/>
      <c r="N11" s="37">
        <f>IF(MIN(L11,M11)&gt;0,MIN(L11,M11),"")</f>
        <v>6.7</v>
      </c>
      <c r="O11" s="29"/>
      <c r="P11" s="30"/>
    </row>
    <row r="12" spans="1:16" ht="16.5" customHeight="1">
      <c r="B12" s="31"/>
      <c r="C12" s="97" t="str">
        <f>IF('Pulje 5'!J13="","",'Pulje 5'!J13)</f>
        <v>Tambarskjelvar IL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5'!F15="","",'Pulje 5'!F15)</f>
        <v>24-34</v>
      </c>
      <c r="C13" s="98" t="str">
        <f>IF('Pulje 5'!I15="","",'Pulje 5'!I15)</f>
        <v>Bent André Midtbø</v>
      </c>
      <c r="D13" s="47">
        <v>9.44</v>
      </c>
      <c r="E13" s="47"/>
      <c r="F13" s="48"/>
      <c r="G13" s="36">
        <f>IF(MAX(D13,E13,F13)&gt;0,MAX(D13,E13,F13),"")</f>
        <v>9.44</v>
      </c>
      <c r="H13" s="50">
        <v>15.7</v>
      </c>
      <c r="I13" s="47"/>
      <c r="J13" s="47"/>
      <c r="K13" s="37">
        <f>IF(MAX(H13,I13,J13)&gt;0,MAX(H13,I13,J13),"")</f>
        <v>15.7</v>
      </c>
      <c r="L13" s="52">
        <v>6</v>
      </c>
      <c r="M13" s="48"/>
      <c r="N13" s="37">
        <f>IF(MIN(L13,M13)&gt;0,MIN(L13,M13),"")</f>
        <v>6</v>
      </c>
      <c r="O13" s="29"/>
      <c r="P13" s="30"/>
    </row>
    <row r="14" spans="1:16" ht="16.5" customHeight="1">
      <c r="B14" s="31"/>
      <c r="C14" s="97" t="str">
        <f>IF('Pulje 5'!J15="","",'Pulje 5'!J15)</f>
        <v>AK Bjørgvin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5'!F17="","",'Pulje 5'!F17)</f>
        <v>24-34</v>
      </c>
      <c r="C15" s="98" t="str">
        <f>IF('Pulje 5'!I17="","",'Pulje 5'!I17)</f>
        <v>Adrian Henneli</v>
      </c>
      <c r="D15" s="47">
        <v>9.2899999999999991</v>
      </c>
      <c r="E15" s="47"/>
      <c r="F15" s="48"/>
      <c r="G15" s="36">
        <f>IF(MAX(D15,E15,F15)&gt;0,MAX(D15,E15,F15),"")</f>
        <v>9.2899999999999991</v>
      </c>
      <c r="H15" s="50">
        <v>15.6</v>
      </c>
      <c r="I15" s="47"/>
      <c r="J15" s="47"/>
      <c r="K15" s="37">
        <f>IF(MAX(H15,I15,J15)&gt;0,MAX(H15,I15,J15),"")</f>
        <v>15.6</v>
      </c>
      <c r="L15" s="52">
        <v>6.5</v>
      </c>
      <c r="M15" s="48"/>
      <c r="N15" s="37">
        <f>IF(MIN(L15,M15)&gt;0,MIN(L15,M15),"")</f>
        <v>6.5</v>
      </c>
      <c r="O15" s="29"/>
      <c r="P15" s="30"/>
    </row>
    <row r="16" spans="1:16" ht="16.5" customHeight="1">
      <c r="B16" s="31"/>
      <c r="C16" s="97" t="str">
        <f>IF('Pulje 5'!J17="","",'Pulje 5'!J17)</f>
        <v>AK Bjørgvin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5'!F19="","",'Pulje 5'!F19)</f>
        <v>24-34</v>
      </c>
      <c r="C17" s="98" t="str">
        <f>IF('Pulje 5'!I19="","",'Pulje 5'!I19)</f>
        <v>Lars Espedal</v>
      </c>
      <c r="D17" s="47"/>
      <c r="E17" s="47"/>
      <c r="F17" s="48"/>
      <c r="G17" s="36" t="str">
        <f>IF(MAX(D17,E17,F17)&gt;0,MAX(D17,E17,F17),"")</f>
        <v/>
      </c>
      <c r="H17" s="50"/>
      <c r="I17" s="47"/>
      <c r="J17" s="47"/>
      <c r="K17" s="37" t="str">
        <f>IF(MAX(H17,I17,J17)&gt;0,MAX(H17,I17,J17),"")</f>
        <v/>
      </c>
      <c r="L17" s="52"/>
      <c r="M17" s="48"/>
      <c r="N17" s="37" t="str">
        <f>IF(MIN(L17,M17)&gt;0,MIN(L17,M17),"")</f>
        <v/>
      </c>
      <c r="O17" s="29"/>
      <c r="P17" s="30"/>
    </row>
    <row r="18" spans="2:16" ht="16.5" customHeight="1">
      <c r="B18" s="31"/>
      <c r="C18" s="97" t="str">
        <f>IF('Pulje 5'!J19="","",'Pulje 5'!J19)</f>
        <v>AK Bjørgvin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5'!F21="","",'Pulje 5'!F21)</f>
        <v>24-34</v>
      </c>
      <c r="C19" s="98" t="str">
        <f>IF('Pulje 5'!I21="","",'Pulje 5'!I21)</f>
        <v>Laurits Hamre</v>
      </c>
      <c r="D19" s="47">
        <v>8.7100000000000009</v>
      </c>
      <c r="E19" s="47"/>
      <c r="F19" s="48"/>
      <c r="G19" s="36">
        <f>IF(MAX(D19,E19,F19)&gt;0,MAX(D19,E19,F19),"")</f>
        <v>8.7100000000000009</v>
      </c>
      <c r="H19" s="50">
        <v>12.6</v>
      </c>
      <c r="I19" s="47"/>
      <c r="J19" s="47"/>
      <c r="K19" s="37">
        <f>IF(MAX(H19,I19,J19)&gt;0,MAX(H19,I19,J19),"")</f>
        <v>12.6</v>
      </c>
      <c r="L19" s="52">
        <v>6.3</v>
      </c>
      <c r="M19" s="48"/>
      <c r="N19" s="37">
        <f>IF(MIN(L19,M19)&gt;0,MIN(L19,M19),"")</f>
        <v>6.3</v>
      </c>
      <c r="O19" s="29"/>
      <c r="P19" s="30"/>
    </row>
    <row r="20" spans="2:16" ht="16.5" customHeight="1">
      <c r="B20" s="31"/>
      <c r="C20" s="97" t="str">
        <f>IF('Pulje 5'!J21="","",'Pulje 5'!J21)</f>
        <v>AK Bjørgvin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5'!F23="","",'Pulje 5'!F23)</f>
        <v/>
      </c>
      <c r="C21" s="98" t="str">
        <f>IF('Pulje 5'!I23="","",'Pulje 5'!I23)</f>
        <v/>
      </c>
      <c r="D21" s="47"/>
      <c r="E21" s="47"/>
      <c r="F21" s="48"/>
      <c r="G21" s="36" t="str">
        <f>IF(MAX(D21,E21,F21)&gt;0,MAX(D21,E21,F21),"")</f>
        <v/>
      </c>
      <c r="H21" s="50"/>
      <c r="I21" s="47"/>
      <c r="J21" s="47"/>
      <c r="K21" s="37" t="str">
        <f>IF(MAX(H21,I21,J21)&gt;0,MAX(H21,I21,J21),"")</f>
        <v/>
      </c>
      <c r="L21" s="52"/>
      <c r="M21" s="48"/>
      <c r="N21" s="37" t="str">
        <f>IF(MIN(L21,M21)&gt;0,MIN(L21,M21),"")</f>
        <v/>
      </c>
      <c r="O21" s="29"/>
      <c r="P21" s="30"/>
    </row>
    <row r="22" spans="2:16" ht="16.5" customHeight="1">
      <c r="B22" s="31"/>
      <c r="C22" s="97" t="str">
        <f>IF('Pulje 5'!J23="","",'Pulje 5'!J23)</f>
        <v/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5'!F25="","",'Pulje 5'!F25)</f>
        <v/>
      </c>
      <c r="C23" s="98" t="str">
        <f>IF('Pulje 5'!I25="","",'Pulje 5'!I25)</f>
        <v/>
      </c>
      <c r="D23" s="47"/>
      <c r="E23" s="47"/>
      <c r="F23" s="48"/>
      <c r="G23" s="36" t="str">
        <f>IF(MAX(D23,E23,F23)&gt;0,MAX(D23,E23,F23),"")</f>
        <v/>
      </c>
      <c r="H23" s="50"/>
      <c r="I23" s="47"/>
      <c r="J23" s="47"/>
      <c r="K23" s="37" t="str">
        <f>IF(MAX(H23,I23,J23)&gt;0,MAX(H23,I23,J23),"")</f>
        <v/>
      </c>
      <c r="L23" s="52"/>
      <c r="M23" s="48"/>
      <c r="N23" s="37" t="str">
        <f>IF(MIN(L23,M23)&gt;0,MIN(L23,M23),"")</f>
        <v/>
      </c>
      <c r="O23" s="29"/>
      <c r="P23" s="30"/>
    </row>
    <row r="24" spans="2:16" ht="16.5" customHeight="1">
      <c r="B24" s="31"/>
      <c r="C24" s="97" t="str">
        <f>IF('Pulje 5'!J25="","",'Pulje 5'!J25)</f>
        <v/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5'!F27="","",'Pulje 5'!F27)</f>
        <v/>
      </c>
      <c r="C25" s="98" t="str">
        <f>IF('Pulje 5'!I27="","",'Pulje 5'!I27)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5'!J27="","",'Pulje 5'!J27)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5'!F29="","",'Pulje 5'!F29)</f>
        <v/>
      </c>
      <c r="C27" s="98" t="str">
        <f>IF('Pulje 5'!I29="","",'Pulje 5'!I29)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5'!J29="","",'Pulje 5'!J29)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5'!F31="","",'Pulje 5'!F31)</f>
        <v/>
      </c>
      <c r="C29" s="98" t="str">
        <f>IF('Pulje 5'!I31="","",'Pulje 5'!I31)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5'!J31="","",'Pulje 5'!J31)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</sheetData>
  <mergeCells count="9">
    <mergeCell ref="B4:N4"/>
    <mergeCell ref="D5:G5"/>
    <mergeCell ref="H5:K5"/>
    <mergeCell ref="L5:N5"/>
    <mergeCell ref="A1:N1"/>
    <mergeCell ref="A3:B3"/>
    <mergeCell ref="C3:D3"/>
    <mergeCell ref="F3:I3"/>
    <mergeCell ref="K3:L3"/>
  </mergeCells>
  <phoneticPr fontId="0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9"/>
  <dimension ref="A1:C63"/>
  <sheetViews>
    <sheetView workbookViewId="0">
      <selection activeCell="E5" sqref="E5"/>
    </sheetView>
  </sheetViews>
  <sheetFormatPr baseColWidth="10" defaultColWidth="9.19921875" defaultRowHeight="13"/>
  <cols>
    <col min="1" max="1" width="11.3984375" customWidth="1"/>
    <col min="2" max="2" width="11.59765625" style="65" customWidth="1"/>
    <col min="3" max="3" width="12.3984375" bestFit="1" customWidth="1"/>
  </cols>
  <sheetData>
    <row r="1" spans="1:3">
      <c r="A1" s="335" t="s">
        <v>53</v>
      </c>
      <c r="B1" s="335"/>
      <c r="C1" s="335"/>
    </row>
    <row r="2" spans="1:3">
      <c r="A2" s="17" t="s">
        <v>48</v>
      </c>
      <c r="B2" s="88" t="s">
        <v>54</v>
      </c>
      <c r="C2" t="s">
        <v>55</v>
      </c>
    </row>
    <row r="3" spans="1:3">
      <c r="A3" s="89">
        <v>30</v>
      </c>
      <c r="B3" s="88">
        <v>1</v>
      </c>
      <c r="C3" s="88">
        <v>1</v>
      </c>
    </row>
    <row r="4" spans="1:3">
      <c r="A4" s="89">
        <v>31</v>
      </c>
      <c r="B4" s="88">
        <v>1.016</v>
      </c>
      <c r="C4" s="88">
        <v>1.016</v>
      </c>
    </row>
    <row r="5" spans="1:3">
      <c r="A5" s="89">
        <v>32</v>
      </c>
      <c r="B5" s="88">
        <v>1.0309999999999999</v>
      </c>
      <c r="C5" s="88">
        <v>1.0169999999999999</v>
      </c>
    </row>
    <row r="6" spans="1:3">
      <c r="A6" s="89">
        <v>33</v>
      </c>
      <c r="B6" s="88">
        <v>1.046</v>
      </c>
      <c r="C6" s="88">
        <v>1.046</v>
      </c>
    </row>
    <row r="7" spans="1:3">
      <c r="A7" s="89">
        <v>34</v>
      </c>
      <c r="B7" s="88">
        <v>1.0589999999999999</v>
      </c>
      <c r="C7" s="88">
        <v>1.0589999999999999</v>
      </c>
    </row>
    <row r="8" spans="1:3">
      <c r="A8" s="89">
        <v>35</v>
      </c>
      <c r="B8" s="88">
        <v>1.0720000000000001</v>
      </c>
      <c r="C8" s="88">
        <v>1.0720000000000001</v>
      </c>
    </row>
    <row r="9" spans="1:3">
      <c r="A9" s="89">
        <v>36</v>
      </c>
      <c r="B9" s="88">
        <v>1.083</v>
      </c>
      <c r="C9" s="88">
        <v>1.0840000000000001</v>
      </c>
    </row>
    <row r="10" spans="1:3">
      <c r="A10" s="89">
        <v>37</v>
      </c>
      <c r="B10" s="88">
        <v>1.0960000000000001</v>
      </c>
      <c r="C10" s="88">
        <v>1.097</v>
      </c>
    </row>
    <row r="11" spans="1:3">
      <c r="A11" s="89">
        <v>38</v>
      </c>
      <c r="B11" s="88">
        <v>1.109</v>
      </c>
      <c r="C11" s="88">
        <v>1.1100000000000001</v>
      </c>
    </row>
    <row r="12" spans="1:3">
      <c r="A12" s="89">
        <v>39</v>
      </c>
      <c r="B12" s="88">
        <v>1.1220000000000001</v>
      </c>
      <c r="C12" s="88">
        <v>1.1240000000000001</v>
      </c>
    </row>
    <row r="13" spans="1:3">
      <c r="A13" s="89">
        <v>40</v>
      </c>
      <c r="B13" s="88">
        <v>1.135</v>
      </c>
      <c r="C13" s="88">
        <v>1.1379999999999999</v>
      </c>
    </row>
    <row r="14" spans="1:3">
      <c r="A14" s="89">
        <v>41</v>
      </c>
      <c r="B14" s="88">
        <v>1.149</v>
      </c>
      <c r="C14" s="88">
        <v>1.153</v>
      </c>
    </row>
    <row r="15" spans="1:3">
      <c r="A15" s="89">
        <v>42</v>
      </c>
      <c r="B15" s="88">
        <v>1.1619999999999999</v>
      </c>
      <c r="C15" s="88">
        <v>1.17</v>
      </c>
    </row>
    <row r="16" spans="1:3">
      <c r="A16" s="89">
        <v>43</v>
      </c>
      <c r="B16" s="88">
        <v>1.1759999999999999</v>
      </c>
      <c r="C16" s="88">
        <v>1.1870000000000001</v>
      </c>
    </row>
    <row r="17" spans="1:3">
      <c r="A17" s="89">
        <v>44</v>
      </c>
      <c r="B17" s="88">
        <v>1.1890000000000001</v>
      </c>
      <c r="C17" s="88">
        <v>1.2050000000000001</v>
      </c>
    </row>
    <row r="18" spans="1:3">
      <c r="A18" s="89">
        <v>45</v>
      </c>
      <c r="B18" s="88">
        <v>1.2030000000000001</v>
      </c>
      <c r="C18" s="88">
        <v>1.2230000000000001</v>
      </c>
    </row>
    <row r="19" spans="1:3">
      <c r="A19" s="89">
        <v>46</v>
      </c>
      <c r="B19" s="88">
        <v>1.218</v>
      </c>
      <c r="C19" s="88">
        <v>1.244</v>
      </c>
    </row>
    <row r="20" spans="1:3">
      <c r="A20" s="89">
        <v>47</v>
      </c>
      <c r="B20" s="88">
        <v>1.2330000000000001</v>
      </c>
      <c r="C20" s="88">
        <v>1.2649999999999999</v>
      </c>
    </row>
    <row r="21" spans="1:3">
      <c r="A21" s="89">
        <v>48</v>
      </c>
      <c r="B21" s="88">
        <v>1.248</v>
      </c>
      <c r="C21" s="88">
        <v>1.288</v>
      </c>
    </row>
    <row r="22" spans="1:3">
      <c r="A22" s="89">
        <v>49</v>
      </c>
      <c r="B22" s="88">
        <v>1.2629999999999999</v>
      </c>
      <c r="C22" s="88">
        <v>1.3129999999999999</v>
      </c>
    </row>
    <row r="23" spans="1:3">
      <c r="A23" s="89">
        <v>50</v>
      </c>
      <c r="B23" s="88">
        <v>1.2789999999999999</v>
      </c>
      <c r="C23" s="88">
        <v>1.34</v>
      </c>
    </row>
    <row r="24" spans="1:3">
      <c r="A24" s="89">
        <v>51</v>
      </c>
      <c r="B24" s="88">
        <v>1.2969999999999999</v>
      </c>
      <c r="C24" s="88">
        <v>1.369</v>
      </c>
    </row>
    <row r="25" spans="1:3">
      <c r="A25" s="89">
        <v>52</v>
      </c>
      <c r="B25" s="88">
        <v>1.3160000000000001</v>
      </c>
      <c r="C25" s="88">
        <v>1.401</v>
      </c>
    </row>
    <row r="26" spans="1:3">
      <c r="A26" s="89">
        <v>53</v>
      </c>
      <c r="B26" s="88">
        <v>1.3380000000000001</v>
      </c>
      <c r="C26" s="88">
        <v>1.4350000000000001</v>
      </c>
    </row>
    <row r="27" spans="1:3">
      <c r="A27" s="89">
        <v>54</v>
      </c>
      <c r="B27" s="88">
        <v>1.361</v>
      </c>
      <c r="C27" s="88">
        <v>1.47</v>
      </c>
    </row>
    <row r="28" spans="1:3">
      <c r="A28" s="89">
        <v>55</v>
      </c>
      <c r="B28" s="88">
        <v>1.385</v>
      </c>
      <c r="C28" s="88">
        <v>1.5069999999999999</v>
      </c>
    </row>
    <row r="29" spans="1:3" ht="14">
      <c r="A29" s="89">
        <v>56</v>
      </c>
      <c r="B29" s="88">
        <v>1.411</v>
      </c>
      <c r="C29" s="90">
        <v>1.5449999999999999</v>
      </c>
    </row>
    <row r="30" spans="1:3" ht="14">
      <c r="A30" s="89">
        <v>57</v>
      </c>
      <c r="B30" s="88">
        <v>1.4370000000000001</v>
      </c>
      <c r="C30" s="91">
        <v>1.585</v>
      </c>
    </row>
    <row r="31" spans="1:3" ht="14">
      <c r="A31" s="89">
        <v>58</v>
      </c>
      <c r="B31" s="88">
        <v>1.462</v>
      </c>
      <c r="C31" s="90">
        <v>1.625</v>
      </c>
    </row>
    <row r="32" spans="1:3" ht="14">
      <c r="A32" s="89">
        <v>59</v>
      </c>
      <c r="B32" s="88">
        <v>1.488</v>
      </c>
      <c r="C32" s="91">
        <v>1.665</v>
      </c>
    </row>
    <row r="33" spans="1:3" ht="14">
      <c r="A33" s="89">
        <v>60</v>
      </c>
      <c r="B33" s="88">
        <v>1.514</v>
      </c>
      <c r="C33" s="90">
        <v>1.7050000000000001</v>
      </c>
    </row>
    <row r="34" spans="1:3" ht="14">
      <c r="A34" s="89">
        <v>61</v>
      </c>
      <c r="B34" s="88">
        <v>1.5409999999999999</v>
      </c>
      <c r="C34" s="91">
        <v>1.744</v>
      </c>
    </row>
    <row r="35" spans="1:3" ht="14">
      <c r="A35" s="89">
        <v>62</v>
      </c>
      <c r="B35" s="88">
        <v>1.5680000000000001</v>
      </c>
      <c r="C35" s="90">
        <v>1.778</v>
      </c>
    </row>
    <row r="36" spans="1:3" ht="14">
      <c r="A36" s="89">
        <v>63</v>
      </c>
      <c r="B36" s="88">
        <v>1.5980000000000001</v>
      </c>
      <c r="C36" s="91">
        <v>1.8080000000000001</v>
      </c>
    </row>
    <row r="37" spans="1:3" ht="14">
      <c r="A37" s="89">
        <v>64</v>
      </c>
      <c r="B37" s="88">
        <v>1.629</v>
      </c>
      <c r="C37" s="90">
        <v>1.839</v>
      </c>
    </row>
    <row r="38" spans="1:3" ht="14">
      <c r="A38" s="89">
        <v>65</v>
      </c>
      <c r="B38" s="88">
        <v>1.663</v>
      </c>
      <c r="C38" s="91">
        <v>1.873</v>
      </c>
    </row>
    <row r="39" spans="1:3" ht="14">
      <c r="A39" s="89">
        <v>66</v>
      </c>
      <c r="B39" s="88">
        <v>1.6990000000000001</v>
      </c>
      <c r="C39" s="90">
        <v>1.909</v>
      </c>
    </row>
    <row r="40" spans="1:3" ht="14">
      <c r="A40" s="89">
        <v>67</v>
      </c>
      <c r="B40" s="88">
        <v>1.738</v>
      </c>
      <c r="C40" s="91">
        <v>1.948</v>
      </c>
    </row>
    <row r="41" spans="1:3" ht="14">
      <c r="A41" s="89">
        <v>68</v>
      </c>
      <c r="B41" s="88">
        <v>1.7789999999999999</v>
      </c>
      <c r="C41" s="90">
        <v>1.9890000000000001</v>
      </c>
    </row>
    <row r="42" spans="1:3" ht="14">
      <c r="A42" s="89">
        <v>69</v>
      </c>
      <c r="B42" s="88">
        <v>1.823</v>
      </c>
      <c r="C42" s="91">
        <v>2.0329999999999999</v>
      </c>
    </row>
    <row r="43" spans="1:3" ht="14">
      <c r="A43" s="89">
        <v>70</v>
      </c>
      <c r="B43" s="88">
        <v>1.867</v>
      </c>
      <c r="C43" s="90">
        <v>2.077</v>
      </c>
    </row>
    <row r="44" spans="1:3" ht="14">
      <c r="A44" s="89">
        <v>71</v>
      </c>
      <c r="B44" s="88">
        <v>1.91</v>
      </c>
      <c r="C44" s="91">
        <v>2.12</v>
      </c>
    </row>
    <row r="45" spans="1:3" ht="14">
      <c r="A45" s="89">
        <v>72</v>
      </c>
      <c r="B45" s="88">
        <v>1.9530000000000001</v>
      </c>
      <c r="C45" s="90">
        <v>2.1629999999999998</v>
      </c>
    </row>
    <row r="46" spans="1:3" ht="14">
      <c r="A46" s="89">
        <v>73</v>
      </c>
      <c r="B46" s="88">
        <v>2.004</v>
      </c>
      <c r="C46" s="91">
        <v>2.214</v>
      </c>
    </row>
    <row r="47" spans="1:3" ht="14">
      <c r="A47" s="89">
        <v>74</v>
      </c>
      <c r="B47" s="88">
        <v>2.06</v>
      </c>
      <c r="C47" s="90">
        <v>2.27</v>
      </c>
    </row>
    <row r="48" spans="1:3" ht="14">
      <c r="A48" s="89">
        <v>75</v>
      </c>
      <c r="B48" s="88">
        <v>2.117</v>
      </c>
      <c r="C48" s="91">
        <v>2.327</v>
      </c>
    </row>
    <row r="49" spans="1:3" ht="14">
      <c r="A49" s="89">
        <v>76</v>
      </c>
      <c r="B49" s="88">
        <v>2.181</v>
      </c>
      <c r="C49" s="90">
        <v>2.391</v>
      </c>
    </row>
    <row r="50" spans="1:3" ht="14">
      <c r="A50" s="89">
        <v>77</v>
      </c>
      <c r="B50" s="88">
        <v>2.2549999999999999</v>
      </c>
      <c r="C50" s="91">
        <v>2.4649999999999999</v>
      </c>
    </row>
    <row r="51" spans="1:3" ht="14">
      <c r="A51" s="89">
        <v>78</v>
      </c>
      <c r="B51" s="88">
        <v>2.3359999999999999</v>
      </c>
      <c r="C51" s="90">
        <v>2.5459999999999998</v>
      </c>
    </row>
    <row r="52" spans="1:3" ht="14">
      <c r="A52" s="89">
        <v>79</v>
      </c>
      <c r="B52" s="88">
        <v>2.419</v>
      </c>
      <c r="C52" s="91">
        <v>2.629</v>
      </c>
    </row>
    <row r="53" spans="1:3" ht="14">
      <c r="A53" s="89">
        <v>80</v>
      </c>
      <c r="B53" s="88">
        <v>2.504</v>
      </c>
      <c r="C53" s="90">
        <v>2.714</v>
      </c>
    </row>
    <row r="54" spans="1:3" ht="14">
      <c r="A54" s="89">
        <v>81</v>
      </c>
      <c r="B54" s="88">
        <v>2.597</v>
      </c>
      <c r="C54" s="92"/>
    </row>
    <row r="55" spans="1:3" ht="14">
      <c r="A55" s="89">
        <v>82</v>
      </c>
      <c r="B55" s="88">
        <v>2.702</v>
      </c>
      <c r="C55" s="92"/>
    </row>
    <row r="56" spans="1:3" ht="14">
      <c r="A56" s="89">
        <v>83</v>
      </c>
      <c r="B56" s="88">
        <v>2.831</v>
      </c>
      <c r="C56" s="92"/>
    </row>
    <row r="57" spans="1:3" ht="14">
      <c r="A57" s="89">
        <v>84</v>
      </c>
      <c r="B57" s="88">
        <v>2.9809999999999999</v>
      </c>
      <c r="C57" s="92"/>
    </row>
    <row r="58" spans="1:3" ht="14">
      <c r="A58" s="89">
        <v>85</v>
      </c>
      <c r="B58" s="88">
        <v>3.153</v>
      </c>
      <c r="C58" s="92"/>
    </row>
    <row r="59" spans="1:3" ht="14">
      <c r="A59" s="89">
        <v>86</v>
      </c>
      <c r="B59" s="88">
        <v>3.3519999999999999</v>
      </c>
      <c r="C59" s="92"/>
    </row>
    <row r="60" spans="1:3" ht="14">
      <c r="A60" s="89">
        <v>87</v>
      </c>
      <c r="B60" s="88">
        <v>3.58</v>
      </c>
      <c r="C60" s="92"/>
    </row>
    <row r="61" spans="1:3" ht="14">
      <c r="A61" s="89">
        <v>88</v>
      </c>
      <c r="B61" s="88">
        <v>3.8420000000000001</v>
      </c>
      <c r="C61" s="92"/>
    </row>
    <row r="62" spans="1:3" ht="14">
      <c r="A62" s="89">
        <v>89</v>
      </c>
      <c r="B62" s="88">
        <v>4.1449999999999996</v>
      </c>
      <c r="C62" s="92"/>
    </row>
    <row r="63" spans="1:3" ht="14">
      <c r="A63" s="89">
        <v>90</v>
      </c>
      <c r="B63" s="88">
        <v>4.4930000000000003</v>
      </c>
      <c r="C63" s="92"/>
    </row>
  </sheetData>
  <mergeCells count="1">
    <mergeCell ref="A1:C1"/>
  </mergeCells>
  <phoneticPr fontId="17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E14F-0C0C-844F-AB06-38541D79AB5F}">
  <sheetPr>
    <pageSetUpPr fitToPage="1"/>
  </sheetPr>
  <dimension ref="A1:AO53"/>
  <sheetViews>
    <sheetView showGridLines="0" showRowColHeaders="0" showZeros="0" topLeftCell="A3" zoomScale="99" zoomScaleNormal="99" workbookViewId="0">
      <selection activeCell="B9" sqref="B9"/>
    </sheetView>
  </sheetViews>
  <sheetFormatPr baseColWidth="10" defaultColWidth="9.19921875" defaultRowHeight="13"/>
  <cols>
    <col min="1" max="1" width="4.3984375" customWidth="1"/>
    <col min="2" max="2" width="10.19921875" customWidth="1"/>
    <col min="3" max="3" width="7" style="7" customWidth="1"/>
    <col min="4" max="4" width="8" style="7" customWidth="1"/>
    <col min="5" max="5" width="5.796875" style="7" customWidth="1"/>
    <col min="6" max="6" width="7.59765625" style="7" customWidth="1"/>
    <col min="7" max="7" width="10.59765625" style="7" customWidth="1"/>
    <col min="8" max="8" width="4.3984375" style="7" customWidth="1"/>
    <col min="9" max="9" width="27.796875" customWidth="1"/>
    <col min="10" max="10" width="20.59765625" customWidth="1"/>
    <col min="11" max="19" width="6.796875" style="7" customWidth="1"/>
    <col min="20" max="23" width="8" style="7" customWidth="1"/>
    <col min="24" max="24" width="9" style="7" customWidth="1"/>
    <col min="25" max="26" width="8" style="7" customWidth="1"/>
    <col min="27" max="27" width="4.59765625" style="7" customWidth="1"/>
    <col min="28" max="28" width="5" style="7" customWidth="1"/>
    <col min="29" max="29" width="9.3984375" hidden="1" customWidth="1"/>
    <col min="30" max="35" width="9.19921875" hidden="1" customWidth="1"/>
    <col min="36" max="36" width="12.79687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251" t="s">
        <v>44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U2" s="67" t="s">
        <v>49</v>
      </c>
      <c r="Z2"/>
      <c r="AA2"/>
      <c r="AB2"/>
    </row>
    <row r="3" spans="1:36" ht="29">
      <c r="A3" s="7"/>
      <c r="B3" s="7"/>
      <c r="E3" s="68"/>
      <c r="G3" s="252" t="s">
        <v>17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154" t="s">
        <v>50</v>
      </c>
      <c r="T3" s="154"/>
      <c r="U3" s="154"/>
      <c r="V3" s="154"/>
      <c r="W3" s="154"/>
      <c r="X3" s="154"/>
      <c r="Y3" s="154"/>
      <c r="Z3" s="154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55" t="s">
        <v>16</v>
      </c>
      <c r="D5" s="253" t="s">
        <v>85</v>
      </c>
      <c r="E5" s="253"/>
      <c r="F5" s="253"/>
      <c r="G5" s="253"/>
      <c r="H5" s="253"/>
      <c r="I5" s="253"/>
      <c r="J5" s="155" t="s">
        <v>0</v>
      </c>
      <c r="K5" s="253"/>
      <c r="L5" s="253"/>
      <c r="M5" s="253"/>
      <c r="N5" s="253"/>
      <c r="O5" s="155" t="s">
        <v>1</v>
      </c>
      <c r="P5" s="254"/>
      <c r="Q5" s="254"/>
      <c r="R5" s="254"/>
      <c r="S5" s="254"/>
      <c r="T5" s="155" t="s">
        <v>2</v>
      </c>
      <c r="U5" s="243">
        <v>45829</v>
      </c>
      <c r="V5" s="243"/>
      <c r="W5" s="156"/>
      <c r="X5" s="156"/>
      <c r="Y5" s="156"/>
      <c r="Z5" s="157" t="s">
        <v>15</v>
      </c>
      <c r="AA5" s="157"/>
      <c r="AB5" s="158">
        <v>2</v>
      </c>
      <c r="AH5" s="146"/>
      <c r="AI5" s="146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280" t="s">
        <v>69</v>
      </c>
      <c r="C7" s="132" t="s">
        <v>3</v>
      </c>
      <c r="D7" s="133" t="s">
        <v>4</v>
      </c>
      <c r="E7" s="134" t="s">
        <v>18</v>
      </c>
      <c r="F7" s="135" t="s">
        <v>18</v>
      </c>
      <c r="G7" s="136" t="s">
        <v>5</v>
      </c>
      <c r="H7" s="136" t="s">
        <v>19</v>
      </c>
      <c r="I7" s="136" t="s">
        <v>6</v>
      </c>
      <c r="J7" s="136" t="s">
        <v>7</v>
      </c>
      <c r="K7" s="291" t="s">
        <v>8</v>
      </c>
      <c r="L7" s="292"/>
      <c r="M7" s="293"/>
      <c r="N7" s="291" t="s">
        <v>9</v>
      </c>
      <c r="O7" s="292"/>
      <c r="P7" s="293"/>
      <c r="Q7" s="294" t="s">
        <v>20</v>
      </c>
      <c r="R7" s="295"/>
      <c r="S7" s="295"/>
      <c r="T7" s="295"/>
      <c r="U7" s="137" t="s">
        <v>10</v>
      </c>
      <c r="V7" s="132" t="s">
        <v>51</v>
      </c>
      <c r="W7" s="132" t="s">
        <v>22</v>
      </c>
      <c r="X7" s="132" t="s">
        <v>23</v>
      </c>
      <c r="Y7" s="136" t="s">
        <v>46</v>
      </c>
      <c r="Z7" s="138" t="s">
        <v>24</v>
      </c>
      <c r="AA7" s="138" t="s">
        <v>25</v>
      </c>
      <c r="AB7" s="139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68</v>
      </c>
    </row>
    <row r="8" spans="1:36" s="17" customFormat="1" ht="15" customHeight="1">
      <c r="B8" s="281"/>
      <c r="C8" s="127" t="s">
        <v>11</v>
      </c>
      <c r="D8" s="126" t="s">
        <v>12</v>
      </c>
      <c r="E8" s="128" t="s">
        <v>27</v>
      </c>
      <c r="F8" s="122" t="s">
        <v>24</v>
      </c>
      <c r="G8" s="123" t="s">
        <v>14</v>
      </c>
      <c r="H8" s="123" t="s">
        <v>52</v>
      </c>
      <c r="I8" s="124"/>
      <c r="J8" s="124"/>
      <c r="K8" s="296" t="s">
        <v>29</v>
      </c>
      <c r="L8" s="297"/>
      <c r="M8" s="298"/>
      <c r="N8" s="296" t="s">
        <v>29</v>
      </c>
      <c r="O8" s="297"/>
      <c r="P8" s="298"/>
      <c r="Q8" s="125" t="s">
        <v>8</v>
      </c>
      <c r="R8" s="126" t="s">
        <v>9</v>
      </c>
      <c r="S8" s="127" t="s">
        <v>30</v>
      </c>
      <c r="T8" s="128" t="s">
        <v>10</v>
      </c>
      <c r="U8" s="125" t="s">
        <v>45</v>
      </c>
      <c r="V8" s="129" t="s">
        <v>10</v>
      </c>
      <c r="W8" s="129" t="s">
        <v>10</v>
      </c>
      <c r="X8" s="129" t="s">
        <v>10</v>
      </c>
      <c r="Y8" s="123" t="s">
        <v>47</v>
      </c>
      <c r="Z8" s="130" t="s">
        <v>31</v>
      </c>
      <c r="AA8" s="130"/>
      <c r="AB8" s="131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67</v>
      </c>
    </row>
    <row r="9" spans="1:36" s="17" customFormat="1" ht="18" customHeight="1">
      <c r="B9" s="203">
        <v>2013021</v>
      </c>
      <c r="C9" s="204" t="s">
        <v>113</v>
      </c>
      <c r="D9" s="205">
        <v>44.23</v>
      </c>
      <c r="E9" s="206" t="s">
        <v>114</v>
      </c>
      <c r="F9" s="206" t="s">
        <v>115</v>
      </c>
      <c r="G9" s="208">
        <v>41367</v>
      </c>
      <c r="H9" s="209"/>
      <c r="I9" s="210" t="s">
        <v>116</v>
      </c>
      <c r="J9" s="211" t="s">
        <v>94</v>
      </c>
      <c r="K9" s="216">
        <v>17</v>
      </c>
      <c r="L9" s="218">
        <v>-19</v>
      </c>
      <c r="M9" s="218">
        <v>19</v>
      </c>
      <c r="N9" s="216">
        <v>17</v>
      </c>
      <c r="O9" s="218">
        <v>19</v>
      </c>
      <c r="P9" s="218">
        <v>21</v>
      </c>
      <c r="Q9" s="168">
        <f>IF(MAX(K9:M9)&gt;0,IF(MAX(K9:M9)&lt;0,0,TRUNC(MAX(K9:M9)/1)*1),"")</f>
        <v>19</v>
      </c>
      <c r="R9" s="169">
        <f>IF(MAX(N9:P9)&gt;0,IF(MAX(N9:P9)&lt;0,0,TRUNC(MAX(N9:P9)/1)*1),"")</f>
        <v>21</v>
      </c>
      <c r="S9" s="170">
        <f>IF(Q9="","",IF(R9="","",IF(SUM(Q9:R9)=0,"",SUM(Q9:R9))))</f>
        <v>40</v>
      </c>
      <c r="T9" s="171">
        <f>IF(S9="","",IF(E9="","",IF((AD9="k"),IF(D9&gt;153.757,S9,IF(D9&lt;28,10^(0.787004341*LOG10(28/153.757)^2)*S9,10^(0.787004341*LOG10(D9/153.757)^2)*S9)),IF(D9&gt;193.609,S9,IF(D9&lt;32,10^(0.722762521*LOG10(32/193.609)^2)*S9,10^(0.722762521*LOG10(D9/193.609)^2)*S9)))))</f>
        <v>67.998865207340515</v>
      </c>
      <c r="U9" s="186" t="str">
        <f>IF(AF9=1,T9*AI9,"")</f>
        <v/>
      </c>
      <c r="V9" s="188">
        <f>IF('K2'!G7="","",'K2'!G7)</f>
        <v>5.59</v>
      </c>
      <c r="W9" s="172">
        <f>IF('K2'!K7="","",'K2'!K7)</f>
        <v>7.04</v>
      </c>
      <c r="X9" s="172">
        <f>IF('K2'!N7="","",'K2'!N7)</f>
        <v>7.7</v>
      </c>
      <c r="Y9" s="173"/>
      <c r="Z9" s="171"/>
      <c r="AA9" s="191"/>
      <c r="AB9" s="174"/>
      <c r="AC9" s="70">
        <f>U5</f>
        <v>45829</v>
      </c>
      <c r="AD9" s="84" t="str">
        <f>IF(ISNUMBER(FIND("M",E9)),"m",IF(ISNUMBER(FIND("K",E9)),"k"))</f>
        <v>k</v>
      </c>
      <c r="AE9" s="85">
        <f>IF(OR(G9="",AC9=""),0,(YEAR(AC9)-YEAR(G9)))</f>
        <v>12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19">
        <f>IF(D9="","",IF(D9&gt;193.609,1,IF(D9&lt;32,10^(0.722762521*LOG10(32/193.609)^2),10^(0.722762521*LOG10(D9/193.609)^2))))</f>
        <v>1.9822695329879412</v>
      </c>
    </row>
    <row r="10" spans="1:36" s="17" customFormat="1" ht="18" customHeight="1">
      <c r="B10" s="203"/>
      <c r="C10" s="212"/>
      <c r="D10" s="213"/>
      <c r="E10" s="213"/>
      <c r="F10" s="214"/>
      <c r="G10" s="215"/>
      <c r="H10" s="216"/>
      <c r="I10" s="211"/>
      <c r="J10" s="211"/>
      <c r="K10" s="289"/>
      <c r="L10" s="289"/>
      <c r="M10" s="289"/>
      <c r="N10" s="288"/>
      <c r="O10" s="288"/>
      <c r="P10" s="288"/>
      <c r="Q10" s="102"/>
      <c r="R10" s="140"/>
      <c r="S10" s="290">
        <f>IF(T9="","",T9*1.2)</f>
        <v>81.598638248808612</v>
      </c>
      <c r="T10" s="290"/>
      <c r="U10" s="177"/>
      <c r="V10" s="189">
        <f>IF(V9="","",V9*20)</f>
        <v>111.8</v>
      </c>
      <c r="W10" s="194">
        <f>IF(W9="","",(W9*10)*AJ9)</f>
        <v>139.55177512235107</v>
      </c>
      <c r="X10" s="195">
        <f>IF(X9="","",IF((80+(8-ROUNDUP(X9,1))*40)&lt;0,0,80+(8-ROUNDUP(X9,1))*40))</f>
        <v>92</v>
      </c>
      <c r="Y10" s="195">
        <f>IF(SUM(V10,W10,X10)&gt;0,SUM(V10,W10,X10),"")</f>
        <v>343.35177512235106</v>
      </c>
      <c r="Z10" s="196">
        <f>IF(AE9&gt;34,(IF(OR(S10="",V10="",W10="",X10=""),"",SUM(S10,V10,W10,X10))*AI9),IF(OR(S10="",V10="",W10="",X10=""),"", SUM(S10,V10,W10,X10)))</f>
        <v>424.9504133711597</v>
      </c>
      <c r="AA10" s="192">
        <v>2</v>
      </c>
      <c r="AB10" s="17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3"/>
      <c r="C11" s="204"/>
      <c r="D11" s="205"/>
      <c r="E11" s="206"/>
      <c r="F11" s="206"/>
      <c r="G11" s="208"/>
      <c r="H11" s="209"/>
      <c r="I11" s="210"/>
      <c r="J11" s="211"/>
      <c r="K11" s="216"/>
      <c r="L11" s="218"/>
      <c r="M11" s="218"/>
      <c r="N11" s="216"/>
      <c r="O11" s="218"/>
      <c r="P11" s="218"/>
      <c r="Q11" s="180" t="str">
        <f>IF(MAX(K11:M11)&gt;0,IF(MAX(K11:M11)&lt;0,0,TRUNC(MAX(K11:M11)/1)*1),"")</f>
        <v/>
      </c>
      <c r="R11" s="181" t="str">
        <f>IF(MAX(N11:P11)&gt;0,IF(MAX(N11:P11)&lt;0,0,TRUNC(MAX(N11:P11)/1)*1),"")</f>
        <v/>
      </c>
      <c r="S11" s="182" t="str">
        <f>IF(Q11="","",IF(R11="","",IF(SUM(Q11:R11)=0,"",SUM(Q11:R11))))</f>
        <v/>
      </c>
      <c r="T11" s="171" t="str">
        <f>IF(S11="","",IF(E11="","",IF((AD11="k"),IF(D11&gt;153.757,S11,IF(D11&lt;28,10^(0.787004341*LOG10(28/153.757)^2)*S11,10^(0.787004341*LOG10(D11/153.757)^2)*S11)),IF(D11&gt;193.609,S11,IF(D11&lt;32,10^(0.722762521*LOG10(32/193.609)^2)*S11,10^(0.722762521*LOG10(D11/193.609)^2)*S11)))))</f>
        <v/>
      </c>
      <c r="U11" s="187" t="str">
        <f>IF(AF11=1,T11*AI11,"")</f>
        <v/>
      </c>
      <c r="V11" s="190" t="str">
        <f>IF('K2'!G9="","",'K2'!G9)</f>
        <v/>
      </c>
      <c r="W11" s="184" t="str">
        <f>IF('K2'!K9="","",'K2'!K9)</f>
        <v/>
      </c>
      <c r="X11" s="184" t="str">
        <f>IF('K2'!N9="","",'K2'!N9)</f>
        <v/>
      </c>
      <c r="Y11" s="185"/>
      <c r="Z11" s="183"/>
      <c r="AA11" s="193"/>
      <c r="AB11" s="176"/>
      <c r="AC11" s="70">
        <f>U5</f>
        <v>45829</v>
      </c>
      <c r="AD11" s="84" t="b">
        <f t="shared" ref="AD11" si="0">IF(ISNUMBER(FIND("M",E11)),"m",IF(ISNUMBER(FIND("K",E11)),"k"))</f>
        <v>0</v>
      </c>
      <c r="AE11" s="85">
        <f t="shared" ref="AE11" si="1">IF(OR(G11="",AC11=""),0,(YEAR(AC11)-YEAR(G11)))</f>
        <v>0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str">
        <f t="shared" ref="AI11" si="3">IF(AD11="m",AG11,IF(AD11="k",AH11,""))</f>
        <v/>
      </c>
      <c r="AJ11" s="119" t="str">
        <f>IF(D11="","",IF(D11&gt;193.609,1,IF(D11&lt;32,10^(0.722762521*LOG10(32/193.609)^2),10^(0.722762521*LOG10(D11/193.609)^2))))</f>
        <v/>
      </c>
    </row>
    <row r="12" spans="1:36" s="17" customFormat="1" ht="18" customHeight="1">
      <c r="B12" s="203"/>
      <c r="C12" s="212"/>
      <c r="D12" s="213"/>
      <c r="E12" s="213"/>
      <c r="F12" s="214"/>
      <c r="G12" s="215"/>
      <c r="H12" s="216"/>
      <c r="I12" s="211"/>
      <c r="J12" s="211"/>
      <c r="K12" s="289"/>
      <c r="L12" s="289"/>
      <c r="M12" s="289"/>
      <c r="N12" s="288"/>
      <c r="O12" s="288"/>
      <c r="P12" s="288"/>
      <c r="Q12" s="102"/>
      <c r="R12" s="140"/>
      <c r="S12" s="290" t="str">
        <f>IF(T11="","",T11*1.2)</f>
        <v/>
      </c>
      <c r="T12" s="290"/>
      <c r="U12" s="177"/>
      <c r="V12" s="189" t="str">
        <f>IF(V11="","",V11*20)</f>
        <v/>
      </c>
      <c r="W12" s="194" t="str">
        <f>IF(W11="","",(W11*10)*AJ11)</f>
        <v/>
      </c>
      <c r="X12" s="195" t="str">
        <f>IF(X11="","",IF((80+(8-ROUNDUP(X11,1))*40)&lt;0,0,80+(8-ROUNDUP(X11,1))*40))</f>
        <v/>
      </c>
      <c r="Y12" s="195" t="str">
        <f>IF(SUM(V12,W12,X12)&gt;0,SUM(V12,W12,X12),"")</f>
        <v/>
      </c>
      <c r="Z12" s="196" t="str">
        <f>IF(AE11&gt;34,(IF(OR(S12="",V12="",W12="",X12=""),"",SUM(S12,V12,W12,X12))*AI11),IF(OR(S12="",V12="",W12="",X12=""),"", SUM(S12,V12,W12,X12)))</f>
        <v/>
      </c>
      <c r="AA12" s="192"/>
      <c r="AB12" s="175"/>
      <c r="AC12" s="70"/>
    </row>
    <row r="13" spans="1:36" s="17" customFormat="1" ht="18" customHeight="1">
      <c r="B13" s="203">
        <v>2014004</v>
      </c>
      <c r="C13" s="204" t="s">
        <v>117</v>
      </c>
      <c r="D13" s="205">
        <v>42.03</v>
      </c>
      <c r="E13" s="206" t="s">
        <v>114</v>
      </c>
      <c r="F13" s="206" t="s">
        <v>115</v>
      </c>
      <c r="G13" s="208">
        <v>41765</v>
      </c>
      <c r="H13" s="209"/>
      <c r="I13" s="210" t="s">
        <v>118</v>
      </c>
      <c r="J13" s="211" t="s">
        <v>94</v>
      </c>
      <c r="K13" s="216">
        <v>26</v>
      </c>
      <c r="L13" s="218">
        <v>28</v>
      </c>
      <c r="M13" s="218">
        <v>31</v>
      </c>
      <c r="N13" s="216">
        <v>32</v>
      </c>
      <c r="O13" s="218">
        <v>35</v>
      </c>
      <c r="P13" s="218">
        <v>37</v>
      </c>
      <c r="Q13" s="180">
        <f>IF(MAX(K13:M13)&gt;0,IF(MAX(K13:M13)&lt;0,0,TRUNC(MAX(K13:M13)/1)*1),"")</f>
        <v>31</v>
      </c>
      <c r="R13" s="181">
        <f>IF(MAX(N13:P13)&gt;0,IF(MAX(N13:P13)&lt;0,0,TRUNC(MAX(N13:P13)/1)*1),"")</f>
        <v>37</v>
      </c>
      <c r="S13" s="182">
        <f>IF(Q13="","",IF(R13="","",IF(SUM(Q13:R13)=0,"",SUM(Q13:R13))))</f>
        <v>68</v>
      </c>
      <c r="T13" s="171">
        <f>IF(S13="","",IF(E13="","",IF((AD13="k"),IF(D13&gt;153.757,S13,IF(D13&lt;28,10^(0.787004341*LOG10(28/153.757)^2)*S13,10^(0.787004341*LOG10(D13/153.757)^2)*S13)),IF(D13&gt;193.609,S13,IF(D13&lt;32,10^(0.722762521*LOG10(32/193.609)^2)*S13,10^(0.722762521*LOG10(D13/193.609)^2)*S13)))))</f>
        <v>120.83954917882743</v>
      </c>
      <c r="U13" s="187" t="str">
        <f>IF(AF13=1,T13*AI13,"")</f>
        <v/>
      </c>
      <c r="V13" s="190">
        <f>IF('K2'!G11="","",'K2'!G11)</f>
        <v>5.88</v>
      </c>
      <c r="W13" s="184">
        <f>IF('K2'!K11="","",'K2'!K11)</f>
        <v>5.55</v>
      </c>
      <c r="X13" s="184">
        <f>IF('K2'!N11="","",'K2'!N11)</f>
        <v>8.4</v>
      </c>
      <c r="Y13" s="185"/>
      <c r="Z13" s="183"/>
      <c r="AA13" s="193"/>
      <c r="AB13" s="176"/>
      <c r="AC13" s="70">
        <f>U5</f>
        <v>45829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11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19">
        <f>IF(D13="","",IF(D13&gt;193.609,1,IF(D13&lt;32,10^(0.722762521*LOG10(32/193.609)^2),10^(0.722762521*LOG10(D13/193.609)^2))))</f>
        <v>2.07996012515276</v>
      </c>
    </row>
    <row r="14" spans="1:36" s="17" customFormat="1" ht="18" customHeight="1">
      <c r="B14" s="203"/>
      <c r="C14" s="212"/>
      <c r="D14" s="213"/>
      <c r="E14" s="213"/>
      <c r="F14" s="214"/>
      <c r="G14" s="215"/>
      <c r="H14" s="216"/>
      <c r="I14" s="211"/>
      <c r="J14" s="211"/>
      <c r="K14" s="289"/>
      <c r="L14" s="289"/>
      <c r="M14" s="289"/>
      <c r="N14" s="288"/>
      <c r="O14" s="288"/>
      <c r="P14" s="288"/>
      <c r="Q14" s="102"/>
      <c r="R14" s="140"/>
      <c r="S14" s="290">
        <f>IF(T13="","",T13*1.2)</f>
        <v>145.00745901459291</v>
      </c>
      <c r="T14" s="290"/>
      <c r="U14" s="177"/>
      <c r="V14" s="189">
        <f>IF(V13="","",V13*20)</f>
        <v>117.6</v>
      </c>
      <c r="W14" s="194">
        <f>IF(W13="","",(W13*10)*AJ13)</f>
        <v>115.43778694597817</v>
      </c>
      <c r="X14" s="195">
        <f>IF(X13="","",IF((80+(8-ROUNDUP(X13,1))*40)&lt;0,0,80+(8-ROUNDUP(X13,1))*40))</f>
        <v>63.999999999999986</v>
      </c>
      <c r="Y14" s="195">
        <f>IF(SUM(V14,W14,X14)&gt;0,SUM(V14,W14,X14),"")</f>
        <v>297.03778694597816</v>
      </c>
      <c r="Z14" s="196">
        <f>IF(AE13&gt;34,(IF(OR(S14="",V14="",W14="",X14=""),"",SUM(S14,V14,W14,X14))*AI13),IF(OR(S14="",V14="",W14="",X14=""),"", SUM(S14,V14,W14,X14)))</f>
        <v>442.04524596057109</v>
      </c>
      <c r="AA14" s="192">
        <v>1</v>
      </c>
      <c r="AB14" s="175"/>
      <c r="AC14" s="70"/>
    </row>
    <row r="15" spans="1:36" s="17" customFormat="1" ht="18" customHeight="1">
      <c r="B15" s="203">
        <v>2012012</v>
      </c>
      <c r="C15" s="204" t="s">
        <v>117</v>
      </c>
      <c r="D15" s="205">
        <v>43.99</v>
      </c>
      <c r="E15" s="206" t="s">
        <v>114</v>
      </c>
      <c r="F15" s="206" t="s">
        <v>119</v>
      </c>
      <c r="G15" s="208">
        <v>41022</v>
      </c>
      <c r="H15" s="209"/>
      <c r="I15" s="210" t="s">
        <v>120</v>
      </c>
      <c r="J15" s="211" t="s">
        <v>94</v>
      </c>
      <c r="K15" s="216">
        <v>24</v>
      </c>
      <c r="L15" s="218">
        <v>26</v>
      </c>
      <c r="M15" s="218">
        <v>28</v>
      </c>
      <c r="N15" s="216">
        <v>29</v>
      </c>
      <c r="O15" s="218">
        <v>31</v>
      </c>
      <c r="P15" s="218">
        <v>33</v>
      </c>
      <c r="Q15" s="180">
        <f>IF(MAX(K15:M15)&gt;0,IF(MAX(K15:M15)&lt;0,0,TRUNC(MAX(K15:M15)/1)*1),"")</f>
        <v>28</v>
      </c>
      <c r="R15" s="181">
        <f>IF(MAX(N15:P15)&gt;0,IF(MAX(N15:P15)&lt;0,0,TRUNC(MAX(N15:P15)/1)*1),"")</f>
        <v>33</v>
      </c>
      <c r="S15" s="182">
        <f>IF(Q15="","",IF(R15="","",IF(SUM(Q15:R15)=0,"",SUM(Q15:R15))))</f>
        <v>61</v>
      </c>
      <c r="T15" s="171">
        <f>IF(S15="","",IF(E15="","",IF((AD15="k"),IF(D15&gt;153.757,S15,IF(D15&lt;28,10^(0.787004341*LOG10(28/153.757)^2)*S15,10^(0.787004341*LOG10(D15/153.757)^2)*S15)),IF(D15&gt;193.609,S15,IF(D15&lt;32,10^(0.722762521*LOG10(32/193.609)^2)*S15,10^(0.722762521*LOG10(D15/193.609)^2)*S15)))))</f>
        <v>104.18099682813677</v>
      </c>
      <c r="U15" s="187" t="str">
        <f>IF(AF15=1,T15*AI15,"")</f>
        <v/>
      </c>
      <c r="V15" s="190">
        <f>IF('K2'!G13="","",'K2'!G13)</f>
        <v>5.37</v>
      </c>
      <c r="W15" s="184">
        <f>IF('K2'!K13="","",'K2'!K13)</f>
        <v>5.92</v>
      </c>
      <c r="X15" s="184">
        <f>IF('K2'!N13="","",'K2'!N13)</f>
        <v>7.8</v>
      </c>
      <c r="Y15" s="185"/>
      <c r="Z15" s="183"/>
      <c r="AA15" s="193"/>
      <c r="AB15" s="176"/>
      <c r="AC15" s="70">
        <f>U5</f>
        <v>45829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13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19">
        <f>IF(D15="","",IF(D15&gt;193.609,1,IF(D15&lt;32,10^(0.722762521*LOG10(32/193.609)^2),10^(0.722762521*LOG10(D15/193.609)^2))))</f>
        <v>1.9923101406210337</v>
      </c>
    </row>
    <row r="16" spans="1:36" s="17" customFormat="1" ht="18" customHeight="1">
      <c r="B16" s="203"/>
      <c r="C16" s="212"/>
      <c r="D16" s="213"/>
      <c r="E16" s="213"/>
      <c r="F16" s="214"/>
      <c r="G16" s="215"/>
      <c r="H16" s="216"/>
      <c r="I16" s="211"/>
      <c r="J16" s="211"/>
      <c r="K16" s="289"/>
      <c r="L16" s="289"/>
      <c r="M16" s="289"/>
      <c r="N16" s="288"/>
      <c r="O16" s="288"/>
      <c r="P16" s="288"/>
      <c r="Q16" s="102"/>
      <c r="R16" s="140"/>
      <c r="S16" s="290">
        <f>IF(T15="","",T15*1.2)</f>
        <v>125.01719619376412</v>
      </c>
      <c r="T16" s="290"/>
      <c r="U16" s="177"/>
      <c r="V16" s="189">
        <f>IF(V15="","",V15*20)</f>
        <v>107.4</v>
      </c>
      <c r="W16" s="194">
        <f>IF(W15="","",(W15*10)*AJ15)</f>
        <v>117.9447603247652</v>
      </c>
      <c r="X16" s="195">
        <f>IF(X15="","",IF((80+(8-ROUNDUP(X15,1))*40)&lt;0,0,80+(8-ROUNDUP(X15,1))*40))</f>
        <v>88</v>
      </c>
      <c r="Y16" s="195">
        <f>IF(SUM(V16,W16,X16)&gt;0,SUM(V16,W16,X16),"")</f>
        <v>313.34476032476522</v>
      </c>
      <c r="Z16" s="196">
        <f>IF(AE15&gt;34,(IF(OR(S16="",V16="",W16="",X16=""),"",SUM(S16,V16,W16,X16))*AI15),IF(OR(S16="",V16="",W16="",X16=""),"", SUM(S16,V16,W16,X16)))</f>
        <v>438.36195651852933</v>
      </c>
      <c r="AA16" s="192">
        <v>3</v>
      </c>
      <c r="AB16" s="175"/>
      <c r="AC16" s="70"/>
    </row>
    <row r="17" spans="2:41" s="17" customFormat="1" ht="18" customHeight="1">
      <c r="B17" s="203">
        <v>2011002</v>
      </c>
      <c r="C17" s="204" t="s">
        <v>117</v>
      </c>
      <c r="D17" s="205">
        <v>42.15</v>
      </c>
      <c r="E17" s="206" t="s">
        <v>114</v>
      </c>
      <c r="F17" s="206" t="s">
        <v>119</v>
      </c>
      <c r="G17" s="208">
        <v>40848</v>
      </c>
      <c r="H17" s="209"/>
      <c r="I17" s="210" t="s">
        <v>121</v>
      </c>
      <c r="J17" s="211" t="s">
        <v>94</v>
      </c>
      <c r="K17" s="216">
        <v>40</v>
      </c>
      <c r="L17" s="218">
        <v>42</v>
      </c>
      <c r="M17" s="218">
        <v>-43</v>
      </c>
      <c r="N17" s="216">
        <v>48</v>
      </c>
      <c r="O17" s="218">
        <v>51</v>
      </c>
      <c r="P17" s="218">
        <v>53</v>
      </c>
      <c r="Q17" s="180">
        <f>IF(MAX(K17:M17)&gt;0,IF(MAX(K17:M17)&lt;0,0,TRUNC(MAX(K17:M17)/1)*1),"")</f>
        <v>42</v>
      </c>
      <c r="R17" s="181">
        <f>IF(MAX(N17:P17)&gt;0,IF(MAX(N17:P17)&lt;0,0,TRUNC(MAX(N17:P17)/1)*1),"")</f>
        <v>53</v>
      </c>
      <c r="S17" s="182">
        <f>IF(Q17="","",IF(R17="","",IF(SUM(Q17:R17)=0,"",SUM(Q17:R17))))</f>
        <v>95</v>
      </c>
      <c r="T17" s="171">
        <f>IF(S17="","",IF(E17="","",IF((AD17="k"),IF(D17&gt;153.757,S17,IF(D17&lt;28,10^(0.787004341*LOG10(28/153.757)^2)*S17,10^(0.787004341*LOG10(D17/153.757)^2)*S17)),IF(D17&gt;193.609,S17,IF(D17&lt;32,10^(0.722762521*LOG10(32/193.609)^2)*S17,10^(0.722762521*LOG10(D17/193.609)^2)*S17)))))</f>
        <v>168.39423392663679</v>
      </c>
      <c r="U17" s="187" t="str">
        <f>IF(AF17=1,T17*AI17,"")</f>
        <v/>
      </c>
      <c r="V17" s="190">
        <f>IF('K2'!G15="","",'K2'!G15)</f>
        <v>5.9</v>
      </c>
      <c r="W17" s="184">
        <f>IF('K2'!K15="","",'K2'!K15)</f>
        <v>7.5</v>
      </c>
      <c r="X17" s="184">
        <f>IF('K2'!N15="","",'K2'!N15)</f>
        <v>7.9</v>
      </c>
      <c r="Y17" s="185"/>
      <c r="Z17" s="183"/>
      <c r="AA17" s="193"/>
      <c r="AB17" s="176"/>
      <c r="AC17" s="70">
        <f>U5</f>
        <v>45829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14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19">
        <f>IF(D17="","",IF(D17&gt;193.609,1,IF(D17&lt;32,10^(0.722762521*LOG10(32/193.609)^2),10^(0.722762521*LOG10(D17/193.609)^2))))</f>
        <v>2.0742867946656864</v>
      </c>
      <c r="AO17" s="119"/>
    </row>
    <row r="18" spans="2:41" s="17" customFormat="1" ht="18" customHeight="1">
      <c r="B18" s="203"/>
      <c r="C18" s="212"/>
      <c r="D18" s="213"/>
      <c r="E18" s="213"/>
      <c r="F18" s="214"/>
      <c r="G18" s="215"/>
      <c r="H18" s="216"/>
      <c r="I18" s="211"/>
      <c r="J18" s="211"/>
      <c r="K18" s="289"/>
      <c r="L18" s="289"/>
      <c r="M18" s="289"/>
      <c r="N18" s="288"/>
      <c r="O18" s="288"/>
      <c r="P18" s="288"/>
      <c r="Q18" s="102"/>
      <c r="R18" s="140"/>
      <c r="S18" s="290">
        <f>IF(T17="","",T17*1.2)</f>
        <v>202.07308071196414</v>
      </c>
      <c r="T18" s="290"/>
      <c r="U18" s="177"/>
      <c r="V18" s="189">
        <f>IF(V17="","",V17*20)</f>
        <v>118</v>
      </c>
      <c r="W18" s="194">
        <f>IF(W17="","",(W17*10)*AJ17)</f>
        <v>155.57150959992649</v>
      </c>
      <c r="X18" s="195">
        <f>IF(X17="","",IF((80+(8-ROUNDUP(X17,1))*40)&lt;0,0,80+(8-ROUNDUP(X17,1))*40))</f>
        <v>83.999999999999986</v>
      </c>
      <c r="Y18" s="195">
        <f>IF(SUM(V18,W18,X18)&gt;0,SUM(V18,W18,X18),"")</f>
        <v>357.57150959992646</v>
      </c>
      <c r="Z18" s="196">
        <f>IF(AE17&gt;34,(IF(OR(S18="",V18="",W18="",X18=""),"",SUM(S18,V18,W18,X18))*AI17),IF(OR(S18="",V18="",W18="",X18=""),"", SUM(S18,V18,W18,X18)))</f>
        <v>559.64459031189062</v>
      </c>
      <c r="AA18" s="192">
        <v>1</v>
      </c>
      <c r="AB18" s="175"/>
      <c r="AC18" s="70"/>
    </row>
    <row r="19" spans="2:41" s="17" customFormat="1" ht="18" customHeight="1">
      <c r="B19" s="203">
        <v>2012024</v>
      </c>
      <c r="C19" s="204" t="s">
        <v>113</v>
      </c>
      <c r="D19" s="205">
        <v>46.06</v>
      </c>
      <c r="E19" s="206" t="s">
        <v>114</v>
      </c>
      <c r="F19" s="206" t="s">
        <v>119</v>
      </c>
      <c r="G19" s="208">
        <v>41227</v>
      </c>
      <c r="H19" s="209"/>
      <c r="I19" s="210" t="s">
        <v>122</v>
      </c>
      <c r="J19" s="211" t="s">
        <v>112</v>
      </c>
      <c r="K19" s="216">
        <v>29</v>
      </c>
      <c r="L19" s="218">
        <v>-31</v>
      </c>
      <c r="M19" s="218">
        <v>31</v>
      </c>
      <c r="N19" s="216">
        <v>37</v>
      </c>
      <c r="O19" s="218">
        <v>-40</v>
      </c>
      <c r="P19" s="218">
        <v>-40</v>
      </c>
      <c r="Q19" s="180">
        <f>IF(MAX(K19:M19)&gt;0,IF(MAX(K19:M19)&lt;0,0,TRUNC(MAX(K19:M19)/1)*1),"")</f>
        <v>31</v>
      </c>
      <c r="R19" s="181">
        <f>IF(MAX(N19:P19)&gt;0,IF(MAX(N19:P19)&lt;0,0,TRUNC(MAX(N19:P19)/1)*1),"")</f>
        <v>37</v>
      </c>
      <c r="S19" s="182">
        <f>IF(Q19="","",IF(R19="","",IF(SUM(Q19:R19)=0,"",SUM(Q19:R19))))</f>
        <v>68</v>
      </c>
      <c r="T19" s="171">
        <f>IF(S19="","",IF(E19="","",IF((AD19="k"),IF(D19&gt;153.757,S19,IF(D19&lt;28,10^(0.787004341*LOG10(28/153.757)^2)*S19,10^(0.787004341*LOG10(D19/153.757)^2)*S19)),IF(D19&gt;193.609,S19,IF(D19&lt;32,10^(0.722762521*LOG10(32/193.609)^2)*S19,10^(0.722762521*LOG10(D19/193.609)^2)*S19)))))</f>
        <v>111.73732156546532</v>
      </c>
      <c r="U19" s="187" t="str">
        <f>IF(AF19=1,T19*AI19,"")</f>
        <v/>
      </c>
      <c r="V19" s="190">
        <f>IF('K2'!G17="","",'K2'!G17)</f>
        <v>5.93</v>
      </c>
      <c r="W19" s="184">
        <f>IF('K2'!K17="","",'K2'!K17)</f>
        <v>6.08</v>
      </c>
      <c r="X19" s="184">
        <f>IF('K2'!N17="","",'K2'!N17)</f>
        <v>7.4</v>
      </c>
      <c r="Y19" s="185"/>
      <c r="Z19" s="183"/>
      <c r="AA19" s="193"/>
      <c r="AB19" s="176"/>
      <c r="AC19" s="70">
        <f>U5</f>
        <v>45829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13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19">
        <f>IF(D19="","",IF(D19&gt;193.609,1,IF(D19&lt;32,10^(0.722762521*LOG10(32/193.609)^2),10^(0.722762521*LOG10(D19/193.609)^2))))</f>
        <v>1.9101485434215906</v>
      </c>
    </row>
    <row r="20" spans="2:41" s="17" customFormat="1" ht="18" customHeight="1">
      <c r="B20" s="203"/>
      <c r="C20" s="212"/>
      <c r="D20" s="213"/>
      <c r="E20" s="213"/>
      <c r="F20" s="214"/>
      <c r="G20" s="215"/>
      <c r="H20" s="216"/>
      <c r="I20" s="211"/>
      <c r="J20" s="211"/>
      <c r="K20" s="289"/>
      <c r="L20" s="289"/>
      <c r="M20" s="289"/>
      <c r="N20" s="288"/>
      <c r="O20" s="288"/>
      <c r="P20" s="288"/>
      <c r="Q20" s="102"/>
      <c r="R20" s="140"/>
      <c r="S20" s="290">
        <f>IF(T19="","",T19*1.2)</f>
        <v>134.08478587855839</v>
      </c>
      <c r="T20" s="290"/>
      <c r="U20" s="177"/>
      <c r="V20" s="189">
        <f>IF(V19="","",V19*20)</f>
        <v>118.6</v>
      </c>
      <c r="W20" s="194">
        <f>IF(W19="","",(W19*10)*AJ19)</f>
        <v>116.1370314400327</v>
      </c>
      <c r="X20" s="195">
        <f>IF(X19="","",IF((80+(8-ROUNDUP(X19,1))*40)&lt;0,0,80+(8-ROUNDUP(X19,1))*40))</f>
        <v>103.99999999999999</v>
      </c>
      <c r="Y20" s="195">
        <f>IF(SUM(V20,W20,X20)&gt;0,SUM(V20,W20,X20),"")</f>
        <v>338.73703144003269</v>
      </c>
      <c r="Z20" s="196">
        <f>IF(AE19&gt;34,(IF(OR(S20="",V20="",W20="",X20=""),"",SUM(S20,V20,W20,X20))*AI19),IF(OR(S20="",V20="",W20="",X20=""),"", SUM(S20,V20,W20,X20)))</f>
        <v>472.82181731859112</v>
      </c>
      <c r="AA20" s="192">
        <v>2</v>
      </c>
      <c r="AB20" s="175"/>
      <c r="AC20" s="70"/>
    </row>
    <row r="21" spans="2:41" s="17" customFormat="1" ht="18" customHeight="1">
      <c r="B21" s="203">
        <v>2012023</v>
      </c>
      <c r="C21" s="204" t="s">
        <v>123</v>
      </c>
      <c r="D21" s="205">
        <v>49.27</v>
      </c>
      <c r="E21" s="206" t="s">
        <v>114</v>
      </c>
      <c r="F21" s="206" t="s">
        <v>119</v>
      </c>
      <c r="G21" s="208">
        <v>41064</v>
      </c>
      <c r="H21" s="209"/>
      <c r="I21" s="210" t="s">
        <v>124</v>
      </c>
      <c r="J21" s="211" t="s">
        <v>112</v>
      </c>
      <c r="K21" s="216">
        <v>20</v>
      </c>
      <c r="L21" s="218">
        <v>-22</v>
      </c>
      <c r="M21" s="218">
        <v>22</v>
      </c>
      <c r="N21" s="216">
        <v>23</v>
      </c>
      <c r="O21" s="218">
        <v>26</v>
      </c>
      <c r="P21" s="218">
        <v>28</v>
      </c>
      <c r="Q21" s="180">
        <f>IF(MAX(K21:M21)&gt;0,IF(MAX(K21:M21)&lt;0,0,TRUNC(MAX(K21:M21)/1)*1),"")</f>
        <v>22</v>
      </c>
      <c r="R21" s="181">
        <f>IF(MAX(N21:P21)&gt;0,IF(MAX(N21:P21)&lt;0,0,TRUNC(MAX(N21:P21)/1)*1),"")</f>
        <v>28</v>
      </c>
      <c r="S21" s="182">
        <f>IF(Q21="","",IF(R21="","",IF(SUM(Q21:R21)=0,"",SUM(Q21:R21))))</f>
        <v>50</v>
      </c>
      <c r="T21" s="171">
        <f>IF(S21="","",IF(E21="","",IF((AD21="k"),IF(D21&gt;153.757,S21,IF(D21&lt;28,10^(0.787004341*LOG10(28/153.757)^2)*S21,10^(0.787004341*LOG10(D21/153.757)^2)*S21)),IF(D21&gt;193.609,S21,IF(D21&lt;32,10^(0.722762521*LOG10(32/193.609)^2)*S21,10^(0.722762521*LOG10(D21/193.609)^2)*S21)))))</f>
        <v>77.843732409392402</v>
      </c>
      <c r="U21" s="187" t="str">
        <f>IF(AF21=1,T21*AI21,"")</f>
        <v/>
      </c>
      <c r="V21" s="190">
        <f>IF('K2'!G19="","",'K2'!G19)</f>
        <v>5.37</v>
      </c>
      <c r="W21" s="184">
        <f>IF('K2'!K19="","",'K2'!K19)</f>
        <v>5.15</v>
      </c>
      <c r="X21" s="184">
        <f>IF('K2'!N19="","",'K2'!N19)</f>
        <v>8.6</v>
      </c>
      <c r="Y21" s="185"/>
      <c r="Z21" s="183"/>
      <c r="AA21" s="193"/>
      <c r="AB21" s="176"/>
      <c r="AC21" s="70">
        <f>U5</f>
        <v>45829</v>
      </c>
      <c r="AD21" s="84" t="str">
        <f t="shared" ref="AD21" si="16">IF(ISNUMBER(FIND("M",E21)),"m",IF(ISNUMBER(FIND("K",E21)),"k"))</f>
        <v>k</v>
      </c>
      <c r="AE21" s="85">
        <f t="shared" ref="AE21" si="17">IF(OR(G21="",AC21=""),0,(YEAR(AC21)-YEAR(G21)))</f>
        <v>13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19">
        <f>IF(D21="","",IF(D21&gt;193.609,1,IF(D21&lt;32,10^(0.722762521*LOG10(32/193.609)^2),10^(0.722762521*LOG10(D21/193.609)^2))))</f>
        <v>1.8001604606507227</v>
      </c>
    </row>
    <row r="22" spans="2:41" s="17" customFormat="1" ht="18" customHeight="1">
      <c r="B22" s="203"/>
      <c r="C22" s="212"/>
      <c r="D22" s="213"/>
      <c r="E22" s="213"/>
      <c r="F22" s="214"/>
      <c r="G22" s="215"/>
      <c r="H22" s="216"/>
      <c r="I22" s="211"/>
      <c r="J22" s="211"/>
      <c r="K22" s="289"/>
      <c r="L22" s="289"/>
      <c r="M22" s="289"/>
      <c r="N22" s="288"/>
      <c r="O22" s="288"/>
      <c r="P22" s="288"/>
      <c r="Q22" s="102"/>
      <c r="R22" s="140"/>
      <c r="S22" s="290">
        <f>IF(T21="","",T21*1.2)</f>
        <v>93.412478891270879</v>
      </c>
      <c r="T22" s="290"/>
      <c r="U22" s="177"/>
      <c r="V22" s="189">
        <f>IF(V21="","",V21*20)</f>
        <v>107.4</v>
      </c>
      <c r="W22" s="194">
        <f>IF(W21="","",(W21*10)*AJ21)</f>
        <v>92.708263723512218</v>
      </c>
      <c r="X22" s="195">
        <f>IF(X21="","",IF((80+(8-ROUNDUP(X21,1))*40)&lt;0,0,80+(8-ROUNDUP(X21,1))*40))</f>
        <v>56.000000000000014</v>
      </c>
      <c r="Y22" s="195">
        <f>IF(SUM(V22,W22,X22)&gt;0,SUM(V22,W22,X22),"")</f>
        <v>256.10826372351221</v>
      </c>
      <c r="Z22" s="196">
        <f>IF(AE21&gt;34,(IF(OR(S22="",V22="",W22="",X22=""),"",SUM(S22,V22,W22,X22))*AI21),IF(OR(S22="",V22="",W22="",X22=""),"", SUM(S22,V22,W22,X22)))</f>
        <v>349.5207426147831</v>
      </c>
      <c r="AA22" s="192">
        <v>4</v>
      </c>
      <c r="AB22" s="175"/>
      <c r="AC22" s="70"/>
    </row>
    <row r="23" spans="2:41" s="17" customFormat="1" ht="18" customHeight="1">
      <c r="B23" s="203">
        <v>2009007</v>
      </c>
      <c r="C23" s="204" t="s">
        <v>123</v>
      </c>
      <c r="D23" s="205">
        <v>51.79</v>
      </c>
      <c r="E23" s="206" t="s">
        <v>114</v>
      </c>
      <c r="F23" s="206" t="s">
        <v>125</v>
      </c>
      <c r="G23" s="208">
        <v>40008</v>
      </c>
      <c r="H23" s="209"/>
      <c r="I23" s="210" t="s">
        <v>126</v>
      </c>
      <c r="J23" s="211" t="s">
        <v>94</v>
      </c>
      <c r="K23" s="216">
        <v>50</v>
      </c>
      <c r="L23" s="218">
        <v>54</v>
      </c>
      <c r="M23" s="218">
        <v>56</v>
      </c>
      <c r="N23" s="216">
        <v>63</v>
      </c>
      <c r="O23" s="218">
        <v>-66</v>
      </c>
      <c r="P23" s="218">
        <v>66</v>
      </c>
      <c r="Q23" s="180">
        <f>IF(MAX(K23:M23)&gt;0,IF(MAX(K23:M23)&lt;0,0,TRUNC(MAX(K23:M23)/1)*1),"")</f>
        <v>56</v>
      </c>
      <c r="R23" s="181">
        <f>IF(MAX(N23:P23)&gt;0,IF(MAX(N23:P23)&lt;0,0,TRUNC(MAX(N23:P23)/1)*1),"")</f>
        <v>66</v>
      </c>
      <c r="S23" s="182">
        <f>IF(Q23="","",IF(R23="","",IF(SUM(Q23:R23)=0,"",SUM(Q23:R23))))</f>
        <v>122</v>
      </c>
      <c r="T23" s="171">
        <f>IF(S23="","",IF(E23="","",IF((AD23="k"),IF(D23&gt;153.757,S23,IF(D23&lt;28,10^(0.787004341*LOG10(28/153.757)^2)*S23,10^(0.787004341*LOG10(D23/153.757)^2)*S23)),IF(D23&gt;193.609,S23,IF(D23&lt;32,10^(0.722762521*LOG10(32/193.609)^2)*S23,10^(0.722762521*LOG10(D23/193.609)^2)*S23)))))</f>
        <v>182.8646062568157</v>
      </c>
      <c r="U23" s="187" t="str">
        <f>IF(AF23=1,T23*AI23,"")</f>
        <v/>
      </c>
      <c r="V23" s="190">
        <f>IF('K2'!G21="","",'K2'!G21)</f>
        <v>6.67</v>
      </c>
      <c r="W23" s="184">
        <f>IF('K2'!K21="","",'K2'!K21)</f>
        <v>8.59</v>
      </c>
      <c r="X23" s="184">
        <f>IF('K2'!N21="","",'K2'!N21)</f>
        <v>7.4</v>
      </c>
      <c r="Y23" s="185"/>
      <c r="Z23" s="183"/>
      <c r="AA23" s="193"/>
      <c r="AB23" s="176"/>
      <c r="AC23" s="70">
        <f>U5</f>
        <v>45829</v>
      </c>
      <c r="AD23" s="84" t="str">
        <f t="shared" ref="AD23" si="19">IF(ISNUMBER(FIND("M",E23)),"m",IF(ISNUMBER(FIND("K",E23)),"k"))</f>
        <v>k</v>
      </c>
      <c r="AE23" s="85">
        <f t="shared" ref="AE23" si="20">IF(OR(G23="",AC23=""),0,(YEAR(AC23)-YEAR(G23)))</f>
        <v>16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19">
        <f>IF(D23="","",IF(D23&gt;193.609,1,IF(D23&lt;32,10^(0.722762521*LOG10(32/193.609)^2),10^(0.722762521*LOG10(D23/193.609)^2))))</f>
        <v>1.7259913412212649</v>
      </c>
    </row>
    <row r="24" spans="2:41" s="17" customFormat="1" ht="18" customHeight="1">
      <c r="B24" s="203"/>
      <c r="C24" s="212"/>
      <c r="D24" s="213"/>
      <c r="E24" s="213"/>
      <c r="F24" s="214"/>
      <c r="G24" s="215"/>
      <c r="H24" s="216"/>
      <c r="I24" s="211"/>
      <c r="J24" s="211"/>
      <c r="K24" s="289"/>
      <c r="L24" s="289"/>
      <c r="M24" s="289"/>
      <c r="N24" s="288"/>
      <c r="O24" s="288"/>
      <c r="P24" s="288"/>
      <c r="Q24" s="102"/>
      <c r="R24" s="140"/>
      <c r="S24" s="290">
        <f>IF(T23="","",T23*1.2)</f>
        <v>219.43752750817885</v>
      </c>
      <c r="T24" s="290"/>
      <c r="U24" s="177"/>
      <c r="V24" s="189">
        <f>IF(V23="","",V23*20)</f>
        <v>133.4</v>
      </c>
      <c r="W24" s="194">
        <f>IF(W23="","",(W23*10)*AJ23)</f>
        <v>148.26265621090667</v>
      </c>
      <c r="X24" s="195">
        <f>IF(X23="","",IF((80+(8-ROUNDUP(X23,1))*40)&lt;0,0,80+(8-ROUNDUP(X23,1))*40))</f>
        <v>103.99999999999999</v>
      </c>
      <c r="Y24" s="195">
        <f>IF(SUM(V24,W24,X24)&gt;0,SUM(V24,W24,X24),"")</f>
        <v>385.66265621090668</v>
      </c>
      <c r="Z24" s="196">
        <f>IF(AE23&gt;34,(IF(OR(S24="",V24="",W24="",X24=""),"",SUM(S24,V24,W24,X24))*AI23),IF(OR(S24="",V24="",W24="",X24=""),"", SUM(S24,V24,W24,X24)))</f>
        <v>605.10018371908552</v>
      </c>
      <c r="AA24" s="192">
        <v>1</v>
      </c>
      <c r="AB24" s="175"/>
      <c r="AC24" s="70"/>
    </row>
    <row r="25" spans="2:41" s="17" customFormat="1" ht="18" customHeight="1">
      <c r="B25" s="203">
        <v>2010004</v>
      </c>
      <c r="C25" s="204" t="s">
        <v>127</v>
      </c>
      <c r="D25" s="205">
        <v>62.45</v>
      </c>
      <c r="E25" s="206" t="s">
        <v>114</v>
      </c>
      <c r="F25" s="206" t="s">
        <v>125</v>
      </c>
      <c r="G25" s="208">
        <v>40263</v>
      </c>
      <c r="H25" s="209"/>
      <c r="I25" s="219" t="s">
        <v>128</v>
      </c>
      <c r="J25" s="211" t="s">
        <v>94</v>
      </c>
      <c r="K25" s="216">
        <v>66</v>
      </c>
      <c r="L25" s="218">
        <v>-70</v>
      </c>
      <c r="M25" s="218">
        <v>-73</v>
      </c>
      <c r="N25" s="216">
        <v>81</v>
      </c>
      <c r="O25" s="218">
        <v>-85</v>
      </c>
      <c r="P25" s="218" t="s">
        <v>129</v>
      </c>
      <c r="Q25" s="180">
        <f>IF(MAX(K25:M25)&gt;0,IF(MAX(K25:M25)&lt;0,0,TRUNC(MAX(K25:M25)/1)*1),"")</f>
        <v>66</v>
      </c>
      <c r="R25" s="181">
        <f>IF(MAX(N25:P25)&gt;0,IF(MAX(N25:P25)&lt;0,0,TRUNC(MAX(N25:P25)/1)*1),"")</f>
        <v>81</v>
      </c>
      <c r="S25" s="182">
        <f>IF(Q25="","",IF(R25="","",IF(SUM(Q25:R25)=0,"",SUM(Q25:R25))))</f>
        <v>147</v>
      </c>
      <c r="T25" s="171">
        <f>IF(S25="","",IF(E25="","",IF((AD25="k"),IF(D25&gt;153.757,S25,IF(D25&lt;28,10^(0.787004341*LOG10(28/153.757)^2)*S25,10^(0.787004341*LOG10(D25/153.757)^2)*S25)),IF(D25&gt;193.609,S25,IF(D25&lt;32,10^(0.722762521*LOG10(32/193.609)^2)*S25,10^(0.722762521*LOG10(D25/193.609)^2)*S25)))))</f>
        <v>194.0088578451726</v>
      </c>
      <c r="U25" s="187" t="str">
        <f>IF(AF25=1,T25*AI25,"")</f>
        <v/>
      </c>
      <c r="V25" s="190">
        <f>IF('K2'!G23="","",'K2'!G23)</f>
        <v>5.84</v>
      </c>
      <c r="W25" s="184">
        <f>IF('K2'!K23="","",'K2'!K23)</f>
        <v>7.84</v>
      </c>
      <c r="X25" s="184">
        <f>IF('K2'!N23="","",'K2'!N23)</f>
        <v>7.5</v>
      </c>
      <c r="Y25" s="185"/>
      <c r="Z25" s="183"/>
      <c r="AA25" s="193"/>
      <c r="AB25" s="176"/>
      <c r="AC25" s="70">
        <f>U5</f>
        <v>45829</v>
      </c>
      <c r="AD25" s="84" t="str">
        <f t="shared" ref="AD25" si="22">IF(ISNUMBER(FIND("M",E25)),"m",IF(ISNUMBER(FIND("K",E25)),"k"))</f>
        <v>k</v>
      </c>
      <c r="AE25" s="85">
        <f t="shared" ref="AE25" si="23">IF(OR(G25="",AC25=""),0,(YEAR(AC25)-YEAR(G25)))</f>
        <v>15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19">
        <f>IF(D25="","",IF(D25&gt;193.609,1,IF(D25&lt;32,10^(0.722762521*LOG10(32/193.609)^2),10^(0.722762521*LOG10(D25/193.609)^2))))</f>
        <v>1.4945946598466966</v>
      </c>
    </row>
    <row r="26" spans="2:41" s="17" customFormat="1" ht="18" customHeight="1">
      <c r="B26" s="203"/>
      <c r="C26" s="212"/>
      <c r="D26" s="213"/>
      <c r="E26" s="213"/>
      <c r="F26" s="214"/>
      <c r="G26" s="215"/>
      <c r="H26" s="216"/>
      <c r="I26" s="211"/>
      <c r="J26" s="211"/>
      <c r="K26" s="289"/>
      <c r="L26" s="289"/>
      <c r="M26" s="289"/>
      <c r="N26" s="288"/>
      <c r="O26" s="288"/>
      <c r="P26" s="288"/>
      <c r="Q26" s="102"/>
      <c r="R26" s="140"/>
      <c r="S26" s="290">
        <f>IF(T25="","",T25*1.2)</f>
        <v>232.81062941420711</v>
      </c>
      <c r="T26" s="290"/>
      <c r="U26" s="177"/>
      <c r="V26" s="189">
        <f>IF(V25="","",V25*20)</f>
        <v>116.8</v>
      </c>
      <c r="W26" s="194">
        <f>IF(W25="","",(W25*10)*AJ25)</f>
        <v>117.17622133198103</v>
      </c>
      <c r="X26" s="195">
        <f>IF(X25="","",IF((80+(8-ROUNDUP(X25,1))*40)&lt;0,0,80+(8-ROUNDUP(X25,1))*40))</f>
        <v>100</v>
      </c>
      <c r="Y26" s="195">
        <f>IF(SUM(V26,W26,X26)&gt;0,SUM(V26,W26,X26),"")</f>
        <v>333.97622133198104</v>
      </c>
      <c r="Z26" s="196">
        <f>IF(AE25&gt;34,(IF(OR(S26="",V26="",W26="",X26=""),"",SUM(S26,V26,W26,X26))*AI25),IF(OR(S26="",V26="",W26="",X26=""),"", SUM(S26,V26,W26,X26)))</f>
        <v>566.78685074618807</v>
      </c>
      <c r="AA26" s="192">
        <v>2</v>
      </c>
      <c r="AB26" s="175"/>
      <c r="AC26" s="70"/>
    </row>
    <row r="27" spans="2:41" s="17" customFormat="1" ht="18" customHeight="1">
      <c r="B27" s="203">
        <v>2009029</v>
      </c>
      <c r="C27" s="220" t="s">
        <v>130</v>
      </c>
      <c r="D27" s="205">
        <v>78.03</v>
      </c>
      <c r="E27" s="206" t="s">
        <v>114</v>
      </c>
      <c r="F27" s="206" t="s">
        <v>125</v>
      </c>
      <c r="G27" s="208">
        <v>40071</v>
      </c>
      <c r="H27" s="209"/>
      <c r="I27" s="210" t="s">
        <v>131</v>
      </c>
      <c r="J27" s="211" t="s">
        <v>112</v>
      </c>
      <c r="K27" s="216">
        <v>44</v>
      </c>
      <c r="L27" s="218">
        <v>47</v>
      </c>
      <c r="M27" s="218">
        <v>50</v>
      </c>
      <c r="N27" s="216">
        <v>50</v>
      </c>
      <c r="O27" s="218">
        <v>54</v>
      </c>
      <c r="P27" s="218">
        <v>57</v>
      </c>
      <c r="Q27" s="180">
        <f>IF(MAX(K27:M27)&gt;0,IF(MAX(K27:M27)&lt;0,0,TRUNC(MAX(K27:M27)/1)*1),"")</f>
        <v>50</v>
      </c>
      <c r="R27" s="181">
        <f>IF(MAX(N27:P27)&gt;0,IF(MAX(N27:P27)&lt;0,0,TRUNC(MAX(N27:P27)/1)*1),"")</f>
        <v>57</v>
      </c>
      <c r="S27" s="182">
        <f>IF(Q27="","",IF(R27="","",IF(SUM(Q27:R27)=0,"",SUM(Q27:R27))))</f>
        <v>107</v>
      </c>
      <c r="T27" s="171">
        <f>IF(S27="","",IF(E27="","",IF((AD27="k"),IF(D27&gt;153.757,S27,IF(D27&lt;28,10^(0.787004341*LOG10(28/153.757)^2)*S27,10^(0.787004341*LOG10(D27/153.757)^2)*S27)),IF(D27&gt;193.609,S27,IF(D27&lt;32,10^(0.722762521*LOG10(32/193.609)^2)*S27,10^(0.722762521*LOG10(D27/193.609)^2)*S27)))))</f>
        <v>125.22032837582888</v>
      </c>
      <c r="U27" s="187" t="str">
        <f>IF(AF27=1,T27*AI27,"")</f>
        <v/>
      </c>
      <c r="V27" s="190">
        <f>IF('K2'!G25="","",'K2'!G25)</f>
        <v>5.44</v>
      </c>
      <c r="W27" s="184">
        <f>IF('K2'!K25="","",'K2'!K25)</f>
        <v>7.5</v>
      </c>
      <c r="X27" s="184">
        <f>IF('K2'!N25="","",'K2'!N25)</f>
        <v>7.8</v>
      </c>
      <c r="Y27" s="185"/>
      <c r="Z27" s="183"/>
      <c r="AA27" s="193"/>
      <c r="AB27" s="176"/>
      <c r="AC27" s="70">
        <f>U5</f>
        <v>45829</v>
      </c>
      <c r="AD27" s="84" t="str">
        <f t="shared" ref="AD27" si="25">IF(ISNUMBER(FIND("M",E27)),"m",IF(ISNUMBER(FIND("K",E27)),"k"))</f>
        <v>k</v>
      </c>
      <c r="AE27" s="85">
        <f t="shared" ref="AE27" si="26">IF(OR(G27="",AC27=""),0,(YEAR(AC27)-YEAR(G27)))</f>
        <v>16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b">
        <f t="shared" ref="AI27" si="27">IF(AD27="m",AG27,IF(AD27="k",AH27,""))</f>
        <v>0</v>
      </c>
      <c r="AJ27" s="119">
        <f>IF(D27="","",IF(D27&gt;193.609,1,IF(D27&lt;32,10^(0.722762521*LOG10(32/193.609)^2),10^(0.722762521*LOG10(D27/193.609)^2))))</f>
        <v>1.2959170885646725</v>
      </c>
    </row>
    <row r="28" spans="2:41" s="17" customFormat="1" ht="18" customHeight="1">
      <c r="B28" s="203"/>
      <c r="C28" s="212"/>
      <c r="D28" s="213"/>
      <c r="E28" s="213"/>
      <c r="F28" s="214"/>
      <c r="G28" s="215"/>
      <c r="H28" s="216"/>
      <c r="I28" s="211"/>
      <c r="J28" s="211"/>
      <c r="K28" s="289"/>
      <c r="L28" s="289"/>
      <c r="M28" s="289"/>
      <c r="N28" s="288"/>
      <c r="O28" s="288"/>
      <c r="P28" s="288"/>
      <c r="Q28" s="102"/>
      <c r="R28" s="140"/>
      <c r="S28" s="290">
        <f>IF(T27="","",T27*1.2)</f>
        <v>150.26439405099467</v>
      </c>
      <c r="T28" s="290"/>
      <c r="U28" s="177"/>
      <c r="V28" s="189">
        <f>IF(V27="","",V27*20)</f>
        <v>108.80000000000001</v>
      </c>
      <c r="W28" s="194">
        <f>IF(W27="","",(W27*10)*AJ27)</f>
        <v>97.19378164235043</v>
      </c>
      <c r="X28" s="195">
        <f>IF(X27="","",IF((80+(8-ROUNDUP(X27,1))*40)&lt;0,0,80+(8-ROUNDUP(X27,1))*40))</f>
        <v>88</v>
      </c>
      <c r="Y28" s="195">
        <f>IF(SUM(V28,W28,X28)&gt;0,SUM(V28,W28,X28),"")</f>
        <v>293.99378164235043</v>
      </c>
      <c r="Z28" s="196">
        <f>IF(AE27&gt;34,(IF(OR(S28="",V28="",W28="",X28=""),"",SUM(S28,V28,W28,X28))*AI27),IF(OR(S28="",V28="",W28="",X28=""),"", SUM(S28,V28,W28,X28)))</f>
        <v>444.25817569334509</v>
      </c>
      <c r="AA28" s="192">
        <v>3</v>
      </c>
      <c r="AB28" s="175"/>
      <c r="AC28" s="70"/>
    </row>
    <row r="29" spans="2:41" s="17" customFormat="1" ht="18" customHeight="1">
      <c r="B29" s="203">
        <v>2009034</v>
      </c>
      <c r="C29" s="220" t="s">
        <v>130</v>
      </c>
      <c r="D29" s="205">
        <v>81.91</v>
      </c>
      <c r="E29" s="206" t="s">
        <v>114</v>
      </c>
      <c r="F29" s="206" t="s">
        <v>125</v>
      </c>
      <c r="G29" s="208">
        <v>40113</v>
      </c>
      <c r="H29" s="209"/>
      <c r="I29" s="210" t="s">
        <v>132</v>
      </c>
      <c r="J29" s="211" t="s">
        <v>112</v>
      </c>
      <c r="K29" s="216">
        <v>30</v>
      </c>
      <c r="L29" s="218">
        <v>33</v>
      </c>
      <c r="M29" s="218">
        <v>35</v>
      </c>
      <c r="N29" s="216">
        <v>43</v>
      </c>
      <c r="O29" s="218">
        <v>-46</v>
      </c>
      <c r="P29" s="218">
        <v>46</v>
      </c>
      <c r="Q29" s="180">
        <f>IF(MAX(K29:M29)&gt;0,IF(MAX(K29:M29)&lt;0,0,TRUNC(MAX(K29:M29)/1)*1),"")</f>
        <v>35</v>
      </c>
      <c r="R29" s="181">
        <f>IF(MAX(N29:P29)&gt;0,IF(MAX(N29:P29)&lt;0,0,TRUNC(MAX(N29:P29)/1)*1),"")</f>
        <v>46</v>
      </c>
      <c r="S29" s="182">
        <f>IF(Q29="","",IF(R29="","",IF(SUM(Q29:R29)=0,"",SUM(Q29:R29))))</f>
        <v>81</v>
      </c>
      <c r="T29" s="171">
        <f>IF(S29="","",IF(E29="","",IF((AD29="k"),IF(D29&gt;153.757,S29,IF(D29&lt;28,10^(0.787004341*LOG10(28/153.757)^2)*S29,10^(0.787004341*LOG10(D29/153.757)^2)*S29)),IF(D29&gt;193.609,S29,IF(D29&lt;32,10^(0.722762521*LOG10(32/193.609)^2)*S29,10^(0.722762521*LOG10(D29/193.609)^2)*S29)))))</f>
        <v>92.758526435072312</v>
      </c>
      <c r="U29" s="187" t="str">
        <f>IF(AF29=1,T29*AI29,"")</f>
        <v/>
      </c>
      <c r="V29" s="190">
        <f>IF('K2'!G27="","",'K2'!G27)</f>
        <v>5.61</v>
      </c>
      <c r="W29" s="184">
        <f>IF('K2'!K27="","",'K2'!K27)</f>
        <v>6.3</v>
      </c>
      <c r="X29" s="184">
        <f>IF('K2'!N27="","",'K2'!N27)</f>
        <v>8.3000000000000007</v>
      </c>
      <c r="Y29" s="185"/>
      <c r="Z29" s="183"/>
      <c r="AA29" s="193"/>
      <c r="AB29" s="176"/>
      <c r="AC29" s="70">
        <f>U5</f>
        <v>45829</v>
      </c>
      <c r="AD29" s="84" t="str">
        <f t="shared" ref="AD29" si="28">IF(ISNUMBER(FIND("M",E29)),"m",IF(ISNUMBER(FIND("K",E29)),"k"))</f>
        <v>k</v>
      </c>
      <c r="AE29" s="85">
        <f t="shared" ref="AE29" si="29">IF(OR(G29="",AC29=""),0,(YEAR(AC29)-YEAR(G29)))</f>
        <v>16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b">
        <f t="shared" ref="AI29" si="30">IF(AD29="m",AG29,IF(AD29="k",AH29,""))</f>
        <v>0</v>
      </c>
      <c r="AJ29" s="119">
        <f>IF(D29="","",IF(D29&gt;193.609,1,IF(D29&lt;32,10^(0.722762521*LOG10(32/193.609)^2),10^(0.722762521*LOG10(D29/193.609)^2))))</f>
        <v>1.2614639610387215</v>
      </c>
    </row>
    <row r="30" spans="2:41" s="17" customFormat="1" ht="18" customHeight="1">
      <c r="B30" s="203"/>
      <c r="C30" s="212"/>
      <c r="D30" s="213"/>
      <c r="E30" s="213"/>
      <c r="F30" s="214"/>
      <c r="G30" s="215"/>
      <c r="H30" s="216"/>
      <c r="I30" s="211"/>
      <c r="J30" s="211"/>
      <c r="K30" s="289"/>
      <c r="L30" s="289"/>
      <c r="M30" s="289"/>
      <c r="N30" s="288"/>
      <c r="O30" s="288"/>
      <c r="P30" s="288"/>
      <c r="Q30" s="102"/>
      <c r="R30" s="140"/>
      <c r="S30" s="290">
        <f>IF(T29="","",T29*1.2)</f>
        <v>111.31023172208677</v>
      </c>
      <c r="T30" s="290"/>
      <c r="U30" s="177"/>
      <c r="V30" s="189">
        <f>IF(V29="","",V29*20)</f>
        <v>112.2</v>
      </c>
      <c r="W30" s="194">
        <f>IF(W29="","",(W29*10)*AJ29)</f>
        <v>79.472229545439461</v>
      </c>
      <c r="X30" s="195">
        <f>IF(X29="","",IF((80+(8-ROUNDUP(X29,1))*40)&lt;0,0,80+(8-ROUNDUP(X29,1))*40))</f>
        <v>67.999999999999972</v>
      </c>
      <c r="Y30" s="195">
        <f>IF(SUM(V30,W30,X30)&gt;0,SUM(V30,W30,X30),"")</f>
        <v>259.67222954543945</v>
      </c>
      <c r="Z30" s="196">
        <f>IF(AE29&gt;34,(IF(OR(S30="",V30="",W30="",X30=""),"",SUM(S30,V30,W30,X30))*AI29),IF(OR(S30="",V30="",W30="",X30=""),"", SUM(S30,V30,W30,X30)))</f>
        <v>370.98246126752622</v>
      </c>
      <c r="AA30" s="192">
        <v>4</v>
      </c>
      <c r="AB30" s="175"/>
      <c r="AC30" s="70"/>
    </row>
    <row r="31" spans="2:41" s="17" customFormat="1" ht="18" customHeight="1">
      <c r="B31" s="203"/>
      <c r="C31" s="220"/>
      <c r="D31" s="205"/>
      <c r="E31" s="206"/>
      <c r="F31" s="206"/>
      <c r="G31" s="208"/>
      <c r="H31" s="209"/>
      <c r="I31" s="210"/>
      <c r="J31" s="211"/>
      <c r="K31" s="216"/>
      <c r="L31" s="218"/>
      <c r="M31" s="218"/>
      <c r="N31" s="216"/>
      <c r="O31" s="218"/>
      <c r="P31" s="218"/>
      <c r="Q31" s="180" t="str">
        <f>IF(MAX(K31:M31)&gt;0,IF(MAX(K31:M31)&lt;0,0,TRUNC(MAX(K31:M31)/1)*1),"")</f>
        <v/>
      </c>
      <c r="R31" s="181" t="str">
        <f>IF(MAX(N31:P31)&gt;0,IF(MAX(N31:P31)&lt;0,0,TRUNC(MAX(N31:P31)/1)*1),"")</f>
        <v/>
      </c>
      <c r="S31" s="182" t="str">
        <f>IF(Q31="","",IF(R31="","",IF(SUM(Q31:R31)=0,"",SUM(Q31:R31))))</f>
        <v/>
      </c>
      <c r="T31" s="171" t="str">
        <f>IF(S31="","",IF(E31="","",IF((AD31="k"),IF(D31&gt;153.757,S31,IF(D31&lt;28,10^(0.787004341*LOG10(28/153.757)^2)*S31,10^(0.787004341*LOG10(D31/153.757)^2)*S31)),IF(D31&gt;193.609,S31,IF(D31&lt;32,10^(0.722762521*LOG10(32/193.609)^2)*S31,10^(0.722762521*LOG10(D31/193.609)^2)*S31)))))</f>
        <v/>
      </c>
      <c r="U31" s="187" t="str">
        <f>IF(AF31=1,T31*AI31,"")</f>
        <v/>
      </c>
      <c r="V31" s="190" t="str">
        <f>IF('K2'!G29="","",'K2'!G29)</f>
        <v/>
      </c>
      <c r="W31" s="184" t="str">
        <f>IF('K2'!K29="","",'K2'!K29)</f>
        <v/>
      </c>
      <c r="X31" s="184" t="str">
        <f>IF('K2'!N29="","",'K2'!N29)</f>
        <v/>
      </c>
      <c r="Y31" s="185" t="s">
        <v>13</v>
      </c>
      <c r="Z31" s="183"/>
      <c r="AA31" s="193"/>
      <c r="AB31" s="176"/>
      <c r="AC31" s="70">
        <f>U5</f>
        <v>45829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19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203"/>
      <c r="C32" s="212"/>
      <c r="D32" s="213"/>
      <c r="E32" s="213"/>
      <c r="F32" s="214"/>
      <c r="G32" s="215"/>
      <c r="H32" s="216"/>
      <c r="I32" s="211"/>
      <c r="J32" s="211"/>
      <c r="K32" s="289"/>
      <c r="L32" s="289"/>
      <c r="M32" s="289"/>
      <c r="N32" s="288"/>
      <c r="O32" s="288"/>
      <c r="P32" s="288"/>
      <c r="Q32" s="199"/>
      <c r="R32" s="198"/>
      <c r="S32" s="287" t="str">
        <f>IF(T31="","",T31*1.2)</f>
        <v/>
      </c>
      <c r="T32" s="287"/>
      <c r="U32" s="200"/>
      <c r="V32" s="197" t="str">
        <f>IF(V31="","",V31*20)</f>
        <v/>
      </c>
      <c r="W32" s="160" t="str">
        <f>IF(W31="","",(W31*10)*AJ31)</f>
        <v/>
      </c>
      <c r="X32" s="201" t="str">
        <f>IF(X31="","",IF((80+(8-ROUNDUP(X31,1))*40)&lt;0,0,80+(8-ROUNDUP(X31,1))*40))</f>
        <v/>
      </c>
      <c r="Y32" s="201" t="str">
        <f>IF(SUM(V32,W32,X32)&gt;0,SUM(V32,W32,X32),"")</f>
        <v/>
      </c>
      <c r="Z32" s="183" t="str">
        <f>IF(AE31&gt;34,(IF(OR(S32="",V32="",W32="",X32=""),"",SUM(S32,V32,W32,X32))*AI31),IF(OR(S32="",V32="",W32="",X32=""),"", SUM(S32,V32,W32,X32)))</f>
        <v/>
      </c>
      <c r="AA32" s="202"/>
      <c r="AB32" s="175"/>
      <c r="AC32" s="70"/>
    </row>
    <row r="33" spans="2:36" s="17" customFormat="1" ht="18" customHeight="1">
      <c r="B33" s="203"/>
      <c r="C33" s="220"/>
      <c r="D33" s="205"/>
      <c r="E33" s="206"/>
      <c r="F33" s="206"/>
      <c r="G33" s="208"/>
      <c r="H33" s="209"/>
      <c r="I33" s="210"/>
      <c r="J33" s="211"/>
      <c r="K33" s="216"/>
      <c r="L33" s="218"/>
      <c r="M33" s="218"/>
      <c r="N33" s="216"/>
      <c r="O33" s="218"/>
      <c r="P33" s="218"/>
      <c r="Q33" s="180" t="str">
        <f>IF(MAX(K33:M33)&gt;0,IF(MAX(K33:M33)&lt;0,0,TRUNC(MAX(K33:M33)/1)*1),"")</f>
        <v/>
      </c>
      <c r="R33" s="181" t="str">
        <f>IF(MAX(N33:P33)&gt;0,IF(MAX(N33:P33)&lt;0,0,TRUNC(MAX(N33:P33)/1)*1),"")</f>
        <v/>
      </c>
      <c r="S33" s="182" t="str">
        <f>IF(Q33="","",IF(R33="","",IF(SUM(Q33:R33)=0,"",SUM(Q33:R33))))</f>
        <v/>
      </c>
      <c r="T33" s="171" t="str">
        <f>IF(S33="","",IF(E33="","",IF((AD33="k"),IF(D33&gt;153.757,S33,IF(D33&lt;28,10^(0.787004341*LOG10(28/153.757)^2)*S33,10^(0.787004341*LOG10(D33/153.757)^2)*S33)),IF(D33&gt;193.609,S33,IF(D33&lt;32,10^(0.722762521*LOG10(32/193.609)^2)*S33,10^(0.722762521*LOG10(D33/193.609)^2)*S33)))))</f>
        <v/>
      </c>
      <c r="U33" s="187" t="str">
        <f>IF(AF33=1,T33*AI33,"")</f>
        <v/>
      </c>
      <c r="V33" s="190" t="str">
        <f>IF('K2'!G31="","",'K2'!G31)</f>
        <v/>
      </c>
      <c r="W33" s="184" t="str">
        <f>IF('K2'!K31="","",'K2'!K31)</f>
        <v/>
      </c>
      <c r="X33" s="184" t="str">
        <f>IF('K2'!N31="","",'K2'!N31)</f>
        <v/>
      </c>
      <c r="Y33" s="185" t="s">
        <v>13</v>
      </c>
      <c r="Z33" s="183"/>
      <c r="AA33" s="193"/>
      <c r="AB33" s="176"/>
      <c r="AC33" s="70">
        <f>U5</f>
        <v>45829</v>
      </c>
      <c r="AD33" s="84" t="b">
        <f t="shared" ref="AD33" si="34">IF(ISNUMBER(FIND("M",E33)),"m",IF(ISNUMBER(FIND("K",E33)),"k"))</f>
        <v>0</v>
      </c>
      <c r="AE33" s="85">
        <f t="shared" ref="AE33" si="35">IF(OR(G33="",AC33=""),0,(YEAR(AC33)-YEAR(G33)))</f>
        <v>0</v>
      </c>
      <c r="AF33" s="86" t="str">
        <f t="shared" ref="AF33" si="36">IF(AE33&gt;34,1,"")</f>
        <v/>
      </c>
      <c r="AG33" s="87" t="b">
        <f>IF(AF33=1,LOOKUP(AE33,'Meltzer-Faber'!A5:A65,'Meltzer-Faber'!B5:B65))</f>
        <v>0</v>
      </c>
      <c r="AH33" s="87" t="b">
        <f>IF(AF33=1,LOOKUP(AE33,'Meltzer-Faber'!A5:A65,'Meltzer-Faber'!C5:C65))</f>
        <v>0</v>
      </c>
      <c r="AI33" s="87" t="str">
        <f t="shared" ref="AI33" si="37">IF(AD33="m",AG33,IF(AD33="k",AH33,""))</f>
        <v/>
      </c>
      <c r="AJ33" s="119" t="str">
        <f>IF(D33="","",IF(D33&gt;193.609,1,IF(D33&lt;32,10^(0.722762521*LOG10(32/193.609)^2),10^(0.722762521*LOG10(D33/193.609)^2))))</f>
        <v/>
      </c>
    </row>
    <row r="34" spans="2:36" s="17" customFormat="1" ht="18" customHeight="1">
      <c r="B34" s="203"/>
      <c r="C34" s="212"/>
      <c r="D34" s="213"/>
      <c r="E34" s="213"/>
      <c r="F34" s="214"/>
      <c r="G34" s="215"/>
      <c r="H34" s="216"/>
      <c r="I34" s="211"/>
      <c r="J34" s="211"/>
      <c r="K34" s="289"/>
      <c r="L34" s="289"/>
      <c r="M34" s="289"/>
      <c r="N34" s="288"/>
      <c r="O34" s="288"/>
      <c r="P34" s="288"/>
      <c r="Q34" s="199"/>
      <c r="R34" s="198"/>
      <c r="S34" s="287" t="str">
        <f>IF(T33="","",T33*1.2)</f>
        <v/>
      </c>
      <c r="T34" s="287"/>
      <c r="U34" s="200"/>
      <c r="V34" s="197" t="str">
        <f>IF(V33="","",V33*20)</f>
        <v/>
      </c>
      <c r="W34" s="160" t="str">
        <f>IF(W33="","",(W33*10)*AJ33)</f>
        <v/>
      </c>
      <c r="X34" s="201" t="str">
        <f>IF(X33="","",IF((80+(8-ROUNDUP(X33,1))*40)&lt;0,0,80+(8-ROUNDUP(X33,1))*40))</f>
        <v/>
      </c>
      <c r="Y34" s="201" t="str">
        <f>IF(SUM(V34,W34,X34)&gt;0,SUM(V34,W34,X34),"")</f>
        <v/>
      </c>
      <c r="Z34" s="183" t="str">
        <f>IF(AE33&gt;34,(IF(OR(S34="",V34="",W34="",X34=""),"",SUM(S34,V34,W34,X34))*AI33),IF(OR(S34="",V34="",W34="",X34=""),"", SUM(S34,V34,W34,X34)))</f>
        <v/>
      </c>
      <c r="AA34" s="202"/>
      <c r="AB34" s="175"/>
      <c r="AC34" s="70"/>
    </row>
    <row r="35" spans="2:36" s="17" customFormat="1" ht="19" customHeight="1">
      <c r="C35" s="71"/>
      <c r="D35" s="71"/>
      <c r="E35" s="71"/>
      <c r="F35" s="72"/>
      <c r="G35" s="73"/>
      <c r="H35" s="73"/>
      <c r="I35" s="74"/>
      <c r="J35" s="74"/>
      <c r="K35" s="75"/>
      <c r="L35" s="75"/>
      <c r="M35" s="75"/>
      <c r="N35" s="75"/>
      <c r="O35" s="75"/>
      <c r="P35" s="75"/>
      <c r="Q35" s="71"/>
      <c r="R35" s="71"/>
      <c r="S35" s="71"/>
      <c r="T35" s="71"/>
      <c r="U35" s="71"/>
      <c r="V35" s="75"/>
      <c r="W35" s="75"/>
      <c r="X35" s="76"/>
      <c r="Y35" s="76"/>
      <c r="Z35" s="77"/>
      <c r="AA35" s="78"/>
      <c r="AB35" s="79"/>
    </row>
    <row r="36" spans="2:36" s="17" customFormat="1" ht="21" customHeight="1">
      <c r="C36" s="71"/>
      <c r="D36" s="71"/>
      <c r="E36" s="71"/>
      <c r="F36" s="72"/>
      <c r="G36" s="73"/>
      <c r="H36" s="73"/>
      <c r="I36" s="74"/>
      <c r="J36" s="74"/>
      <c r="K36" s="75"/>
      <c r="L36" s="75"/>
      <c r="M36" s="75"/>
      <c r="N36" s="75"/>
      <c r="O36" s="75"/>
      <c r="P36" s="75"/>
      <c r="Q36" s="71"/>
      <c r="R36" s="71"/>
      <c r="S36" s="71"/>
      <c r="T36" s="71"/>
      <c r="U36" s="71"/>
      <c r="V36" s="75"/>
      <c r="W36" s="75"/>
      <c r="X36" s="76"/>
      <c r="Y36" s="76"/>
      <c r="Z36" s="77"/>
      <c r="AA36" s="78"/>
      <c r="AB36" s="79"/>
    </row>
    <row r="37" spans="2:36" ht="23" customHeight="1">
      <c r="B37" s="282" t="s">
        <v>70</v>
      </c>
      <c r="C37" s="283"/>
      <c r="D37" s="141" t="s">
        <v>69</v>
      </c>
      <c r="E37" s="282" t="s">
        <v>6</v>
      </c>
      <c r="F37" s="284"/>
      <c r="G37" s="284"/>
      <c r="H37" s="283"/>
      <c r="I37" s="142" t="s">
        <v>28</v>
      </c>
      <c r="J37" s="80"/>
      <c r="K37" s="282" t="s">
        <v>70</v>
      </c>
      <c r="L37" s="284"/>
      <c r="M37" s="283"/>
      <c r="N37" s="143" t="s">
        <v>69</v>
      </c>
      <c r="O37" s="270" t="s">
        <v>6</v>
      </c>
      <c r="P37" s="285"/>
      <c r="Q37" s="285"/>
      <c r="R37" s="271"/>
      <c r="S37" s="270" t="s">
        <v>28</v>
      </c>
      <c r="T37" s="271"/>
      <c r="AC37" s="4"/>
      <c r="AD37" s="4"/>
      <c r="AE37" s="4"/>
      <c r="AF37" s="1"/>
      <c r="AH37" s="121"/>
      <c r="AI37" s="121"/>
    </row>
    <row r="38" spans="2:36" s="6" customFormat="1" ht="20" customHeight="1">
      <c r="B38" s="239" t="s">
        <v>71</v>
      </c>
      <c r="C38" s="240"/>
      <c r="D38" s="144"/>
      <c r="E38" s="274"/>
      <c r="F38" s="275"/>
      <c r="G38" s="275"/>
      <c r="H38" s="273"/>
      <c r="I38" s="145"/>
      <c r="J38" s="5"/>
      <c r="K38" s="272" t="s">
        <v>72</v>
      </c>
      <c r="L38" s="275"/>
      <c r="M38" s="273"/>
      <c r="N38" s="242">
        <v>1994027</v>
      </c>
      <c r="O38" s="276" t="s">
        <v>172</v>
      </c>
      <c r="P38" s="277"/>
      <c r="Q38" s="277"/>
      <c r="R38" s="278"/>
      <c r="S38" s="276" t="s">
        <v>94</v>
      </c>
      <c r="T38" s="279"/>
      <c r="AF38" s="1"/>
      <c r="AH38" s="146"/>
      <c r="AI38" s="146"/>
    </row>
    <row r="39" spans="2:36" s="6" customFormat="1" ht="21" customHeight="1">
      <c r="B39" s="235" t="s">
        <v>73</v>
      </c>
      <c r="C39" s="236"/>
      <c r="D39" s="147">
        <v>1999007</v>
      </c>
      <c r="E39" s="264" t="s">
        <v>171</v>
      </c>
      <c r="F39" s="265"/>
      <c r="G39" s="265"/>
      <c r="H39" s="263"/>
      <c r="I39" s="148" t="s">
        <v>94</v>
      </c>
      <c r="J39" s="5"/>
      <c r="K39" s="262" t="s">
        <v>74</v>
      </c>
      <c r="L39" s="265"/>
      <c r="M39" s="263"/>
      <c r="N39" s="149"/>
      <c r="O39" s="266"/>
      <c r="P39" s="267"/>
      <c r="Q39" s="267"/>
      <c r="R39" s="268"/>
      <c r="S39" s="266"/>
      <c r="T39" s="269"/>
      <c r="AH39" s="146"/>
      <c r="AI39" s="146"/>
    </row>
    <row r="40" spans="2:36" s="6" customFormat="1" ht="19" customHeight="1">
      <c r="B40" s="235" t="s">
        <v>73</v>
      </c>
      <c r="C40" s="236"/>
      <c r="D40" s="147">
        <v>1977007</v>
      </c>
      <c r="E40" s="264" t="s">
        <v>174</v>
      </c>
      <c r="F40" s="265"/>
      <c r="G40" s="265"/>
      <c r="H40" s="263"/>
      <c r="I40" s="148" t="s">
        <v>94</v>
      </c>
      <c r="J40" s="5"/>
      <c r="K40" s="262" t="s">
        <v>75</v>
      </c>
      <c r="L40" s="265"/>
      <c r="M40" s="263"/>
      <c r="N40" s="149"/>
      <c r="O40" s="266"/>
      <c r="P40" s="267"/>
      <c r="Q40" s="267"/>
      <c r="R40" s="268"/>
      <c r="S40" s="237"/>
      <c r="T40" s="238"/>
      <c r="V40" s="6" t="s">
        <v>76</v>
      </c>
      <c r="AH40" s="146"/>
      <c r="AI40" s="146"/>
    </row>
    <row r="41" spans="2:36" s="6" customFormat="1" ht="21" customHeight="1">
      <c r="B41" s="235" t="s">
        <v>73</v>
      </c>
      <c r="C41" s="236"/>
      <c r="D41" s="147">
        <v>2004022</v>
      </c>
      <c r="E41" s="264" t="s">
        <v>159</v>
      </c>
      <c r="F41" s="265"/>
      <c r="G41" s="265"/>
      <c r="H41" s="263"/>
      <c r="I41" s="148" t="s">
        <v>142</v>
      </c>
      <c r="J41" s="5"/>
      <c r="K41" s="262" t="s">
        <v>77</v>
      </c>
      <c r="L41" s="265"/>
      <c r="M41" s="263"/>
      <c r="N41" s="149"/>
      <c r="O41" s="266"/>
      <c r="P41" s="267"/>
      <c r="Q41" s="267"/>
      <c r="R41" s="268"/>
      <c r="S41" s="237"/>
      <c r="T41" s="238"/>
      <c r="AD41" s="6" t="s">
        <v>13</v>
      </c>
      <c r="AH41" s="146"/>
      <c r="AI41" s="146"/>
    </row>
    <row r="42" spans="2:36" s="6" customFormat="1" ht="20" customHeight="1">
      <c r="B42" s="235" t="s">
        <v>73</v>
      </c>
      <c r="C42" s="236"/>
      <c r="D42" s="147"/>
      <c r="E42" s="264"/>
      <c r="F42" s="265"/>
      <c r="G42" s="265"/>
      <c r="H42" s="263"/>
      <c r="I42" s="148"/>
      <c r="J42" s="5"/>
      <c r="K42" s="262" t="s">
        <v>77</v>
      </c>
      <c r="L42" s="265"/>
      <c r="M42" s="263"/>
      <c r="N42" s="149"/>
      <c r="O42" s="266"/>
      <c r="P42" s="267"/>
      <c r="Q42" s="267"/>
      <c r="R42" s="268"/>
      <c r="S42" s="237"/>
      <c r="T42" s="238"/>
      <c r="AH42" s="146"/>
      <c r="AI42" s="146"/>
    </row>
    <row r="43" spans="2:36" s="4" customFormat="1" ht="19" customHeight="1">
      <c r="B43" s="235" t="s">
        <v>73</v>
      </c>
      <c r="C43" s="236"/>
      <c r="D43" s="147"/>
      <c r="E43" s="264"/>
      <c r="F43" s="265"/>
      <c r="G43" s="265"/>
      <c r="H43" s="263"/>
      <c r="I43" s="148"/>
      <c r="K43" s="262" t="s">
        <v>77</v>
      </c>
      <c r="L43" s="265"/>
      <c r="M43" s="263"/>
      <c r="N43" s="149"/>
      <c r="O43" s="266"/>
      <c r="P43" s="267"/>
      <c r="Q43" s="267"/>
      <c r="R43" s="268"/>
      <c r="S43" s="237"/>
      <c r="T43" s="238"/>
      <c r="AH43" s="3"/>
      <c r="AI43" s="3"/>
    </row>
    <row r="44" spans="2:36" s="4" customFormat="1" ht="20" customHeight="1">
      <c r="B44" s="235" t="s">
        <v>78</v>
      </c>
      <c r="C44" s="236"/>
      <c r="D44" s="147"/>
      <c r="E44" s="264"/>
      <c r="F44" s="265"/>
      <c r="G44" s="265"/>
      <c r="H44" s="263"/>
      <c r="I44" s="148"/>
      <c r="K44" s="262" t="s">
        <v>79</v>
      </c>
      <c r="L44" s="265"/>
      <c r="M44" s="263"/>
      <c r="N44" s="149">
        <v>2001014</v>
      </c>
      <c r="O44" s="264" t="s">
        <v>176</v>
      </c>
      <c r="P44" s="265"/>
      <c r="Q44" s="265"/>
      <c r="R44" s="263"/>
      <c r="S44" s="237" t="s">
        <v>94</v>
      </c>
      <c r="T44" s="238"/>
      <c r="AH44" s="3"/>
      <c r="AI44" s="3"/>
    </row>
    <row r="45" spans="2:36" s="4" customFormat="1" ht="20" customHeight="1">
      <c r="B45" s="226"/>
      <c r="C45" s="230"/>
      <c r="D45" s="150"/>
      <c r="E45" s="264"/>
      <c r="F45" s="265"/>
      <c r="G45" s="265"/>
      <c r="H45" s="263"/>
      <c r="I45" s="151"/>
      <c r="K45" s="226"/>
      <c r="L45" s="227"/>
      <c r="M45" s="230"/>
      <c r="N45" s="152"/>
      <c r="O45" s="231"/>
      <c r="P45" s="232"/>
      <c r="Q45" s="232"/>
      <c r="R45" s="233"/>
      <c r="S45" s="231"/>
      <c r="T45" s="234"/>
      <c r="AH45" s="3"/>
      <c r="AI45" s="3"/>
    </row>
    <row r="46" spans="2:36" s="4" customFormat="1" ht="19" customHeight="1">
      <c r="B46" s="229"/>
      <c r="C46" s="229"/>
      <c r="D46" s="153"/>
      <c r="E46" s="153"/>
      <c r="F46" s="153"/>
      <c r="G46" s="153"/>
      <c r="H46" s="153"/>
      <c r="I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AH46" s="3"/>
      <c r="AI46" s="3"/>
    </row>
    <row r="47" spans="2:36" s="4" customFormat="1" ht="18" customHeight="1">
      <c r="B47" s="223" t="s">
        <v>80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5"/>
      <c r="AH47" s="3"/>
      <c r="AI47" s="3"/>
    </row>
    <row r="48" spans="2:36" s="4" customFormat="1" ht="18" customHeight="1">
      <c r="B48" s="226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8"/>
      <c r="AH48" s="3"/>
      <c r="AI48" s="3"/>
    </row>
    <row r="49" spans="3:28" s="4" customFormat="1">
      <c r="C49" s="1"/>
      <c r="D49" s="1"/>
      <c r="E49" s="2"/>
      <c r="F49" s="3"/>
      <c r="G49" s="3"/>
      <c r="H49" s="3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</row>
    <row r="50" spans="3:28">
      <c r="M50" s="81"/>
    </row>
    <row r="51" spans="3:28">
      <c r="M51" s="1"/>
    </row>
    <row r="52" spans="3:28">
      <c r="M52" s="1"/>
    </row>
    <row r="53" spans="3:28">
      <c r="M53" s="1"/>
    </row>
  </sheetData>
  <mergeCells count="81">
    <mergeCell ref="K30:M30"/>
    <mergeCell ref="N30:P30"/>
    <mergeCell ref="S30:T30"/>
    <mergeCell ref="E38:H38"/>
    <mergeCell ref="K34:M34"/>
    <mergeCell ref="N34:P34"/>
    <mergeCell ref="S34:T34"/>
    <mergeCell ref="S38:T38"/>
    <mergeCell ref="K49:AB49"/>
    <mergeCell ref="K24:M24"/>
    <mergeCell ref="N24:P24"/>
    <mergeCell ref="S24:T24"/>
    <mergeCell ref="K26:M26"/>
    <mergeCell ref="N26:P26"/>
    <mergeCell ref="S26:T26"/>
    <mergeCell ref="K32:M32"/>
    <mergeCell ref="N32:P32"/>
    <mergeCell ref="S32:T32"/>
    <mergeCell ref="K28:M28"/>
    <mergeCell ref="N28:P28"/>
    <mergeCell ref="S28:T28"/>
    <mergeCell ref="S39:T39"/>
    <mergeCell ref="K38:M38"/>
    <mergeCell ref="O38:R38"/>
    <mergeCell ref="K20:M20"/>
    <mergeCell ref="N20:P20"/>
    <mergeCell ref="S20:T20"/>
    <mergeCell ref="K22:M22"/>
    <mergeCell ref="N22:P22"/>
    <mergeCell ref="S22:T22"/>
    <mergeCell ref="U5:V5"/>
    <mergeCell ref="K10:M10"/>
    <mergeCell ref="N10:P10"/>
    <mergeCell ref="S10:T10"/>
    <mergeCell ref="K7:M7"/>
    <mergeCell ref="N7:P7"/>
    <mergeCell ref="Q7:T7"/>
    <mergeCell ref="K8:M8"/>
    <mergeCell ref="N8:P8"/>
    <mergeCell ref="G2:R2"/>
    <mergeCell ref="G3:R3"/>
    <mergeCell ref="D5:I5"/>
    <mergeCell ref="K5:N5"/>
    <mergeCell ref="P5:S5"/>
    <mergeCell ref="B7:B8"/>
    <mergeCell ref="K12:M12"/>
    <mergeCell ref="N12:P12"/>
    <mergeCell ref="S12:T12"/>
    <mergeCell ref="K14:M14"/>
    <mergeCell ref="N14:P14"/>
    <mergeCell ref="S14:T14"/>
    <mergeCell ref="K16:M16"/>
    <mergeCell ref="N16:P16"/>
    <mergeCell ref="S16:T16"/>
    <mergeCell ref="K18:M18"/>
    <mergeCell ref="N18:P18"/>
    <mergeCell ref="S18:T18"/>
    <mergeCell ref="E40:H40"/>
    <mergeCell ref="K40:M40"/>
    <mergeCell ref="O40:R40"/>
    <mergeCell ref="E39:H39"/>
    <mergeCell ref="K39:M39"/>
    <mergeCell ref="O39:R39"/>
    <mergeCell ref="B37:C37"/>
    <mergeCell ref="E37:H37"/>
    <mergeCell ref="K37:M37"/>
    <mergeCell ref="O37:R37"/>
    <mergeCell ref="S37:T37"/>
    <mergeCell ref="E42:H42"/>
    <mergeCell ref="K42:M42"/>
    <mergeCell ref="O42:R42"/>
    <mergeCell ref="E41:H41"/>
    <mergeCell ref="K41:M41"/>
    <mergeCell ref="O41:R41"/>
    <mergeCell ref="E45:H45"/>
    <mergeCell ref="E44:H44"/>
    <mergeCell ref="K44:M44"/>
    <mergeCell ref="O44:R44"/>
    <mergeCell ref="E43:H43"/>
    <mergeCell ref="K43:M43"/>
    <mergeCell ref="O43:R43"/>
  </mergeCells>
  <conditionalFormatting sqref="K9:P9">
    <cfRule type="cellIs" dxfId="97" priority="13" stopIfTrue="1" operator="between">
      <formula>1</formula>
      <formula>300</formula>
    </cfRule>
    <cfRule type="cellIs" dxfId="96" priority="14" stopIfTrue="1" operator="lessThanOrEqual">
      <formula>0</formula>
    </cfRule>
  </conditionalFormatting>
  <conditionalFormatting sqref="K11:P11">
    <cfRule type="cellIs" dxfId="95" priority="1" stopIfTrue="1" operator="between">
      <formula>1</formula>
      <formula>300</formula>
    </cfRule>
    <cfRule type="cellIs" dxfId="94" priority="2" stopIfTrue="1" operator="lessThanOrEqual">
      <formula>0</formula>
    </cfRule>
  </conditionalFormatting>
  <conditionalFormatting sqref="K13:P13">
    <cfRule type="cellIs" dxfId="93" priority="11" stopIfTrue="1" operator="between">
      <formula>1</formula>
      <formula>300</formula>
    </cfRule>
    <cfRule type="cellIs" dxfId="92" priority="12" stopIfTrue="1" operator="lessThanOrEqual">
      <formula>0</formula>
    </cfRule>
  </conditionalFormatting>
  <conditionalFormatting sqref="K15:P15">
    <cfRule type="cellIs" dxfId="91" priority="9" stopIfTrue="1" operator="between">
      <formula>1</formula>
      <formula>300</formula>
    </cfRule>
    <cfRule type="cellIs" dxfId="90" priority="10" stopIfTrue="1" operator="lessThanOrEqual">
      <formula>0</formula>
    </cfRule>
  </conditionalFormatting>
  <conditionalFormatting sqref="K17:P17">
    <cfRule type="cellIs" dxfId="89" priority="4" stopIfTrue="1" operator="lessThanOrEqual">
      <formula>0</formula>
    </cfRule>
    <cfRule type="cellIs" dxfId="88" priority="3" stopIfTrue="1" operator="between">
      <formula>1</formula>
      <formula>300</formula>
    </cfRule>
  </conditionalFormatting>
  <conditionalFormatting sqref="K19:P19">
    <cfRule type="cellIs" dxfId="87" priority="19" stopIfTrue="1" operator="between">
      <formula>1</formula>
      <formula>300</formula>
    </cfRule>
    <cfRule type="cellIs" dxfId="86" priority="20" stopIfTrue="1" operator="lessThanOrEqual">
      <formula>0</formula>
    </cfRule>
  </conditionalFormatting>
  <conditionalFormatting sqref="K21:P21">
    <cfRule type="cellIs" dxfId="85" priority="15" stopIfTrue="1" operator="between">
      <formula>1</formula>
      <formula>300</formula>
    </cfRule>
    <cfRule type="cellIs" dxfId="84" priority="16" stopIfTrue="1" operator="lessThanOrEqual">
      <formula>0</formula>
    </cfRule>
  </conditionalFormatting>
  <conditionalFormatting sqref="K23:P23">
    <cfRule type="cellIs" dxfId="83" priority="21" stopIfTrue="1" operator="between">
      <formula>1</formula>
      <formula>300</formula>
    </cfRule>
    <cfRule type="cellIs" dxfId="82" priority="22" stopIfTrue="1" operator="lessThanOrEqual">
      <formula>0</formula>
    </cfRule>
  </conditionalFormatting>
  <conditionalFormatting sqref="K25:P25">
    <cfRule type="cellIs" dxfId="81" priority="7" stopIfTrue="1" operator="between">
      <formula>1</formula>
      <formula>300</formula>
    </cfRule>
    <cfRule type="cellIs" dxfId="80" priority="8" stopIfTrue="1" operator="lessThanOrEqual">
      <formula>0</formula>
    </cfRule>
  </conditionalFormatting>
  <conditionalFormatting sqref="K25:P27">
    <cfRule type="cellIs" dxfId="79" priority="5" stopIfTrue="1" operator="between">
      <formula>1</formula>
      <formula>300</formula>
    </cfRule>
    <cfRule type="cellIs" dxfId="78" priority="6" stopIfTrue="1" operator="lessThanOrEqual">
      <formula>0</formula>
    </cfRule>
  </conditionalFormatting>
  <conditionalFormatting sqref="K29:P29">
    <cfRule type="cellIs" dxfId="77" priority="17" stopIfTrue="1" operator="between">
      <formula>1</formula>
      <formula>300</formula>
    </cfRule>
    <cfRule type="cellIs" dxfId="76" priority="18" stopIfTrue="1" operator="lessThanOrEqual">
      <formula>0</formula>
    </cfRule>
  </conditionalFormatting>
  <conditionalFormatting sqref="K31:P31">
    <cfRule type="cellIs" dxfId="75" priority="27" stopIfTrue="1" operator="between">
      <formula>1</formula>
      <formula>300</formula>
    </cfRule>
    <cfRule type="cellIs" dxfId="74" priority="28" stopIfTrue="1" operator="lessThanOrEqual">
      <formula>0</formula>
    </cfRule>
  </conditionalFormatting>
  <conditionalFormatting sqref="K33:P34">
    <cfRule type="cellIs" dxfId="73" priority="29" stopIfTrue="1" operator="between">
      <formula>1</formula>
      <formula>300</formula>
    </cfRule>
    <cfRule type="cellIs" dxfId="72" priority="30" stopIfTrue="1" operator="lessThanOrEqual">
      <formula>0</formula>
    </cfRule>
  </conditionalFormatting>
  <dataValidations disablePrompts="1" count="5">
    <dataValidation type="list" allowBlank="1" showInputMessage="1" showErrorMessage="1" sqref="E33 E31 E9 E29 E27 E19 E13 E17 E25 E21 E23 E11 E15" xr:uid="{B3FDF14E-D0A3-E245-8037-571FA7DC2392}">
      <formula1>"UM,JM,SM,UK,JK,SK,M35,M40,M45,M50,M55,M60,M65,M70,M75,M80,M85,M90,K35,K40,K45,K50,K55,K60,K65,K70,K75,K80,K85,K90"</formula1>
    </dataValidation>
    <dataValidation type="list" allowBlank="1" showInputMessage="1" showErrorMessage="1" sqref="C31 C33 C9 C11 C25 C15 C17 C19 C29 C23 C21 C27 C13" xr:uid="{B700C764-BCD0-2044-996F-DE891DE0D57C}">
      <formula1>"44,48,53,56,58,60,63,65,69,71,77,'+77,79,86,'+86,88,94,'+94,110,'+110"</formula1>
    </dataValidation>
    <dataValidation type="list" allowBlank="1" showInputMessage="1" showErrorMessage="1" errorTitle="Feil_i_kat. 5-kamp" error="Feil verdi i kategori 5-kamp" sqref="F33 F31 F9 F11 F13 F15 F17 F19 F21 F23 F25 F27 F29" xr:uid="{474B421B-CA36-FE47-825E-D95E4B8EB2BA}">
      <formula1>"11-12,13-14,15-16,17-18,19-23,24-34,+35"</formula1>
    </dataValidation>
    <dataValidation type="list" allowBlank="1" showInputMessage="1" showErrorMessage="1" sqref="D5:I5" xr:uid="{058FC38B-E3BD-5C4A-86CE-5C36C3F42586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8:C45 K38:K45 L38:M39 L45:M45" xr:uid="{82ED05C3-51D4-3443-A2C7-A2EBB4359990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5665-7558-5540-9310-BE3E9A3BD696}">
  <sheetPr>
    <pageSetUpPr fitToPage="1"/>
  </sheetPr>
  <dimension ref="A1:AO51"/>
  <sheetViews>
    <sheetView showGridLines="0" showRowColHeaders="0" showZeros="0" zoomScale="99" zoomScaleNormal="99" workbookViewId="0">
      <selection activeCell="B9" sqref="B9"/>
    </sheetView>
  </sheetViews>
  <sheetFormatPr baseColWidth="10" defaultColWidth="9.19921875" defaultRowHeight="13"/>
  <cols>
    <col min="1" max="1" width="4.3984375" customWidth="1"/>
    <col min="2" max="2" width="10.19921875" customWidth="1"/>
    <col min="3" max="3" width="7" style="7" customWidth="1"/>
    <col min="4" max="4" width="8" style="7" customWidth="1"/>
    <col min="5" max="5" width="5.796875" style="7" customWidth="1"/>
    <col min="6" max="6" width="7.59765625" style="7" customWidth="1"/>
    <col min="7" max="7" width="10.59765625" style="7" customWidth="1"/>
    <col min="8" max="8" width="4.3984375" style="7" customWidth="1"/>
    <col min="9" max="9" width="27.796875" customWidth="1"/>
    <col min="10" max="10" width="20.59765625" customWidth="1"/>
    <col min="11" max="19" width="6.796875" style="7" customWidth="1"/>
    <col min="20" max="23" width="8" style="7" customWidth="1"/>
    <col min="24" max="24" width="9" style="7" customWidth="1"/>
    <col min="25" max="26" width="8" style="7" customWidth="1"/>
    <col min="27" max="27" width="5.59765625" style="7" customWidth="1"/>
    <col min="28" max="28" width="5" style="7" customWidth="1"/>
    <col min="29" max="29" width="9.3984375" hidden="1" customWidth="1"/>
    <col min="30" max="34" width="9.19921875" hidden="1" customWidth="1"/>
    <col min="35" max="35" width="0.19921875" hidden="1" customWidth="1"/>
    <col min="36" max="36" width="10.1992187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251" t="s">
        <v>44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U2" s="67" t="s">
        <v>49</v>
      </c>
      <c r="Z2"/>
      <c r="AA2"/>
      <c r="AB2"/>
    </row>
    <row r="3" spans="1:36" ht="29">
      <c r="A3" s="7"/>
      <c r="B3" s="7"/>
      <c r="E3" s="68"/>
      <c r="G3" s="252" t="s">
        <v>17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154" t="s">
        <v>50</v>
      </c>
      <c r="T3" s="154"/>
      <c r="U3" s="154"/>
      <c r="V3" s="154"/>
      <c r="W3" s="154"/>
      <c r="X3" s="154"/>
      <c r="Y3" s="154"/>
      <c r="Z3" s="154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55" t="s">
        <v>16</v>
      </c>
      <c r="D5" s="253" t="s">
        <v>85</v>
      </c>
      <c r="E5" s="253"/>
      <c r="F5" s="253"/>
      <c r="G5" s="253"/>
      <c r="H5" s="253"/>
      <c r="I5" s="253"/>
      <c r="J5" s="155" t="s">
        <v>0</v>
      </c>
      <c r="K5" s="253"/>
      <c r="L5" s="253"/>
      <c r="M5" s="253"/>
      <c r="N5" s="253"/>
      <c r="O5" s="155" t="s">
        <v>1</v>
      </c>
      <c r="P5" s="254"/>
      <c r="Q5" s="254"/>
      <c r="R5" s="254"/>
      <c r="S5" s="254"/>
      <c r="T5" s="155" t="s">
        <v>2</v>
      </c>
      <c r="U5" s="243">
        <v>45829</v>
      </c>
      <c r="V5" s="243"/>
      <c r="W5" s="156"/>
      <c r="X5" s="156"/>
      <c r="Y5" s="156"/>
      <c r="Z5" s="157" t="s">
        <v>15</v>
      </c>
      <c r="AA5" s="157"/>
      <c r="AB5" s="158">
        <v>3</v>
      </c>
      <c r="AH5" s="146"/>
      <c r="AI5" s="146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280" t="s">
        <v>69</v>
      </c>
      <c r="C7" s="132" t="s">
        <v>3</v>
      </c>
      <c r="D7" s="133" t="s">
        <v>4</v>
      </c>
      <c r="E7" s="134" t="s">
        <v>18</v>
      </c>
      <c r="F7" s="135" t="s">
        <v>18</v>
      </c>
      <c r="G7" s="136" t="s">
        <v>5</v>
      </c>
      <c r="H7" s="136" t="s">
        <v>19</v>
      </c>
      <c r="I7" s="136" t="s">
        <v>6</v>
      </c>
      <c r="J7" s="136" t="s">
        <v>7</v>
      </c>
      <c r="K7" s="291" t="s">
        <v>8</v>
      </c>
      <c r="L7" s="292"/>
      <c r="M7" s="293"/>
      <c r="N7" s="291" t="s">
        <v>9</v>
      </c>
      <c r="O7" s="292"/>
      <c r="P7" s="293"/>
      <c r="Q7" s="294" t="s">
        <v>20</v>
      </c>
      <c r="R7" s="295"/>
      <c r="S7" s="295"/>
      <c r="T7" s="295"/>
      <c r="U7" s="137" t="s">
        <v>10</v>
      </c>
      <c r="V7" s="132" t="s">
        <v>51</v>
      </c>
      <c r="W7" s="132" t="s">
        <v>22</v>
      </c>
      <c r="X7" s="132" t="s">
        <v>23</v>
      </c>
      <c r="Y7" s="136" t="s">
        <v>46</v>
      </c>
      <c r="Z7" s="138" t="s">
        <v>24</v>
      </c>
      <c r="AA7" s="138" t="s">
        <v>25</v>
      </c>
      <c r="AB7" s="139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68</v>
      </c>
    </row>
    <row r="8" spans="1:36" s="17" customFormat="1" ht="15" customHeight="1">
      <c r="B8" s="281"/>
      <c r="C8" s="127" t="s">
        <v>11</v>
      </c>
      <c r="D8" s="126" t="s">
        <v>12</v>
      </c>
      <c r="E8" s="128" t="s">
        <v>27</v>
      </c>
      <c r="F8" s="122" t="s">
        <v>24</v>
      </c>
      <c r="G8" s="123" t="s">
        <v>14</v>
      </c>
      <c r="H8" s="123" t="s">
        <v>52</v>
      </c>
      <c r="I8" s="124"/>
      <c r="J8" s="124"/>
      <c r="K8" s="296" t="s">
        <v>29</v>
      </c>
      <c r="L8" s="297"/>
      <c r="M8" s="298"/>
      <c r="N8" s="296" t="s">
        <v>29</v>
      </c>
      <c r="O8" s="297"/>
      <c r="P8" s="298"/>
      <c r="Q8" s="125" t="s">
        <v>8</v>
      </c>
      <c r="R8" s="126" t="s">
        <v>9</v>
      </c>
      <c r="S8" s="127" t="s">
        <v>30</v>
      </c>
      <c r="T8" s="128" t="s">
        <v>10</v>
      </c>
      <c r="U8" s="125" t="s">
        <v>45</v>
      </c>
      <c r="V8" s="129" t="s">
        <v>10</v>
      </c>
      <c r="W8" s="129" t="s">
        <v>10</v>
      </c>
      <c r="X8" s="129" t="s">
        <v>10</v>
      </c>
      <c r="Y8" s="123" t="s">
        <v>47</v>
      </c>
      <c r="Z8" s="130" t="s">
        <v>31</v>
      </c>
      <c r="AA8" s="130"/>
      <c r="AB8" s="131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67</v>
      </c>
    </row>
    <row r="9" spans="1:36" s="17" customFormat="1" ht="18" customHeight="1">
      <c r="B9" s="221" t="s">
        <v>114</v>
      </c>
      <c r="C9" s="204" t="s">
        <v>133</v>
      </c>
      <c r="D9" s="205">
        <v>34.82</v>
      </c>
      <c r="E9" s="206" t="s">
        <v>134</v>
      </c>
      <c r="F9" s="206" t="s">
        <v>115</v>
      </c>
      <c r="G9" s="208">
        <v>42582</v>
      </c>
      <c r="H9" s="209"/>
      <c r="I9" s="210" t="s">
        <v>135</v>
      </c>
      <c r="J9" s="210" t="s">
        <v>94</v>
      </c>
      <c r="K9" s="216">
        <v>7</v>
      </c>
      <c r="L9" s="218">
        <v>9</v>
      </c>
      <c r="M9" s="218">
        <v>10</v>
      </c>
      <c r="N9" s="216">
        <v>13</v>
      </c>
      <c r="O9" s="218">
        <v>16</v>
      </c>
      <c r="P9" s="218">
        <v>17</v>
      </c>
      <c r="Q9" s="168">
        <f>IF(MAX(K9:M9)&gt;0,IF(MAX(K9:M9)&lt;0,0,TRUNC(MAX(K9:M9)/1)*1),"")</f>
        <v>10</v>
      </c>
      <c r="R9" s="169">
        <f>IF(MAX(N9:P9)&gt;0,IF(MAX(N9:P9)&lt;0,0,TRUNC(MAX(N9:P9)/1)*1),"")</f>
        <v>17</v>
      </c>
      <c r="S9" s="170">
        <f>IF(Q9="","",IF(R9="","",IF(SUM(Q9:R9)=0,"",SUM(Q9:R9))))</f>
        <v>27</v>
      </c>
      <c r="T9" s="171">
        <f>IF(S9="","",IF(E9="","",IF((AD9="k"),IF(D9&gt;153.757,S9,IF(D9&lt;28,10^(0.787004341*LOG10(28/153.757)^2)*S9,10^(0.787004341*LOG10(D9/153.757)^2)*S9)),IF(D9&gt;193.609,S9,IF(D9&lt;32,10^(0.722762521*LOG10(32/193.609)^2)*S9,10^(0.722762521*LOG10(D9/193.609)^2)*S9)))))</f>
        <v>68.017279555647008</v>
      </c>
      <c r="U9" s="186" t="str">
        <f>IF(AF9=1,T9*AI9,"")</f>
        <v/>
      </c>
      <c r="V9" s="188">
        <f>IF('K3'!G7="","",'K3'!G7)</f>
        <v>3.92</v>
      </c>
      <c r="W9" s="172">
        <f>IF('K3'!K7="","",'K3'!K7)</f>
        <v>3.22</v>
      </c>
      <c r="X9" s="172">
        <f>IF('K3'!N7="","",'K3'!N7)</f>
        <v>10.8</v>
      </c>
      <c r="Y9" s="173"/>
      <c r="Z9" s="171"/>
      <c r="AA9" s="191"/>
      <c r="AB9" s="174"/>
      <c r="AC9" s="70">
        <f>U5</f>
        <v>45829</v>
      </c>
      <c r="AD9" s="84" t="str">
        <f>IF(ISNUMBER(FIND("M",E9)),"m",IF(ISNUMBER(FIND("K",E9)),"k"))</f>
        <v>m</v>
      </c>
      <c r="AE9" s="85">
        <f>IF(OR(G9="",AC9=""),0,(YEAR(AC9)-YEAR(G9)))</f>
        <v>9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19">
        <f>IF(D9="","",IF(D9&gt;193.609,1,IF(D9&lt;32,10^(0.722762521*LOG10(32/193.609)^2),10^(0.722762521*LOG10(D9/193.609)^2))))</f>
        <v>2.5191585020610003</v>
      </c>
    </row>
    <row r="10" spans="1:36" s="17" customFormat="1" ht="18" customHeight="1">
      <c r="B10" s="203"/>
      <c r="C10" s="212"/>
      <c r="D10" s="213"/>
      <c r="E10" s="213"/>
      <c r="F10" s="214"/>
      <c r="G10" s="215"/>
      <c r="H10" s="216"/>
      <c r="I10" s="211"/>
      <c r="J10" s="211"/>
      <c r="K10" s="289"/>
      <c r="L10" s="289"/>
      <c r="M10" s="289"/>
      <c r="N10" s="288"/>
      <c r="O10" s="288"/>
      <c r="P10" s="288"/>
      <c r="Q10" s="102"/>
      <c r="R10" s="140"/>
      <c r="S10" s="290">
        <f>IF(T9="","",T9*1.2)</f>
        <v>81.620735466776409</v>
      </c>
      <c r="T10" s="290"/>
      <c r="U10" s="177"/>
      <c r="V10" s="189">
        <f>IF(V9="","",V9*20)</f>
        <v>78.400000000000006</v>
      </c>
      <c r="W10" s="194">
        <f>IF(W9="","",(W9*10)*AJ9)</f>
        <v>81.116903766364217</v>
      </c>
      <c r="X10" s="195">
        <f>IF(X9="","",IF((80+(8-ROUNDUP(X9,1))*40)&lt;0,0,80+(8-ROUNDUP(X9,1))*40))</f>
        <v>0</v>
      </c>
      <c r="Y10" s="195">
        <f>IF(SUM(V10,W10,X10)&gt;0,SUM(V10,W10,X10),"")</f>
        <v>159.51690376636424</v>
      </c>
      <c r="Z10" s="196">
        <f>IF(AE9&gt;34,(IF(OR(S10="",V10="",W10="",X10=""),"",SUM(S10,V10,W10,X10))*AI9),IF(OR(S10="",V10="",W10="",X10=""),"", SUM(S10,V10,W10,X10)))</f>
        <v>241.13763923314065</v>
      </c>
      <c r="AA10" s="192" t="s">
        <v>114</v>
      </c>
      <c r="AB10" s="17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22">
        <v>2013022</v>
      </c>
      <c r="C11" s="204" t="s">
        <v>133</v>
      </c>
      <c r="D11" s="205">
        <v>51.35</v>
      </c>
      <c r="E11" s="206" t="s">
        <v>134</v>
      </c>
      <c r="F11" s="206" t="s">
        <v>115</v>
      </c>
      <c r="G11" s="208">
        <v>41616</v>
      </c>
      <c r="H11" s="209"/>
      <c r="I11" s="210" t="s">
        <v>136</v>
      </c>
      <c r="J11" s="210" t="s">
        <v>94</v>
      </c>
      <c r="K11" s="216">
        <v>11</v>
      </c>
      <c r="L11" s="218">
        <v>14</v>
      </c>
      <c r="M11" s="218">
        <v>-16</v>
      </c>
      <c r="N11" s="216">
        <v>15</v>
      </c>
      <c r="O11" s="218">
        <v>17</v>
      </c>
      <c r="P11" s="218">
        <v>19</v>
      </c>
      <c r="Q11" s="180">
        <f>IF(MAX(K11:M11)&gt;0,IF(MAX(K11:M11)&lt;0,0,TRUNC(MAX(K11:M11)/1)*1),"")</f>
        <v>14</v>
      </c>
      <c r="R11" s="181">
        <f>IF(MAX(N11:P11)&gt;0,IF(MAX(N11:P11)&lt;0,0,TRUNC(MAX(N11:P11)/1)*1),"")</f>
        <v>19</v>
      </c>
      <c r="S11" s="182">
        <f>IF(Q11="","",IF(R11="","",IF(SUM(Q11:R11)=0,"",SUM(Q11:R11))))</f>
        <v>33</v>
      </c>
      <c r="T11" s="171">
        <f>IF(S11="","",IF(E11="","",IF((AD11="k"),IF(D11&gt;153.757,S11,IF(D11&lt;28,10^(0.787004341*LOG10(28/153.757)^2)*S11,10^(0.787004341*LOG10(D11/153.757)^2)*S11)),IF(D11&gt;193.609,S11,IF(D11&lt;32,10^(0.722762521*LOG10(32/193.609)^2)*S11,10^(0.722762521*LOG10(D11/193.609)^2)*S11)))))</f>
        <v>57.362747301114325</v>
      </c>
      <c r="U11" s="187" t="str">
        <f>IF(AF11=1,T11*AI11,"")</f>
        <v/>
      </c>
      <c r="V11" s="190">
        <f>IF('K3'!G9="","",'K3'!G9)</f>
        <v>4.63</v>
      </c>
      <c r="W11" s="184">
        <f>IF('K3'!K9="","",'K3'!K9)</f>
        <v>6.24</v>
      </c>
      <c r="X11" s="184">
        <f>IF('K3'!N9="","",'K3'!N9)</f>
        <v>8.9</v>
      </c>
      <c r="Y11" s="185"/>
      <c r="Z11" s="183"/>
      <c r="AA11" s="193"/>
      <c r="AB11" s="176"/>
      <c r="AC11" s="70">
        <f>U5</f>
        <v>45829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12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19">
        <f>IF(D11="","",IF(D11&gt;193.609,1,IF(D11&lt;32,10^(0.722762521*LOG10(32/193.609)^2),10^(0.722762521*LOG10(D11/193.609)^2))))</f>
        <v>1.7382650697307371</v>
      </c>
    </row>
    <row r="12" spans="1:36" s="17" customFormat="1" ht="18" customHeight="1">
      <c r="B12" s="203"/>
      <c r="C12" s="212"/>
      <c r="D12" s="213"/>
      <c r="E12" s="213"/>
      <c r="F12" s="214"/>
      <c r="G12" s="215"/>
      <c r="H12" s="216"/>
      <c r="I12" s="211"/>
      <c r="J12" s="211"/>
      <c r="K12" s="289"/>
      <c r="L12" s="289"/>
      <c r="M12" s="289"/>
      <c r="N12" s="288"/>
      <c r="O12" s="288"/>
      <c r="P12" s="288"/>
      <c r="Q12" s="102"/>
      <c r="R12" s="140"/>
      <c r="S12" s="290">
        <f>IF(T11="","",T11*1.2)</f>
        <v>68.83529676133719</v>
      </c>
      <c r="T12" s="290"/>
      <c r="U12" s="177"/>
      <c r="V12" s="189">
        <f>IF(V11="","",V11*20)</f>
        <v>92.6</v>
      </c>
      <c r="W12" s="194">
        <f>IF(W11="","",(W11*10)*AJ11)</f>
        <v>108.467740351198</v>
      </c>
      <c r="X12" s="195">
        <f>IF(X11="","",IF((80+(8-ROUNDUP(X11,1))*40)&lt;0,0,80+(8-ROUNDUP(X11,1))*40))</f>
        <v>43.999999999999986</v>
      </c>
      <c r="Y12" s="195">
        <f>IF(SUM(V12,W12,X12)&gt;0,SUM(V12,W12,X12),"")</f>
        <v>245.06774035119798</v>
      </c>
      <c r="Z12" s="196">
        <f>IF(AE11&gt;34,(IF(OR(S12="",V12="",W12="",X12=""),"",SUM(S12,V12,W12,X12))*AI11),IF(OR(S12="",V12="",W12="",X12=""),"", SUM(S12,V12,W12,X12)))</f>
        <v>313.90303711253517</v>
      </c>
      <c r="AA12" s="192">
        <v>1</v>
      </c>
      <c r="AB12" s="175"/>
      <c r="AC12" s="70"/>
    </row>
    <row r="13" spans="1:36" s="17" customFormat="1" ht="18" customHeight="1">
      <c r="B13" s="222">
        <v>2013023</v>
      </c>
      <c r="C13" s="204" t="s">
        <v>133</v>
      </c>
      <c r="D13" s="205">
        <v>53.4</v>
      </c>
      <c r="E13" s="206" t="s">
        <v>134</v>
      </c>
      <c r="F13" s="206" t="s">
        <v>115</v>
      </c>
      <c r="G13" s="208">
        <v>41632</v>
      </c>
      <c r="H13" s="209"/>
      <c r="I13" s="210" t="s">
        <v>137</v>
      </c>
      <c r="J13" s="210" t="s">
        <v>94</v>
      </c>
      <c r="K13" s="216">
        <v>12</v>
      </c>
      <c r="L13" s="218">
        <v>14</v>
      </c>
      <c r="M13" s="218">
        <v>16</v>
      </c>
      <c r="N13" s="216">
        <v>15</v>
      </c>
      <c r="O13" s="218">
        <v>17</v>
      </c>
      <c r="P13" s="218">
        <v>20</v>
      </c>
      <c r="Q13" s="180">
        <f>IF(MAX(K13:M13)&gt;0,IF(MAX(K13:M13)&lt;0,0,TRUNC(MAX(K13:M13)/1)*1),"")</f>
        <v>16</v>
      </c>
      <c r="R13" s="181">
        <f>IF(MAX(N13:P13)&gt;0,IF(MAX(N13:P13)&lt;0,0,TRUNC(MAX(N13:P13)/1)*1),"")</f>
        <v>20</v>
      </c>
      <c r="S13" s="182">
        <f>IF(Q13="","",IF(R13="","",IF(SUM(Q13:R13)=0,"",SUM(Q13:R13))))</f>
        <v>36</v>
      </c>
      <c r="T13" s="171">
        <f>IF(S13="","",IF(E13="","",IF((AD13="k"),IF(D13&gt;153.757,S13,IF(D13&lt;28,10^(0.787004341*LOG10(28/153.757)^2)*S13,10^(0.787004341*LOG10(D13/153.757)^2)*S13)),IF(D13&gt;193.609,S13,IF(D13&lt;32,10^(0.722762521*LOG10(32/193.609)^2)*S13,10^(0.722762521*LOG10(D13/193.609)^2)*S13)))))</f>
        <v>60.598612938096466</v>
      </c>
      <c r="U13" s="187" t="str">
        <f>IF(AF13=1,T13*AI13,"")</f>
        <v/>
      </c>
      <c r="V13" s="190" t="str">
        <f>IF('K3'!G11="","",'K3'!G11)</f>
        <v/>
      </c>
      <c r="W13" s="184" t="str">
        <f>IF('K3'!K11="","",'K3'!K11)</f>
        <v/>
      </c>
      <c r="X13" s="184" t="str">
        <f>IF('K3'!N11="","",'K3'!N11)</f>
        <v/>
      </c>
      <c r="Y13" s="185"/>
      <c r="Z13" s="183"/>
      <c r="AA13" s="193"/>
      <c r="AB13" s="176"/>
      <c r="AC13" s="70">
        <f>U5</f>
        <v>45829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12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19">
        <f>IF(D13="","",IF(D13&gt;193.609,1,IF(D13&lt;32,10^(0.722762521*LOG10(32/193.609)^2),10^(0.722762521*LOG10(D13/193.609)^2))))</f>
        <v>1.6832948038360129</v>
      </c>
    </row>
    <row r="14" spans="1:36" s="17" customFormat="1" ht="18" customHeight="1">
      <c r="B14" s="203"/>
      <c r="C14" s="212"/>
      <c r="D14" s="213"/>
      <c r="E14" s="213"/>
      <c r="F14" s="214"/>
      <c r="G14" s="215"/>
      <c r="H14" s="216"/>
      <c r="I14" s="211"/>
      <c r="J14" s="211"/>
      <c r="K14" s="289"/>
      <c r="L14" s="289"/>
      <c r="M14" s="289"/>
      <c r="N14" s="288"/>
      <c r="O14" s="288"/>
      <c r="P14" s="288"/>
      <c r="Q14" s="102"/>
      <c r="R14" s="140"/>
      <c r="S14" s="290">
        <f>IF(T13="","",T13*1.2)</f>
        <v>72.718335525715759</v>
      </c>
      <c r="T14" s="290"/>
      <c r="U14" s="177"/>
      <c r="V14" s="189" t="str">
        <f>IF(V13="","",V13*20)</f>
        <v/>
      </c>
      <c r="W14" s="194" t="str">
        <f>IF(W13="","",(W13*10)*AJ13)</f>
        <v/>
      </c>
      <c r="X14" s="195" t="str">
        <f>IF(X13="","",IF((80+(8-ROUNDUP(X13,1))*40)&lt;0,0,80+(8-ROUNDUP(X13,1))*40))</f>
        <v/>
      </c>
      <c r="Y14" s="195" t="str">
        <f>IF(SUM(V14,W14,X14)&gt;0,SUM(V14,W14,X14),"")</f>
        <v/>
      </c>
      <c r="Z14" s="196" t="str">
        <f>IF(AE13&gt;34,(IF(OR(S14="",V14="",W14="",X14=""),"",SUM(S14,V14,W14,X14))*AI13),IF(OR(S14="",V14="",W14="",X14=""),"", SUM(S14,V14,W14,X14)))</f>
        <v/>
      </c>
      <c r="AA14" s="192"/>
      <c r="AB14" s="175"/>
      <c r="AC14" s="70"/>
    </row>
    <row r="15" spans="1:36" s="17" customFormat="1" ht="18" customHeight="1">
      <c r="B15" s="222">
        <v>2012030</v>
      </c>
      <c r="C15" s="204" t="s">
        <v>133</v>
      </c>
      <c r="D15" s="205">
        <v>38.04</v>
      </c>
      <c r="E15" s="206" t="s">
        <v>134</v>
      </c>
      <c r="F15" s="206" t="s">
        <v>119</v>
      </c>
      <c r="G15" s="208">
        <v>41265</v>
      </c>
      <c r="H15" s="209"/>
      <c r="I15" s="210" t="s">
        <v>138</v>
      </c>
      <c r="J15" s="210" t="s">
        <v>94</v>
      </c>
      <c r="K15" s="216">
        <v>11</v>
      </c>
      <c r="L15" s="218">
        <v>14</v>
      </c>
      <c r="M15" s="218">
        <v>16</v>
      </c>
      <c r="N15" s="216">
        <v>17</v>
      </c>
      <c r="O15" s="218">
        <v>20</v>
      </c>
      <c r="P15" s="218">
        <v>-23</v>
      </c>
      <c r="Q15" s="180">
        <f>IF(MAX(K15:M15)&gt;0,IF(MAX(K15:M15)&lt;0,0,TRUNC(MAX(K15:M15)/1)*1),"")</f>
        <v>16</v>
      </c>
      <c r="R15" s="181">
        <f>IF(MAX(N15:P15)&gt;0,IF(MAX(N15:P15)&lt;0,0,TRUNC(MAX(N15:P15)/1)*1),"")</f>
        <v>20</v>
      </c>
      <c r="S15" s="182">
        <f>IF(Q15="","",IF(R15="","",IF(SUM(Q15:R15)=0,"",SUM(Q15:R15))))</f>
        <v>36</v>
      </c>
      <c r="T15" s="171">
        <f>IF(S15="","",IF(E15="","",IF((AD15="k"),IF(D15&gt;153.757,S15,IF(D15&lt;28,10^(0.787004341*LOG10(28/153.757)^2)*S15,10^(0.787004341*LOG10(D15/153.757)^2)*S15)),IF(D15&gt;193.609,S15,IF(D15&lt;32,10^(0.722762521*LOG10(32/193.609)^2)*S15,10^(0.722762521*LOG10(D15/193.609)^2)*S15)))))</f>
        <v>82.651892936337404</v>
      </c>
      <c r="U15" s="187" t="str">
        <f>IF(AF15=1,T15*AI15,"")</f>
        <v/>
      </c>
      <c r="V15" s="190">
        <f>IF('K3'!G13="","",'K3'!G13)</f>
        <v>5.0999999999999996</v>
      </c>
      <c r="W15" s="184">
        <f>IF('K3'!K13="","",'K3'!K13)</f>
        <v>4.5199999999999996</v>
      </c>
      <c r="X15" s="184">
        <f>IF('K3'!N13="","",'K3'!N13)</f>
        <v>9</v>
      </c>
      <c r="Y15" s="185"/>
      <c r="Z15" s="183"/>
      <c r="AA15" s="193"/>
      <c r="AB15" s="176"/>
      <c r="AC15" s="70">
        <f>U5</f>
        <v>45829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13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19">
        <f>IF(D15="","",IF(D15&gt;193.609,1,IF(D15&lt;32,10^(0.722762521*LOG10(32/193.609)^2),10^(0.722762521*LOG10(D15/193.609)^2))))</f>
        <v>2.2958859148982613</v>
      </c>
    </row>
    <row r="16" spans="1:36" s="17" customFormat="1" ht="18" customHeight="1">
      <c r="B16" s="203"/>
      <c r="C16" s="212"/>
      <c r="D16" s="213"/>
      <c r="E16" s="213"/>
      <c r="F16" s="214"/>
      <c r="G16" s="215"/>
      <c r="H16" s="216"/>
      <c r="I16" s="211"/>
      <c r="J16" s="211"/>
      <c r="K16" s="289"/>
      <c r="L16" s="289"/>
      <c r="M16" s="289"/>
      <c r="N16" s="288"/>
      <c r="O16" s="288"/>
      <c r="P16" s="288"/>
      <c r="Q16" s="102"/>
      <c r="R16" s="140"/>
      <c r="S16" s="290">
        <f>IF(T15="","",T15*1.2)</f>
        <v>99.182271523604882</v>
      </c>
      <c r="T16" s="290"/>
      <c r="U16" s="177"/>
      <c r="V16" s="189">
        <f>IF(V15="","",V15*20)</f>
        <v>102</v>
      </c>
      <c r="W16" s="194">
        <f>IF(W15="","",(W15*10)*AJ15)</f>
        <v>103.7740433534014</v>
      </c>
      <c r="X16" s="195">
        <f>IF(X15="","",IF((80+(8-ROUNDUP(X15,1))*40)&lt;0,0,80+(8-ROUNDUP(X15,1))*40))</f>
        <v>40</v>
      </c>
      <c r="Y16" s="195">
        <f>IF(SUM(V16,W16,X16)&gt;0,SUM(V16,W16,X16),"")</f>
        <v>245.7740433534014</v>
      </c>
      <c r="Z16" s="196">
        <f>IF(AE15&gt;34,(IF(OR(S16="",V16="",W16="",X16=""),"",SUM(S16,V16,W16,X16))*AI15),IF(OR(S16="",V16="",W16="",X16=""),"", SUM(S16,V16,W16,X16)))</f>
        <v>344.95631487700626</v>
      </c>
      <c r="AA16" s="192">
        <v>3</v>
      </c>
      <c r="AB16" s="175"/>
      <c r="AC16" s="70"/>
    </row>
    <row r="17" spans="2:41" s="17" customFormat="1" ht="18" customHeight="1">
      <c r="B17" s="222">
        <v>2012028</v>
      </c>
      <c r="C17" s="204" t="s">
        <v>139</v>
      </c>
      <c r="D17" s="205">
        <v>57.7</v>
      </c>
      <c r="E17" s="206" t="s">
        <v>134</v>
      </c>
      <c r="F17" s="206" t="s">
        <v>119</v>
      </c>
      <c r="G17" s="208">
        <v>41187</v>
      </c>
      <c r="H17" s="209"/>
      <c r="I17" s="210" t="s">
        <v>140</v>
      </c>
      <c r="J17" s="210" t="s">
        <v>94</v>
      </c>
      <c r="K17" s="216">
        <v>21</v>
      </c>
      <c r="L17" s="218">
        <v>24</v>
      </c>
      <c r="M17" s="218">
        <v>-27</v>
      </c>
      <c r="N17" s="216">
        <v>32</v>
      </c>
      <c r="O17" s="218">
        <v>34</v>
      </c>
      <c r="P17" s="218">
        <v>36</v>
      </c>
      <c r="Q17" s="180">
        <f>IF(MAX(K17:M17)&gt;0,IF(MAX(K17:M17)&lt;0,0,TRUNC(MAX(K17:M17)/1)*1),"")</f>
        <v>24</v>
      </c>
      <c r="R17" s="181">
        <f>IF(MAX(N17:P17)&gt;0,IF(MAX(N17:P17)&lt;0,0,TRUNC(MAX(N17:P17)/1)*1),"")</f>
        <v>36</v>
      </c>
      <c r="S17" s="182">
        <f>IF(Q17="","",IF(R17="","",IF(SUM(Q17:R17)=0,"",SUM(Q17:R17))))</f>
        <v>60</v>
      </c>
      <c r="T17" s="171">
        <f>IF(S17="","",IF(E17="","",IF((AD17="k"),IF(D17&gt;153.757,S17,IF(D17&lt;28,10^(0.787004341*LOG10(28/153.757)^2)*S17,10^(0.787004341*LOG10(D17/153.757)^2)*S17)),IF(D17&gt;193.609,S17,IF(D17&lt;32,10^(0.722762521*LOG10(32/193.609)^2)*S17,10^(0.722762521*LOG10(D17/193.609)^2)*S17)))))</f>
        <v>95.045606441104127</v>
      </c>
      <c r="U17" s="187" t="str">
        <f>IF(AF17=1,T17*AI17,"")</f>
        <v/>
      </c>
      <c r="V17" s="190">
        <f>IF('K3'!G15="","",'K3'!G15)</f>
        <v>6.15</v>
      </c>
      <c r="W17" s="184">
        <f>IF('K3'!K15="","",'K3'!K15)</f>
        <v>6.94</v>
      </c>
      <c r="X17" s="184">
        <f>IF('K3'!N15="","",'K3'!N15)</f>
        <v>7.9</v>
      </c>
      <c r="Y17" s="185"/>
      <c r="Z17" s="183"/>
      <c r="AA17" s="193"/>
      <c r="AB17" s="176"/>
      <c r="AC17" s="70">
        <f>U5</f>
        <v>45829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13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19">
        <f>IF(D17="","",IF(D17&gt;193.609,1,IF(D17&lt;32,10^(0.722762521*LOG10(32/193.609)^2),10^(0.722762521*LOG10(D17/193.609)^2))))</f>
        <v>1.5840934406850689</v>
      </c>
      <c r="AO17" s="119"/>
    </row>
    <row r="18" spans="2:41" s="17" customFormat="1" ht="18" customHeight="1">
      <c r="B18" s="203"/>
      <c r="C18" s="212"/>
      <c r="D18" s="213"/>
      <c r="E18" s="213"/>
      <c r="F18" s="214"/>
      <c r="G18" s="215"/>
      <c r="H18" s="216"/>
      <c r="I18" s="211"/>
      <c r="J18" s="211"/>
      <c r="K18" s="289"/>
      <c r="L18" s="289"/>
      <c r="M18" s="289"/>
      <c r="N18" s="288"/>
      <c r="O18" s="288"/>
      <c r="P18" s="288"/>
      <c r="Q18" s="102"/>
      <c r="R18" s="140"/>
      <c r="S18" s="290">
        <f>IF(T17="","",T17*1.2)</f>
        <v>114.05472772932495</v>
      </c>
      <c r="T18" s="290"/>
      <c r="U18" s="177"/>
      <c r="V18" s="189">
        <f>IF(V17="","",V17*20)</f>
        <v>123</v>
      </c>
      <c r="W18" s="194">
        <f>IF(W17="","",(W17*10)*AJ17)</f>
        <v>109.93608478354379</v>
      </c>
      <c r="X18" s="195">
        <f>IF(X17="","",IF((80+(8-ROUNDUP(X17,1))*40)&lt;0,0,80+(8-ROUNDUP(X17,1))*40))</f>
        <v>83.999999999999986</v>
      </c>
      <c r="Y18" s="195">
        <f>IF(SUM(V18,W18,X18)&gt;0,SUM(V18,W18,X18),"")</f>
        <v>316.93608478354378</v>
      </c>
      <c r="Z18" s="196">
        <f>IF(AE17&gt;34,(IF(OR(S18="",V18="",W18="",X18=""),"",SUM(S18,V18,W18,X18))*AI17),IF(OR(S18="",V18="",W18="",X18=""),"", SUM(S18,V18,W18,X18)))</f>
        <v>430.99081251286873</v>
      </c>
      <c r="AA18" s="192">
        <v>2</v>
      </c>
      <c r="AB18" s="175"/>
      <c r="AC18" s="70"/>
    </row>
    <row r="19" spans="2:41" s="17" customFormat="1" ht="18" customHeight="1">
      <c r="B19" s="222">
        <v>2011036</v>
      </c>
      <c r="C19" s="204" t="s">
        <v>133</v>
      </c>
      <c r="D19" s="205">
        <v>54.14</v>
      </c>
      <c r="E19" s="206" t="s">
        <v>134</v>
      </c>
      <c r="F19" s="206" t="s">
        <v>119</v>
      </c>
      <c r="G19" s="208">
        <v>40634</v>
      </c>
      <c r="H19" s="209"/>
      <c r="I19" s="210" t="s">
        <v>141</v>
      </c>
      <c r="J19" s="210" t="s">
        <v>142</v>
      </c>
      <c r="K19" s="216">
        <v>33</v>
      </c>
      <c r="L19" s="218">
        <v>36</v>
      </c>
      <c r="M19" s="218">
        <v>38</v>
      </c>
      <c r="N19" s="216">
        <v>38</v>
      </c>
      <c r="O19" s="218">
        <v>40</v>
      </c>
      <c r="P19" s="218">
        <v>42</v>
      </c>
      <c r="Q19" s="180">
        <f>IF(MAX(K19:M19)&gt;0,IF(MAX(K19:M19)&lt;0,0,TRUNC(MAX(K19:M19)/1)*1),"")</f>
        <v>38</v>
      </c>
      <c r="R19" s="181">
        <f>IF(MAX(N19:P19)&gt;0,IF(MAX(N19:P19)&lt;0,0,TRUNC(MAX(N19:P19)/1)*1),"")</f>
        <v>42</v>
      </c>
      <c r="S19" s="182">
        <f>IF(Q19="","",IF(R19="","",IF(SUM(Q19:R19)=0,"",SUM(Q19:R19))))</f>
        <v>80</v>
      </c>
      <c r="T19" s="171">
        <f>IF(S19="","",IF(E19="","",IF((AD19="k"),IF(D19&gt;153.757,S19,IF(D19&lt;28,10^(0.787004341*LOG10(28/153.757)^2)*S19,10^(0.787004341*LOG10(D19/153.757)^2)*S19)),IF(D19&gt;193.609,S19,IF(D19&lt;32,10^(0.722762521*LOG10(32/193.609)^2)*S19,10^(0.722762521*LOG10(D19/193.609)^2)*S19)))))</f>
        <v>133.18121376012127</v>
      </c>
      <c r="U19" s="187" t="str">
        <f>IF(AF19=1,T19*AI19,"")</f>
        <v/>
      </c>
      <c r="V19" s="190">
        <f>IF('K3'!G17="","",'K3'!G17)</f>
        <v>6.71</v>
      </c>
      <c r="W19" s="184">
        <f>IF('K3'!K17="","",'K3'!K17)</f>
        <v>9.25</v>
      </c>
      <c r="X19" s="184">
        <f>IF('K3'!N17="","",'K3'!N17)</f>
        <v>7.5</v>
      </c>
      <c r="Y19" s="185"/>
      <c r="Z19" s="183"/>
      <c r="AA19" s="193"/>
      <c r="AB19" s="176"/>
      <c r="AC19" s="70">
        <f>U5</f>
        <v>45829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14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19">
        <f>IF(D19="","",IF(D19&gt;193.609,1,IF(D19&lt;32,10^(0.722762521*LOG10(32/193.609)^2),10^(0.722762521*LOG10(D19/193.609)^2))))</f>
        <v>1.664765172001516</v>
      </c>
    </row>
    <row r="20" spans="2:41" s="17" customFormat="1" ht="18" customHeight="1">
      <c r="B20" s="203"/>
      <c r="C20" s="212"/>
      <c r="D20" s="213"/>
      <c r="E20" s="213"/>
      <c r="F20" s="214"/>
      <c r="G20" s="215"/>
      <c r="H20" s="216"/>
      <c r="I20" s="211"/>
      <c r="J20" s="211"/>
      <c r="K20" s="289"/>
      <c r="L20" s="289"/>
      <c r="M20" s="289"/>
      <c r="N20" s="288"/>
      <c r="O20" s="288"/>
      <c r="P20" s="288"/>
      <c r="Q20" s="102"/>
      <c r="R20" s="140"/>
      <c r="S20" s="290">
        <f>IF(T19="","",T19*1.2)</f>
        <v>159.81745651214553</v>
      </c>
      <c r="T20" s="290"/>
      <c r="U20" s="177"/>
      <c r="V20" s="189">
        <f>IF(V19="","",V19*20)</f>
        <v>134.19999999999999</v>
      </c>
      <c r="W20" s="194">
        <f>IF(W19="","",(W19*10)*AJ19)</f>
        <v>153.99077841014022</v>
      </c>
      <c r="X20" s="195">
        <f>IF(X19="","",IF((80+(8-ROUNDUP(X19,1))*40)&lt;0,0,80+(8-ROUNDUP(X19,1))*40))</f>
        <v>100</v>
      </c>
      <c r="Y20" s="195">
        <f>IF(SUM(V20,W20,X20)&gt;0,SUM(V20,W20,X20),"")</f>
        <v>388.19077841014018</v>
      </c>
      <c r="Z20" s="196">
        <f>IF(AE19&gt;34,(IF(OR(S20="",V20="",W20="",X20=""),"",SUM(S20,V20,W20,X20))*AI19),IF(OR(S20="",V20="",W20="",X20=""),"", SUM(S20,V20,W20,X20)))</f>
        <v>548.00823492228574</v>
      </c>
      <c r="AA20" s="192">
        <v>1</v>
      </c>
      <c r="AB20" s="175"/>
      <c r="AC20" s="70"/>
    </row>
    <row r="21" spans="2:41" s="17" customFormat="1" ht="18" customHeight="1">
      <c r="B21" s="203">
        <v>2010015</v>
      </c>
      <c r="C21" s="204" t="s">
        <v>143</v>
      </c>
      <c r="D21" s="205">
        <v>78.05</v>
      </c>
      <c r="E21" s="206" t="s">
        <v>134</v>
      </c>
      <c r="F21" s="206" t="s">
        <v>125</v>
      </c>
      <c r="G21" s="208">
        <v>40263</v>
      </c>
      <c r="H21" s="209"/>
      <c r="I21" s="210" t="s">
        <v>144</v>
      </c>
      <c r="J21" s="210" t="s">
        <v>112</v>
      </c>
      <c r="K21" s="216">
        <v>65</v>
      </c>
      <c r="L21" s="218">
        <v>-68</v>
      </c>
      <c r="M21" s="218">
        <v>-68</v>
      </c>
      <c r="N21" s="216">
        <v>-85</v>
      </c>
      <c r="O21" s="218">
        <v>-85</v>
      </c>
      <c r="P21" s="218">
        <v>-85</v>
      </c>
      <c r="Q21" s="180">
        <f>IF(MAX(K21:M21)&gt;0,IF(MAX(K21:M21)&lt;0,0,TRUNC(MAX(K21:M21)/1)*1),"")</f>
        <v>65</v>
      </c>
      <c r="R21" s="181" t="str">
        <f>IF(MAX(N21:P21)&gt;0,IF(MAX(N21:P21)&lt;0,0,TRUNC(MAX(N21:P21)/1)*1),"")</f>
        <v/>
      </c>
      <c r="S21" s="182" t="str">
        <f>IF(Q21="","",IF(R21="","",IF(SUM(Q21:R21)=0,"",SUM(Q21:R21))))</f>
        <v/>
      </c>
      <c r="T21" s="171" t="str">
        <f>IF(S21="","",IF(E21="","",IF((AD21="k"),IF(D21&gt;153.757,S21,IF(D21&lt;28,10^(0.787004341*LOG10(28/153.757)^2)*S21,10^(0.787004341*LOG10(D21/153.757)^2)*S21)),IF(D21&gt;193.609,S21,IF(D21&lt;32,10^(0.722762521*LOG10(32/193.609)^2)*S21,10^(0.722762521*LOG10(D21/193.609)^2)*S21)))))</f>
        <v/>
      </c>
      <c r="U21" s="187" t="str">
        <f>IF(AF21=1,T21*AI21,"")</f>
        <v/>
      </c>
      <c r="V21" s="190">
        <f>IF('K3'!G19="","",'K3'!G19)</f>
        <v>7.84</v>
      </c>
      <c r="W21" s="184">
        <f>IF('K3'!K19="","",'K3'!K19)</f>
        <v>10</v>
      </c>
      <c r="X21" s="184">
        <f>IF('K3'!N19="","",'K3'!N19)</f>
        <v>6.9</v>
      </c>
      <c r="Y21" s="185"/>
      <c r="Z21" s="183"/>
      <c r="AA21" s="193"/>
      <c r="AB21" s="176"/>
      <c r="AC21" s="70">
        <f>U5</f>
        <v>45829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15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19">
        <f>IF(D21="","",IF(D21&gt;193.609,1,IF(D21&lt;32,10^(0.722762521*LOG10(32/193.609)^2),10^(0.722762521*LOG10(D21/193.609)^2))))</f>
        <v>1.2957276580107566</v>
      </c>
    </row>
    <row r="22" spans="2:41" s="17" customFormat="1" ht="18" customHeight="1">
      <c r="B22" s="203"/>
      <c r="C22" s="212"/>
      <c r="D22" s="213"/>
      <c r="E22" s="213"/>
      <c r="F22" s="214"/>
      <c r="G22" s="215"/>
      <c r="H22" s="216"/>
      <c r="I22" s="211"/>
      <c r="J22" s="211"/>
      <c r="K22" s="289"/>
      <c r="L22" s="289"/>
      <c r="M22" s="289"/>
      <c r="N22" s="288"/>
      <c r="O22" s="288"/>
      <c r="P22" s="288"/>
      <c r="Q22" s="102"/>
      <c r="R22" s="140"/>
      <c r="S22" s="290" t="str">
        <f>IF(T21="","",T21*1.2)</f>
        <v/>
      </c>
      <c r="T22" s="290"/>
      <c r="U22" s="177"/>
      <c r="V22" s="189">
        <f>IF(V21="","",V21*20)</f>
        <v>156.80000000000001</v>
      </c>
      <c r="W22" s="194">
        <f>IF(W21="","",(W21*10)*AJ21)</f>
        <v>129.57276580107566</v>
      </c>
      <c r="X22" s="195">
        <f>IF(X21="","",IF((80+(8-ROUNDUP(X21,1))*40)&lt;0,0,80+(8-ROUNDUP(X21,1))*40))</f>
        <v>123.99999999999999</v>
      </c>
      <c r="Y22" s="195">
        <f>IF(SUM(V22,W22,X22)&gt;0,SUM(V22,W22,X22),"")</f>
        <v>410.37276580107567</v>
      </c>
      <c r="Z22" s="196" t="str">
        <f>IF(AE21&gt;34,(IF(OR(S22="",V22="",W22="",X22=""),"",SUM(S22,V22,W22,X22))*AI21),IF(OR(S22="",V22="",W22="",X22=""),"", SUM(S22,V22,W22,X22)))</f>
        <v/>
      </c>
      <c r="AA22" s="192"/>
      <c r="AB22" s="175"/>
      <c r="AC22" s="70"/>
    </row>
    <row r="23" spans="2:41" s="17" customFormat="1" ht="18" customHeight="1">
      <c r="B23" s="203">
        <v>2009026</v>
      </c>
      <c r="C23" s="204" t="s">
        <v>145</v>
      </c>
      <c r="D23" s="205">
        <v>65.81</v>
      </c>
      <c r="E23" s="206" t="s">
        <v>134</v>
      </c>
      <c r="F23" s="206" t="s">
        <v>125</v>
      </c>
      <c r="G23" s="208">
        <v>39932</v>
      </c>
      <c r="H23" s="209"/>
      <c r="I23" s="210" t="s">
        <v>146</v>
      </c>
      <c r="J23" s="210" t="s">
        <v>112</v>
      </c>
      <c r="K23" s="216">
        <v>60</v>
      </c>
      <c r="L23" s="218">
        <v>-64</v>
      </c>
      <c r="M23" s="218">
        <v>-64</v>
      </c>
      <c r="N23" s="216">
        <v>-75</v>
      </c>
      <c r="O23" s="218">
        <v>-75</v>
      </c>
      <c r="P23" s="218" t="s">
        <v>147</v>
      </c>
      <c r="Q23" s="180">
        <f>IF(MAX(K23:M23)&gt;0,IF(MAX(K23:M23)&lt;0,0,TRUNC(MAX(K23:M23)/1)*1),"")</f>
        <v>60</v>
      </c>
      <c r="R23" s="181" t="str">
        <f>IF(MAX(N23:P23)&gt;0,IF(MAX(N23:P23)&lt;0,0,TRUNC(MAX(N23:P23)/1)*1),"")</f>
        <v/>
      </c>
      <c r="S23" s="182" t="str">
        <f>IF(Q23="","",IF(R23="","",IF(SUM(Q23:R23)=0,"",SUM(Q23:R23))))</f>
        <v/>
      </c>
      <c r="T23" s="171" t="str">
        <f>IF(S23="","",IF(E23="","",IF((AD23="k"),IF(D23&gt;153.757,S23,IF(D23&lt;28,10^(0.787004341*LOG10(28/153.757)^2)*S23,10^(0.787004341*LOG10(D23/153.757)^2)*S23)),IF(D23&gt;193.609,S23,IF(D23&lt;32,10^(0.722762521*LOG10(32/193.609)^2)*S23,10^(0.722762521*LOG10(D23/193.609)^2)*S23)))))</f>
        <v/>
      </c>
      <c r="U23" s="187" t="str">
        <f>IF(AF23=1,T23*AI23,"")</f>
        <v/>
      </c>
      <c r="V23" s="190">
        <f>IF('K3'!G21="","",'K3'!G21)</f>
        <v>7.42</v>
      </c>
      <c r="W23" s="184">
        <f>IF('K3'!K21="","",'K3'!K21)</f>
        <v>9.1999999999999993</v>
      </c>
      <c r="X23" s="184">
        <f>IF('K3'!N21="","",'K3'!N21)</f>
        <v>7.1</v>
      </c>
      <c r="Y23" s="185"/>
      <c r="Z23" s="183"/>
      <c r="AA23" s="193"/>
      <c r="AB23" s="176"/>
      <c r="AC23" s="70">
        <f>U5</f>
        <v>45829</v>
      </c>
      <c r="AD23" s="84" t="str">
        <f t="shared" ref="AD23" si="19">IF(ISNUMBER(FIND("M",E23)),"m",IF(ISNUMBER(FIND("K",E23)),"k"))</f>
        <v>m</v>
      </c>
      <c r="AE23" s="85">
        <f t="shared" ref="AE23" si="20">IF(OR(G23="",AC23=""),0,(YEAR(AC23)-YEAR(G23)))</f>
        <v>16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b">
        <f t="shared" ref="AI23" si="21">IF(AD23="m",AG23,IF(AD23="k",AH23,""))</f>
        <v>0</v>
      </c>
      <c r="AJ23" s="119">
        <f>IF(D23="","",IF(D23&gt;193.609,1,IF(D23&lt;32,10^(0.722762521*LOG10(32/193.609)^2),10^(0.722762521*LOG10(D23/193.609)^2))))</f>
        <v>1.4412233745481657</v>
      </c>
    </row>
    <row r="24" spans="2:41" s="17" customFormat="1" ht="18" customHeight="1">
      <c r="B24" s="203"/>
      <c r="C24" s="212"/>
      <c r="D24" s="213"/>
      <c r="E24" s="213"/>
      <c r="F24" s="214"/>
      <c r="G24" s="215"/>
      <c r="H24" s="216"/>
      <c r="I24" s="211"/>
      <c r="J24" s="211"/>
      <c r="K24" s="289"/>
      <c r="L24" s="289"/>
      <c r="M24" s="289"/>
      <c r="N24" s="288"/>
      <c r="O24" s="288"/>
      <c r="P24" s="288"/>
      <c r="Q24" s="102"/>
      <c r="R24" s="140"/>
      <c r="S24" s="290" t="str">
        <f>IF(T23="","",T23*1.2)</f>
        <v/>
      </c>
      <c r="T24" s="290"/>
      <c r="U24" s="177"/>
      <c r="V24" s="189">
        <f>IF(V23="","",V23*20)</f>
        <v>148.4</v>
      </c>
      <c r="W24" s="194">
        <f>IF(W23="","",(W23*10)*AJ23)</f>
        <v>132.59255045843125</v>
      </c>
      <c r="X24" s="195">
        <f>IF(X23="","",IF((80+(8-ROUNDUP(X23,1))*40)&lt;0,0,80+(8-ROUNDUP(X23,1))*40))</f>
        <v>116.00000000000001</v>
      </c>
      <c r="Y24" s="195">
        <f>IF(SUM(V24,W24,X24)&gt;0,SUM(V24,W24,X24),"")</f>
        <v>396.99255045843125</v>
      </c>
      <c r="Z24" s="196" t="str">
        <f>IF(AE23&gt;34,(IF(OR(S24="",V24="",W24="",X24=""),"",SUM(S24,V24,W24,X24))*AI23),IF(OR(S24="",V24="",W24="",X24=""),"", SUM(S24,V24,W24,X24)))</f>
        <v/>
      </c>
      <c r="AA24" s="192" t="s">
        <v>13</v>
      </c>
      <c r="AB24" s="175"/>
      <c r="AC24" s="70"/>
    </row>
    <row r="25" spans="2:41" s="17" customFormat="1" ht="18" customHeight="1">
      <c r="B25" s="203">
        <v>2010029</v>
      </c>
      <c r="C25" s="220" t="s">
        <v>148</v>
      </c>
      <c r="D25" s="205">
        <v>152</v>
      </c>
      <c r="E25" s="206" t="s">
        <v>134</v>
      </c>
      <c r="F25" s="206" t="s">
        <v>125</v>
      </c>
      <c r="G25" s="208">
        <v>40418</v>
      </c>
      <c r="H25" s="209"/>
      <c r="I25" s="210" t="s">
        <v>149</v>
      </c>
      <c r="J25" s="210" t="s">
        <v>112</v>
      </c>
      <c r="K25" s="216">
        <v>70</v>
      </c>
      <c r="L25" s="218">
        <v>75</v>
      </c>
      <c r="M25" s="218">
        <v>80</v>
      </c>
      <c r="N25" s="216">
        <v>90</v>
      </c>
      <c r="O25" s="218">
        <v>95</v>
      </c>
      <c r="P25" s="218">
        <v>100</v>
      </c>
      <c r="Q25" s="180">
        <f>IF(MAX(K25:M25)&gt;0,IF(MAX(K25:M25)&lt;0,0,TRUNC(MAX(K25:M25)/1)*1),"")</f>
        <v>80</v>
      </c>
      <c r="R25" s="181">
        <f>IF(MAX(N25:P25)&gt;0,IF(MAX(N25:P25)&lt;0,0,TRUNC(MAX(N25:P25)/1)*1),"")</f>
        <v>100</v>
      </c>
      <c r="S25" s="182">
        <f>IF(Q25="","",IF(R25="","",IF(SUM(Q25:R25)=0,"",SUM(Q25:R25))))</f>
        <v>180</v>
      </c>
      <c r="T25" s="171">
        <f>IF(S25="","",IF(E25="","",IF((AD25="k"),IF(D25&gt;153.757,S25,IF(D25&lt;28,10^(0.787004341*LOG10(28/153.757)^2)*S25,10^(0.787004341*LOG10(D25/153.757)^2)*S25)),IF(D25&gt;193.609,S25,IF(D25&lt;32,10^(0.722762521*LOG10(32/193.609)^2)*S25,10^(0.722762521*LOG10(D25/193.609)^2)*S25)))))</f>
        <v>183.3383868252356</v>
      </c>
      <c r="U25" s="187" t="str">
        <f>IF(AF25=1,T25*AI25,"")</f>
        <v/>
      </c>
      <c r="V25" s="190">
        <f>IF('K3'!G23="","",'K3'!G23)</f>
        <v>5.82</v>
      </c>
      <c r="W25" s="184">
        <f>IF('K3'!K23="","",'K3'!K23)</f>
        <v>12.11</v>
      </c>
      <c r="X25" s="184">
        <f>IF('K3'!N23="","",'K3'!N23)</f>
        <v>18.8</v>
      </c>
      <c r="Y25" s="185"/>
      <c r="Z25" s="183"/>
      <c r="AA25" s="193"/>
      <c r="AB25" s="176"/>
      <c r="AC25" s="70">
        <f>U5</f>
        <v>45829</v>
      </c>
      <c r="AD25" s="84" t="str">
        <f t="shared" ref="AD25" si="22">IF(ISNUMBER(FIND("M",E25)),"m",IF(ISNUMBER(FIND("K",E25)),"k"))</f>
        <v>m</v>
      </c>
      <c r="AE25" s="85">
        <f t="shared" ref="AE25" si="23">IF(OR(G25="",AC25=""),0,(YEAR(AC25)-YEAR(G25)))</f>
        <v>15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19">
        <f>IF(D25="","",IF(D25&gt;193.609,1,IF(D25&lt;32,10^(0.722762521*LOG10(32/193.609)^2),10^(0.722762521*LOG10(D25/193.609)^2))))</f>
        <v>1.0185465934735312</v>
      </c>
    </row>
    <row r="26" spans="2:41" s="17" customFormat="1" ht="18" customHeight="1">
      <c r="B26" s="203"/>
      <c r="C26" s="212"/>
      <c r="D26" s="213"/>
      <c r="E26" s="213"/>
      <c r="F26" s="214"/>
      <c r="G26" s="215"/>
      <c r="H26" s="216"/>
      <c r="I26" s="211"/>
      <c r="J26" s="211"/>
      <c r="K26" s="289"/>
      <c r="L26" s="289"/>
      <c r="M26" s="289"/>
      <c r="N26" s="288"/>
      <c r="O26" s="288"/>
      <c r="P26" s="288"/>
      <c r="Q26" s="102"/>
      <c r="R26" s="140"/>
      <c r="S26" s="290">
        <f>IF(T25="","",T25*1.2)</f>
        <v>220.00606419028273</v>
      </c>
      <c r="T26" s="290"/>
      <c r="U26" s="177"/>
      <c r="V26" s="189">
        <f>IF(V25="","",V25*20)</f>
        <v>116.4</v>
      </c>
      <c r="W26" s="194">
        <f>IF(W25="","",(W25*10)*AJ25)</f>
        <v>123.34599246964461</v>
      </c>
      <c r="X26" s="195">
        <f>IF(X25="","",IF((80+(8-ROUNDUP(X25,1))*40)&lt;0,0,80+(8-ROUNDUP(X25,1))*40))</f>
        <v>0</v>
      </c>
      <c r="Y26" s="195">
        <f>IF(SUM(V26,W26,X26)&gt;0,SUM(V26,W26,X26),"")</f>
        <v>239.74599246964462</v>
      </c>
      <c r="Z26" s="196">
        <f>IF(AE25&gt;34,(IF(OR(S26="",V26="",W26="",X26=""),"",SUM(S26,V26,W26,X26))*AI25),IF(OR(S26="",V26="",W26="",X26=""),"", SUM(S26,V26,W26,X26)))</f>
        <v>459.75205665992735</v>
      </c>
      <c r="AA26" s="192">
        <v>1</v>
      </c>
      <c r="AB26" s="175"/>
      <c r="AC26" s="70"/>
    </row>
    <row r="27" spans="2:41" s="17" customFormat="1" ht="18" customHeight="1">
      <c r="B27" s="203">
        <v>2008022</v>
      </c>
      <c r="C27" s="204" t="s">
        <v>109</v>
      </c>
      <c r="D27" s="205">
        <v>84.31</v>
      </c>
      <c r="E27" s="206" t="s">
        <v>134</v>
      </c>
      <c r="F27" s="206" t="s">
        <v>150</v>
      </c>
      <c r="G27" s="208">
        <v>39679</v>
      </c>
      <c r="H27" s="209"/>
      <c r="I27" s="210" t="s">
        <v>151</v>
      </c>
      <c r="J27" s="210" t="s">
        <v>112</v>
      </c>
      <c r="K27" s="216">
        <v>85</v>
      </c>
      <c r="L27" s="241">
        <v>90</v>
      </c>
      <c r="M27" s="218">
        <v>95</v>
      </c>
      <c r="N27" s="216">
        <v>117</v>
      </c>
      <c r="O27" s="218">
        <v>-123</v>
      </c>
      <c r="P27" s="218">
        <v>123</v>
      </c>
      <c r="Q27" s="180">
        <f>IF(MAX(K27:M27)&gt;0,IF(MAX(K27:M27)&lt;0,0,TRUNC(MAX(K27:M27)/1)*1),"")</f>
        <v>95</v>
      </c>
      <c r="R27" s="181">
        <f>IF(MAX(N27:P27)&gt;0,IF(MAX(N27:P27)&lt;0,0,TRUNC(MAX(N27:P27)/1)*1),"")</f>
        <v>123</v>
      </c>
      <c r="S27" s="182">
        <f>IF(Q27="","",IF(R27="","",IF(SUM(Q27:R27)=0,"",SUM(Q27:R27))))</f>
        <v>218</v>
      </c>
      <c r="T27" s="171">
        <f>IF(S27="","",IF(E27="","",IF((AD27="k"),IF(D27&gt;153.757,S27,IF(D27&lt;28,10^(0.787004341*LOG10(28/153.757)^2)*S27,10^(0.787004341*LOG10(D27/153.757)^2)*S27)),IF(D27&gt;193.609,S27,IF(D27&lt;32,10^(0.722762521*LOG10(32/193.609)^2)*S27,10^(0.722762521*LOG10(D27/193.609)^2)*S27)))))</f>
        <v>270.81447286036126</v>
      </c>
      <c r="U27" s="187" t="str">
        <f>IF(AF27=1,T27*AI27,"")</f>
        <v/>
      </c>
      <c r="V27" s="190">
        <f>IF('K3'!G25="","",'K3'!G25)</f>
        <v>8.6</v>
      </c>
      <c r="W27" s="184">
        <f>IF('K3'!K25="","",'K3'!K25)</f>
        <v>10.26</v>
      </c>
      <c r="X27" s="184">
        <f>IF('K3'!N25="","",'K3'!N25)</f>
        <v>6.6</v>
      </c>
      <c r="Y27" s="185"/>
      <c r="Z27" s="183"/>
      <c r="AA27" s="193"/>
      <c r="AB27" s="176"/>
      <c r="AC27" s="70">
        <f>U5</f>
        <v>45829</v>
      </c>
      <c r="AD27" s="84" t="str">
        <f t="shared" ref="AD27" si="25">IF(ISNUMBER(FIND("M",E27)),"m",IF(ISNUMBER(FIND("K",E27)),"k"))</f>
        <v>m</v>
      </c>
      <c r="AE27" s="85">
        <f t="shared" ref="AE27" si="26">IF(OR(G27="",AC27=""),0,(YEAR(AC27)-YEAR(G27)))</f>
        <v>17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b">
        <f t="shared" ref="AI27" si="27">IF(AD27="m",AG27,IF(AD27="k",AH27,""))</f>
        <v>0</v>
      </c>
      <c r="AJ27" s="119">
        <f>IF(D27="","",IF(D27&gt;193.609,1,IF(D27&lt;32,10^(0.722762521*LOG10(32/193.609)^2),10^(0.722762521*LOG10(D27/193.609)^2))))</f>
        <v>1.2422682241300975</v>
      </c>
    </row>
    <row r="28" spans="2:41" s="17" customFormat="1" ht="18" customHeight="1">
      <c r="B28" s="203"/>
      <c r="C28" s="212"/>
      <c r="D28" s="213"/>
      <c r="E28" s="213"/>
      <c r="F28" s="214"/>
      <c r="G28" s="215"/>
      <c r="H28" s="216"/>
      <c r="I28" s="211"/>
      <c r="J28" s="211"/>
      <c r="K28" s="289"/>
      <c r="L28" s="289"/>
      <c r="M28" s="289"/>
      <c r="N28" s="288"/>
      <c r="O28" s="288"/>
      <c r="P28" s="288"/>
      <c r="Q28" s="102"/>
      <c r="R28" s="140"/>
      <c r="S28" s="290">
        <f>IF(T27="","",T27*1.2)</f>
        <v>324.97736743243348</v>
      </c>
      <c r="T28" s="290"/>
      <c r="U28" s="177"/>
      <c r="V28" s="189">
        <f>IF(V27="","",V27*20)</f>
        <v>172</v>
      </c>
      <c r="W28" s="194">
        <f>IF(W27="","",(W27*10)*AJ27)</f>
        <v>127.456719795748</v>
      </c>
      <c r="X28" s="195">
        <f>IF(X27="","",IF((80+(8-ROUNDUP(X27,1))*40)&lt;0,0,80+(8-ROUNDUP(X27,1))*40))</f>
        <v>136</v>
      </c>
      <c r="Y28" s="195">
        <f>IF(SUM(V28,W28,X28)&gt;0,SUM(V28,W28,X28),"")</f>
        <v>435.45671979574797</v>
      </c>
      <c r="Z28" s="196">
        <f>IF(AE27&gt;34,(IF(OR(S28="",V28="",W28="",X28=""),"",SUM(S28,V28,W28,X28))*AI27),IF(OR(S28="",V28="",W28="",X28=""),"", SUM(S28,V28,W28,X28)))</f>
        <v>760.43408722818151</v>
      </c>
      <c r="AA28" s="192">
        <v>2</v>
      </c>
      <c r="AB28" s="175"/>
      <c r="AC28" s="70"/>
    </row>
    <row r="29" spans="2:41" s="17" customFormat="1" ht="18" customHeight="1">
      <c r="B29" s="203">
        <v>2008023</v>
      </c>
      <c r="C29" s="204" t="s">
        <v>109</v>
      </c>
      <c r="D29" s="205">
        <v>79.83</v>
      </c>
      <c r="E29" s="206" t="s">
        <v>134</v>
      </c>
      <c r="F29" s="206" t="s">
        <v>150</v>
      </c>
      <c r="G29" s="208">
        <v>39541</v>
      </c>
      <c r="H29" s="209"/>
      <c r="I29" s="210" t="s">
        <v>152</v>
      </c>
      <c r="J29" s="210" t="s">
        <v>112</v>
      </c>
      <c r="K29" s="216">
        <v>85</v>
      </c>
      <c r="L29" s="218">
        <v>-90</v>
      </c>
      <c r="M29" s="218">
        <v>-90</v>
      </c>
      <c r="N29" s="216">
        <v>95</v>
      </c>
      <c r="O29" s="218">
        <v>-100</v>
      </c>
      <c r="P29" s="218">
        <v>-100</v>
      </c>
      <c r="Q29" s="180">
        <f>IF(MAX(K29:M29)&gt;0,IF(MAX(K29:M29)&lt;0,0,TRUNC(MAX(K29:M29)/1)*1),"")</f>
        <v>85</v>
      </c>
      <c r="R29" s="181">
        <f>IF(MAX(N29:P29)&gt;0,IF(MAX(N29:P29)&lt;0,0,TRUNC(MAX(N29:P29)/1)*1),"")</f>
        <v>95</v>
      </c>
      <c r="S29" s="182">
        <f>IF(Q29="","",IF(R29="","",IF(SUM(Q29:R29)=0,"",SUM(Q29:R29))))</f>
        <v>180</v>
      </c>
      <c r="T29" s="171">
        <f>IF(S29="","",IF(E29="","",IF((AD29="k"),IF(D29&gt;153.757,S29,IF(D29&lt;28,10^(0.787004341*LOG10(28/153.757)^2)*S29,10^(0.787004341*LOG10(D29/153.757)^2)*S29)),IF(D29&gt;193.609,S29,IF(D29&lt;32,10^(0.722762521*LOG10(32/193.609)^2)*S29,10^(0.722762521*LOG10(D29/193.609)^2)*S29)))))</f>
        <v>230.28737435755741</v>
      </c>
      <c r="U29" s="187" t="str">
        <f>IF(AF29=1,T29*AI29,"")</f>
        <v/>
      </c>
      <c r="V29" s="190">
        <f>IF('K3'!G27="","",'K3'!G27)</f>
        <v>7.52</v>
      </c>
      <c r="W29" s="184">
        <f>IF('K3'!K27="","",'K3'!K27)</f>
        <v>9.39</v>
      </c>
      <c r="X29" s="184">
        <f>IF('K3'!N27="","",'K3'!N27)</f>
        <v>6.7</v>
      </c>
      <c r="Y29" s="185"/>
      <c r="Z29" s="183"/>
      <c r="AA29" s="193"/>
      <c r="AB29" s="176"/>
      <c r="AC29" s="70">
        <f>U5</f>
        <v>45829</v>
      </c>
      <c r="AD29" s="84" t="str">
        <f t="shared" ref="AD29" si="28">IF(ISNUMBER(FIND("M",E29)),"m",IF(ISNUMBER(FIND("K",E29)),"k"))</f>
        <v>m</v>
      </c>
      <c r="AE29" s="85">
        <f t="shared" ref="AE29" si="29">IF(OR(G29="",AC29=""),0,(YEAR(AC29)-YEAR(G29)))</f>
        <v>17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b">
        <f t="shared" ref="AI29" si="30">IF(AD29="m",AG29,IF(AD29="k",AH29,""))</f>
        <v>0</v>
      </c>
      <c r="AJ29" s="119">
        <f>IF(D29="","",IF(D29&gt;193.609,1,IF(D29&lt;32,10^(0.722762521*LOG10(32/193.609)^2),10^(0.722762521*LOG10(D29/193.609)^2))))</f>
        <v>1.2793743019864301</v>
      </c>
    </row>
    <row r="30" spans="2:41" s="17" customFormat="1" ht="18" customHeight="1">
      <c r="B30" s="203"/>
      <c r="C30" s="212"/>
      <c r="D30" s="213"/>
      <c r="E30" s="213"/>
      <c r="F30" s="214"/>
      <c r="G30" s="215"/>
      <c r="H30" s="216"/>
      <c r="I30" s="211"/>
      <c r="J30" s="211"/>
      <c r="K30" s="289"/>
      <c r="L30" s="289"/>
      <c r="M30" s="289"/>
      <c r="N30" s="288"/>
      <c r="O30" s="288"/>
      <c r="P30" s="288"/>
      <c r="Q30" s="102"/>
      <c r="R30" s="140"/>
      <c r="S30" s="290">
        <f>IF(T29="","",T29*1.2)</f>
        <v>276.34484922906887</v>
      </c>
      <c r="T30" s="290"/>
      <c r="U30" s="177"/>
      <c r="V30" s="189">
        <f>IF(V29="","",V29*20)</f>
        <v>150.39999999999998</v>
      </c>
      <c r="W30" s="194">
        <f>IF(W29="","",(W29*10)*AJ29)</f>
        <v>120.1332469565258</v>
      </c>
      <c r="X30" s="195">
        <f>IF(X29="","",IF((80+(8-ROUNDUP(X29,1))*40)&lt;0,0,80+(8-ROUNDUP(X29,1))*40))</f>
        <v>132</v>
      </c>
      <c r="Y30" s="195">
        <f>IF(SUM(V30,W30,X30)&gt;0,SUM(V30,W30,X30),"")</f>
        <v>402.53324695652577</v>
      </c>
      <c r="Z30" s="196">
        <f>IF(AE29&gt;34,(IF(OR(S30="",V30="",W30="",X30=""),"",SUM(S30,V30,W30,X30))*AI29),IF(OR(S30="",V30="",W30="",X30=""),"", SUM(S30,V30,W30,X30)))</f>
        <v>678.87809618559459</v>
      </c>
      <c r="AA30" s="192">
        <v>3</v>
      </c>
      <c r="AB30" s="175"/>
      <c r="AC30" s="70"/>
    </row>
    <row r="31" spans="2:41" s="17" customFormat="1" ht="18" customHeight="1">
      <c r="B31" s="222">
        <v>2008009</v>
      </c>
      <c r="C31" s="204" t="s">
        <v>153</v>
      </c>
      <c r="D31" s="205">
        <v>92.77</v>
      </c>
      <c r="E31" s="206" t="s">
        <v>134</v>
      </c>
      <c r="F31" s="206" t="s">
        <v>150</v>
      </c>
      <c r="G31" s="208">
        <v>39760</v>
      </c>
      <c r="H31" s="209"/>
      <c r="I31" s="210" t="s">
        <v>154</v>
      </c>
      <c r="J31" s="210" t="s">
        <v>94</v>
      </c>
      <c r="K31" s="216">
        <v>112</v>
      </c>
      <c r="L31" s="218">
        <v>117</v>
      </c>
      <c r="M31" s="218">
        <v>-120</v>
      </c>
      <c r="N31" s="216">
        <v>140</v>
      </c>
      <c r="O31" s="218">
        <v>145</v>
      </c>
      <c r="P31" s="218">
        <v>151</v>
      </c>
      <c r="Q31" s="180">
        <f>IF(MAX(K31:M31)&gt;0,IF(MAX(K31:M31)&lt;0,0,TRUNC(MAX(K31:M31)/1)*1),"")</f>
        <v>117</v>
      </c>
      <c r="R31" s="181">
        <f>IF(MAX(N31:P31)&gt;0,IF(MAX(N31:P31)&lt;0,0,TRUNC(MAX(N31:P31)/1)*1),"")</f>
        <v>151</v>
      </c>
      <c r="S31" s="182">
        <f>IF(Q31="","",IF(R31="","",IF(SUM(Q31:R31)=0,"",SUM(Q31:R31))))</f>
        <v>268</v>
      </c>
      <c r="T31" s="171">
        <f>IF(S31="","",IF(E31="","",IF((AD31="k"),IF(D31&gt;153.757,S31,IF(D31&lt;28,10^(0.787004341*LOG10(28/153.757)^2)*S31,10^(0.787004341*LOG10(D31/153.757)^2)*S31)),IF(D31&gt;193.609,S31,IF(D31&lt;32,10^(0.722762521*LOG10(32/193.609)^2)*S31,10^(0.722762521*LOG10(D31/193.609)^2)*S31)))))</f>
        <v>317.6309982390469</v>
      </c>
      <c r="U31" s="187" t="str">
        <f>IF(AF31=1,T31*AI31,"")</f>
        <v/>
      </c>
      <c r="V31" s="190">
        <f>IF('K3'!G29="","",'K3'!G29)</f>
        <v>7.54</v>
      </c>
      <c r="W31" s="184">
        <f>IF('K3'!K29="","",'K3'!K29)</f>
        <v>10.8</v>
      </c>
      <c r="X31" s="184">
        <f>IF('K3'!N29="","",'K3'!N29)</f>
        <v>6.8</v>
      </c>
      <c r="Y31" s="185" t="s">
        <v>13</v>
      </c>
      <c r="Z31" s="183"/>
      <c r="AA31" s="193"/>
      <c r="AB31" s="176"/>
      <c r="AC31" s="70">
        <f>U5</f>
        <v>45829</v>
      </c>
      <c r="AD31" s="84" t="str">
        <f t="shared" ref="AD31" si="31">IF(ISNUMBER(FIND("M",E31)),"m",IF(ISNUMBER(FIND("K",E31)),"k"))</f>
        <v>m</v>
      </c>
      <c r="AE31" s="85">
        <f t="shared" ref="AE31" si="32">IF(OR(G31="",AC31=""),0,(YEAR(AC31)-YEAR(G31)))</f>
        <v>17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b">
        <f t="shared" ref="AI31" si="33">IF(AD31="m",AG31,IF(AD31="k",AH31,""))</f>
        <v>0</v>
      </c>
      <c r="AJ31" s="119">
        <f>IF(D31="","",IF(D31&gt;193.609,1,IF(D31&lt;32,10^(0.722762521*LOG10(32/193.609)^2),10^(0.722762521*LOG10(D31/193.609)^2))))</f>
        <v>1.1851902919367421</v>
      </c>
    </row>
    <row r="32" spans="2:41" s="17" customFormat="1" ht="18" customHeight="1">
      <c r="B32" s="203"/>
      <c r="C32" s="212"/>
      <c r="D32" s="213"/>
      <c r="E32" s="213"/>
      <c r="F32" s="214"/>
      <c r="G32" s="215"/>
      <c r="H32" s="216"/>
      <c r="I32" s="211"/>
      <c r="J32" s="211"/>
      <c r="K32" s="289"/>
      <c r="L32" s="289"/>
      <c r="M32" s="289"/>
      <c r="N32" s="288"/>
      <c r="O32" s="288"/>
      <c r="P32" s="288"/>
      <c r="Q32" s="199"/>
      <c r="R32" s="198"/>
      <c r="S32" s="287">
        <f>IF(T31="","",T31*1.2)</f>
        <v>381.1571978868563</v>
      </c>
      <c r="T32" s="287"/>
      <c r="U32" s="200"/>
      <c r="V32" s="197">
        <f>IF(V31="","",V31*20)</f>
        <v>150.80000000000001</v>
      </c>
      <c r="W32" s="160">
        <f>IF(W31="","",(W31*10)*AJ31)</f>
        <v>128.00055152916815</v>
      </c>
      <c r="X32" s="201">
        <f>IF(X31="","",IF((80+(8-ROUNDUP(X31,1))*40)&lt;0,0,80+(8-ROUNDUP(X31,1))*40))</f>
        <v>128</v>
      </c>
      <c r="Y32" s="201">
        <f>IF(SUM(V32,W32,X32)&gt;0,SUM(V32,W32,X32),"")</f>
        <v>406.80055152916816</v>
      </c>
      <c r="Z32" s="183">
        <f>IF(AE31&gt;34,(IF(OR(S32="",V32="",W32="",X32=""),"",SUM(S32,V32,W32,X32))*AI31),IF(OR(S32="",V32="",W32="",X32=""),"", SUM(S32,V32,W32,X32)))</f>
        <v>787.9577494160244</v>
      </c>
      <c r="AA32" s="202">
        <v>1</v>
      </c>
      <c r="AB32" s="17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282" t="s">
        <v>70</v>
      </c>
      <c r="C35" s="283"/>
      <c r="D35" s="141" t="s">
        <v>69</v>
      </c>
      <c r="E35" s="282" t="s">
        <v>6</v>
      </c>
      <c r="F35" s="284"/>
      <c r="G35" s="284"/>
      <c r="H35" s="283"/>
      <c r="I35" s="142" t="s">
        <v>28</v>
      </c>
      <c r="J35" s="80"/>
      <c r="K35" s="282" t="s">
        <v>70</v>
      </c>
      <c r="L35" s="284"/>
      <c r="M35" s="283"/>
      <c r="N35" s="143" t="s">
        <v>69</v>
      </c>
      <c r="O35" s="270" t="s">
        <v>6</v>
      </c>
      <c r="P35" s="285"/>
      <c r="Q35" s="285"/>
      <c r="R35" s="271"/>
      <c r="S35" s="270" t="s">
        <v>28</v>
      </c>
      <c r="T35" s="271"/>
      <c r="AC35" s="4"/>
      <c r="AD35" s="4"/>
      <c r="AE35" s="4"/>
      <c r="AF35" s="1"/>
      <c r="AH35" s="121"/>
      <c r="AI35" s="121"/>
    </row>
    <row r="36" spans="2:35" s="6" customFormat="1" ht="20" customHeight="1">
      <c r="B36" s="272" t="s">
        <v>71</v>
      </c>
      <c r="C36" s="273"/>
      <c r="D36" s="144"/>
      <c r="E36" s="274"/>
      <c r="F36" s="275"/>
      <c r="G36" s="275"/>
      <c r="H36" s="273"/>
      <c r="I36" s="145"/>
      <c r="J36" s="5"/>
      <c r="K36" s="272" t="s">
        <v>72</v>
      </c>
      <c r="L36" s="275"/>
      <c r="M36" s="273"/>
      <c r="N36" s="242">
        <v>1950001</v>
      </c>
      <c r="O36" s="276" t="s">
        <v>177</v>
      </c>
      <c r="P36" s="277"/>
      <c r="Q36" s="277"/>
      <c r="R36" s="278"/>
      <c r="S36" s="276" t="s">
        <v>178</v>
      </c>
      <c r="T36" s="279"/>
      <c r="AF36" s="1"/>
      <c r="AH36" s="146"/>
      <c r="AI36" s="146"/>
    </row>
    <row r="37" spans="2:35" s="6" customFormat="1" ht="21" customHeight="1">
      <c r="B37" s="262" t="s">
        <v>73</v>
      </c>
      <c r="C37" s="263"/>
      <c r="D37" s="147">
        <v>1990006</v>
      </c>
      <c r="E37" s="264" t="s">
        <v>100</v>
      </c>
      <c r="F37" s="265"/>
      <c r="G37" s="265"/>
      <c r="H37" s="263"/>
      <c r="I37" s="148" t="s">
        <v>94</v>
      </c>
      <c r="J37" s="5"/>
      <c r="K37" s="262" t="s">
        <v>74</v>
      </c>
      <c r="L37" s="265"/>
      <c r="M37" s="263"/>
      <c r="N37" s="149"/>
      <c r="O37" s="266"/>
      <c r="P37" s="267"/>
      <c r="Q37" s="267"/>
      <c r="R37" s="268"/>
      <c r="S37" s="266"/>
      <c r="T37" s="269"/>
      <c r="AH37" s="146"/>
      <c r="AI37" s="146"/>
    </row>
    <row r="38" spans="2:35" s="6" customFormat="1" ht="19" customHeight="1">
      <c r="B38" s="262" t="s">
        <v>73</v>
      </c>
      <c r="C38" s="263"/>
      <c r="D38" s="147">
        <v>1992011</v>
      </c>
      <c r="E38" s="264" t="s">
        <v>96</v>
      </c>
      <c r="F38" s="265"/>
      <c r="G38" s="265"/>
      <c r="H38" s="263"/>
      <c r="I38" s="148" t="s">
        <v>94</v>
      </c>
      <c r="J38" s="5"/>
      <c r="K38" s="262" t="s">
        <v>75</v>
      </c>
      <c r="L38" s="265"/>
      <c r="M38" s="263"/>
      <c r="N38" s="149"/>
      <c r="O38" s="266"/>
      <c r="P38" s="267"/>
      <c r="Q38" s="267"/>
      <c r="R38" s="268"/>
      <c r="S38" s="266"/>
      <c r="T38" s="269"/>
      <c r="V38" s="6" t="s">
        <v>76</v>
      </c>
      <c r="AH38" s="146"/>
      <c r="AI38" s="146"/>
    </row>
    <row r="39" spans="2:35" s="6" customFormat="1" ht="21" customHeight="1">
      <c r="B39" s="262" t="s">
        <v>73</v>
      </c>
      <c r="C39" s="263"/>
      <c r="D39" s="147">
        <v>2006026</v>
      </c>
      <c r="E39" s="264" t="s">
        <v>168</v>
      </c>
      <c r="F39" s="265"/>
      <c r="G39" s="265"/>
      <c r="H39" s="263"/>
      <c r="I39" s="148" t="s">
        <v>112</v>
      </c>
      <c r="J39" s="5"/>
      <c r="K39" s="262" t="s">
        <v>77</v>
      </c>
      <c r="L39" s="265"/>
      <c r="M39" s="263"/>
      <c r="N39" s="149"/>
      <c r="O39" s="266"/>
      <c r="P39" s="267"/>
      <c r="Q39" s="267"/>
      <c r="R39" s="268"/>
      <c r="S39" s="266"/>
      <c r="T39" s="269"/>
      <c r="AD39" s="6" t="s">
        <v>13</v>
      </c>
      <c r="AH39" s="146"/>
      <c r="AI39" s="146"/>
    </row>
    <row r="40" spans="2:35" s="6" customFormat="1" ht="20" customHeight="1">
      <c r="B40" s="262" t="s">
        <v>73</v>
      </c>
      <c r="C40" s="263"/>
      <c r="D40" s="147"/>
      <c r="E40" s="264"/>
      <c r="F40" s="265"/>
      <c r="G40" s="265"/>
      <c r="H40" s="263"/>
      <c r="I40" s="148"/>
      <c r="J40" s="5"/>
      <c r="K40" s="262" t="s">
        <v>77</v>
      </c>
      <c r="L40" s="265"/>
      <c r="M40" s="263"/>
      <c r="N40" s="149"/>
      <c r="O40" s="266"/>
      <c r="P40" s="267"/>
      <c r="Q40" s="267"/>
      <c r="R40" s="268"/>
      <c r="S40" s="266"/>
      <c r="T40" s="269"/>
      <c r="AH40" s="146"/>
      <c r="AI40" s="146"/>
    </row>
    <row r="41" spans="2:35" s="4" customFormat="1" ht="19" customHeight="1">
      <c r="B41" s="262" t="s">
        <v>73</v>
      </c>
      <c r="C41" s="263"/>
      <c r="D41" s="147"/>
      <c r="E41" s="264"/>
      <c r="F41" s="265"/>
      <c r="G41" s="265"/>
      <c r="H41" s="263"/>
      <c r="I41" s="148"/>
      <c r="K41" s="262" t="s">
        <v>77</v>
      </c>
      <c r="L41" s="265"/>
      <c r="M41" s="263"/>
      <c r="N41" s="149"/>
      <c r="O41" s="266"/>
      <c r="P41" s="267"/>
      <c r="Q41" s="267"/>
      <c r="R41" s="268"/>
      <c r="S41" s="266"/>
      <c r="T41" s="269"/>
      <c r="AH41" s="3"/>
      <c r="AI41" s="3"/>
    </row>
    <row r="42" spans="2:35" s="4" customFormat="1" ht="20" customHeight="1">
      <c r="B42" s="262" t="s">
        <v>78</v>
      </c>
      <c r="C42" s="263"/>
      <c r="D42" s="147">
        <v>2000010</v>
      </c>
      <c r="E42" s="264" t="s">
        <v>170</v>
      </c>
      <c r="F42" s="265"/>
      <c r="G42" s="265"/>
      <c r="H42" s="263"/>
      <c r="I42" s="148" t="s">
        <v>94</v>
      </c>
      <c r="K42" s="262" t="s">
        <v>79</v>
      </c>
      <c r="L42" s="265"/>
      <c r="M42" s="263"/>
      <c r="N42" s="149">
        <v>1996021</v>
      </c>
      <c r="O42" s="266" t="s">
        <v>95</v>
      </c>
      <c r="P42" s="267"/>
      <c r="Q42" s="267"/>
      <c r="R42" s="268"/>
      <c r="S42" s="266" t="s">
        <v>94</v>
      </c>
      <c r="T42" s="269"/>
      <c r="AH42" s="3"/>
      <c r="AI42" s="3"/>
    </row>
    <row r="43" spans="2:35" s="4" customFormat="1" ht="20" customHeight="1">
      <c r="B43" s="248"/>
      <c r="C43" s="256"/>
      <c r="D43" s="150"/>
      <c r="E43" s="257"/>
      <c r="F43" s="249"/>
      <c r="G43" s="249"/>
      <c r="H43" s="256"/>
      <c r="I43" s="151"/>
      <c r="K43" s="248"/>
      <c r="L43" s="249"/>
      <c r="M43" s="256"/>
      <c r="N43" s="152"/>
      <c r="O43" s="258"/>
      <c r="P43" s="259"/>
      <c r="Q43" s="259"/>
      <c r="R43" s="260"/>
      <c r="S43" s="258"/>
      <c r="T43" s="261"/>
      <c r="AH43" s="3"/>
      <c r="AI43" s="3"/>
    </row>
    <row r="44" spans="2:35" s="4" customFormat="1" ht="19" customHeight="1">
      <c r="B44" s="255"/>
      <c r="C44" s="255"/>
      <c r="D44" s="244"/>
      <c r="E44" s="244"/>
      <c r="F44" s="153"/>
      <c r="G44" s="244"/>
      <c r="H44" s="244"/>
      <c r="I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AH44" s="3"/>
      <c r="AI44" s="3"/>
    </row>
    <row r="45" spans="2:35" s="4" customFormat="1" ht="18" customHeight="1">
      <c r="B45" s="245" t="s">
        <v>80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AH45" s="3"/>
      <c r="AI45" s="3"/>
    </row>
    <row r="46" spans="2:35" s="4" customFormat="1" ht="18" customHeight="1">
      <c r="B46" s="248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50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7:M7"/>
    <mergeCell ref="N7:P7"/>
    <mergeCell ref="Q7:T7"/>
    <mergeCell ref="U5:V5"/>
    <mergeCell ref="K10:M10"/>
    <mergeCell ref="N10:P10"/>
    <mergeCell ref="S10:T10"/>
    <mergeCell ref="K8:M8"/>
    <mergeCell ref="N8:P8"/>
    <mergeCell ref="S12:T12"/>
    <mergeCell ref="K14:M14"/>
    <mergeCell ref="N14:P14"/>
    <mergeCell ref="S14:T14"/>
    <mergeCell ref="K16:M16"/>
    <mergeCell ref="N16:P16"/>
    <mergeCell ref="S16:T16"/>
    <mergeCell ref="K12:M12"/>
    <mergeCell ref="N12:P1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B7:B8"/>
    <mergeCell ref="G2:R2"/>
    <mergeCell ref="G3:R3"/>
    <mergeCell ref="D5:I5"/>
    <mergeCell ref="K5:N5"/>
    <mergeCell ref="P5:S5"/>
    <mergeCell ref="K47:AB47"/>
    <mergeCell ref="P44:T44"/>
    <mergeCell ref="B45:T45"/>
    <mergeCell ref="B46:T46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K22:M22"/>
    <mergeCell ref="N22:P22"/>
    <mergeCell ref="B36:C36"/>
    <mergeCell ref="E36:H36"/>
    <mergeCell ref="K36:M36"/>
    <mergeCell ref="O36:R36"/>
    <mergeCell ref="S36:T36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71" priority="14" stopIfTrue="1" operator="lessThanOrEqual">
      <formula>0</formula>
    </cfRule>
    <cfRule type="cellIs" dxfId="70" priority="13" stopIfTrue="1" operator="between">
      <formula>1</formula>
      <formula>300</formula>
    </cfRule>
  </conditionalFormatting>
  <conditionalFormatting sqref="K11:P11">
    <cfRule type="cellIs" dxfId="69" priority="11" stopIfTrue="1" operator="between">
      <formula>1</formula>
      <formula>300</formula>
    </cfRule>
    <cfRule type="cellIs" dxfId="68" priority="12" stopIfTrue="1" operator="lessThanOrEqual">
      <formula>0</formula>
    </cfRule>
  </conditionalFormatting>
  <conditionalFormatting sqref="K13:P13">
    <cfRule type="cellIs" dxfId="67" priority="9" stopIfTrue="1" operator="between">
      <formula>1</formula>
      <formula>300</formula>
    </cfRule>
    <cfRule type="cellIs" dxfId="66" priority="10" stopIfTrue="1" operator="lessThanOrEqual">
      <formula>0</formula>
    </cfRule>
  </conditionalFormatting>
  <conditionalFormatting sqref="K15:P15">
    <cfRule type="cellIs" dxfId="65" priority="7" stopIfTrue="1" operator="between">
      <formula>1</formula>
      <formula>300</formula>
    </cfRule>
    <cfRule type="cellIs" dxfId="64" priority="8" stopIfTrue="1" operator="lessThanOrEqual">
      <formula>0</formula>
    </cfRule>
  </conditionalFormatting>
  <conditionalFormatting sqref="K17:P17">
    <cfRule type="cellIs" dxfId="63" priority="5" stopIfTrue="1" operator="between">
      <formula>1</formula>
      <formula>300</formula>
    </cfRule>
    <cfRule type="cellIs" dxfId="62" priority="6" stopIfTrue="1" operator="lessThanOrEqual">
      <formula>0</formula>
    </cfRule>
  </conditionalFormatting>
  <conditionalFormatting sqref="K19:P19">
    <cfRule type="cellIs" dxfId="61" priority="1" stopIfTrue="1" operator="between">
      <formula>1</formula>
      <formula>300</formula>
    </cfRule>
    <cfRule type="cellIs" dxfId="60" priority="2" stopIfTrue="1" operator="lessThanOrEqual">
      <formula>0</formula>
    </cfRule>
  </conditionalFormatting>
  <conditionalFormatting sqref="K21:P21">
    <cfRule type="cellIs" dxfId="59" priority="23" stopIfTrue="1" operator="between">
      <formula>1</formula>
      <formula>300</formula>
    </cfRule>
    <cfRule type="cellIs" dxfId="58" priority="24" stopIfTrue="1" operator="lessThanOrEqual">
      <formula>0</formula>
    </cfRule>
  </conditionalFormatting>
  <conditionalFormatting sqref="K23:P23">
    <cfRule type="cellIs" dxfId="57" priority="21" stopIfTrue="1" operator="between">
      <formula>1</formula>
      <formula>300</formula>
    </cfRule>
    <cfRule type="cellIs" dxfId="56" priority="22" stopIfTrue="1" operator="lessThanOrEqual">
      <formula>0</formula>
    </cfRule>
  </conditionalFormatting>
  <conditionalFormatting sqref="K25:P25">
    <cfRule type="cellIs" dxfId="55" priority="19" stopIfTrue="1" operator="between">
      <formula>1</formula>
      <formula>300</formula>
    </cfRule>
    <cfRule type="cellIs" dxfId="54" priority="20" stopIfTrue="1" operator="lessThanOrEqual">
      <formula>0</formula>
    </cfRule>
  </conditionalFormatting>
  <conditionalFormatting sqref="K27:P27">
    <cfRule type="cellIs" dxfId="53" priority="17" stopIfTrue="1" operator="between">
      <formula>1</formula>
      <formula>300</formula>
    </cfRule>
    <cfRule type="cellIs" dxfId="52" priority="18" stopIfTrue="1" operator="lessThanOrEqual">
      <formula>0</formula>
    </cfRule>
  </conditionalFormatting>
  <conditionalFormatting sqref="K29:P29">
    <cfRule type="cellIs" dxfId="51" priority="15" stopIfTrue="1" operator="between">
      <formula>1</formula>
      <formula>300</formula>
    </cfRule>
    <cfRule type="cellIs" dxfId="50" priority="16" stopIfTrue="1" operator="lessThanOrEqual">
      <formula>0</formula>
    </cfRule>
  </conditionalFormatting>
  <conditionalFormatting sqref="K31:P31">
    <cfRule type="cellIs" dxfId="49" priority="4" stopIfTrue="1" operator="lessThanOrEqual">
      <formula>0</formula>
    </cfRule>
    <cfRule type="cellIs" dxfId="48" priority="3" stopIfTrue="1" operator="between">
      <formula>1</formula>
      <formula>300</formula>
    </cfRule>
  </conditionalFormatting>
  <dataValidations count="5">
    <dataValidation type="list" allowBlank="1" showInputMessage="1" showErrorMessage="1" sqref="C13 C11 C25 C15 C17 C19 C29 C23 C21 C27 C31 C9" xr:uid="{0CB609DA-D613-7142-A513-F06D8826E2FD}">
      <mc:AlternateContent xmlns:x12ac="http://schemas.microsoft.com/office/spreadsheetml/2011/1/ac" xmlns:mc="http://schemas.openxmlformats.org/markup-compatibility/2006">
        <mc:Choice Requires="x12ac">
          <x12ac:list>44,48,53,56,58,60,63,"6,5",69,71,77,'+77,79,86,'+86,88,94,'+94,110,'+110</x12ac:list>
        </mc:Choice>
        <mc:Fallback>
          <formula1>"44,48,53,56,58,60,63,6,5,69,71,77,'+77,79,86,'+86,88,94,'+94,110,'+110"</formula1>
        </mc:Fallback>
      </mc:AlternateContent>
    </dataValidation>
    <dataValidation type="list" allowBlank="1" showInputMessage="1" showErrorMessage="1" sqref="E9 E29 E27 E19 E13 E17 E25 E21 E23 E11 E15 E31" xr:uid="{9DE6BB5A-0AE0-3F4B-96CE-57FBDDC470C7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9 F29 F11 F13 F15 F17 F19 F21 F23 F25 F27 F31" xr:uid="{39AEC11B-90EE-EA4D-A512-42B39E4383B5}">
      <formula1>"11-12,13-14,15-16,17-18,19-23,24-34,+35"</formula1>
    </dataValidation>
    <dataValidation type="list" allowBlank="1" showInputMessage="1" showErrorMessage="1" sqref="D5:I5" xr:uid="{92EE1E50-C2EF-534B-B3B2-996FCC40739E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198331D1-6FE8-264E-B7C1-31904ECD677E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7" orientation="landscape" horizontalDpi="300" verticalDpi="300" copies="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D4F0F-5F63-F846-9F63-407AA3C98563}">
  <sheetPr>
    <pageSetUpPr fitToPage="1"/>
  </sheetPr>
  <dimension ref="A1:AO51"/>
  <sheetViews>
    <sheetView showGridLines="0" showRowColHeaders="0" showZeros="0" zoomScale="99" zoomScaleNormal="99" workbookViewId="0">
      <selection activeCell="B9" sqref="B9"/>
    </sheetView>
  </sheetViews>
  <sheetFormatPr baseColWidth="10" defaultColWidth="9.19921875" defaultRowHeight="13"/>
  <cols>
    <col min="1" max="1" width="4.3984375" customWidth="1"/>
    <col min="2" max="2" width="10.19921875" customWidth="1"/>
    <col min="3" max="3" width="7" style="7" customWidth="1"/>
    <col min="4" max="4" width="8" style="7" customWidth="1"/>
    <col min="5" max="5" width="5.796875" style="7" customWidth="1"/>
    <col min="6" max="6" width="7.59765625" style="7" customWidth="1"/>
    <col min="7" max="7" width="10.59765625" style="7" customWidth="1"/>
    <col min="8" max="8" width="4.3984375" style="7" customWidth="1"/>
    <col min="9" max="9" width="27.796875" customWidth="1"/>
    <col min="10" max="10" width="20.59765625" customWidth="1"/>
    <col min="11" max="19" width="6.796875" style="7" customWidth="1"/>
    <col min="20" max="23" width="8" style="7" customWidth="1"/>
    <col min="24" max="24" width="9" style="7" customWidth="1"/>
    <col min="25" max="26" width="8" style="7" customWidth="1"/>
    <col min="27" max="27" width="4.59765625" style="7" customWidth="1"/>
    <col min="28" max="28" width="5" style="7" customWidth="1"/>
    <col min="29" max="29" width="9.3984375" hidden="1" customWidth="1"/>
    <col min="30" max="36" width="9.1992187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251" t="s">
        <v>44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U2" s="67" t="s">
        <v>49</v>
      </c>
      <c r="Z2"/>
      <c r="AA2"/>
      <c r="AB2"/>
    </row>
    <row r="3" spans="1:36" ht="29">
      <c r="A3" s="7"/>
      <c r="B3" s="7"/>
      <c r="E3" s="68"/>
      <c r="G3" s="252" t="s">
        <v>17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154" t="s">
        <v>50</v>
      </c>
      <c r="T3" s="154"/>
      <c r="U3" s="154"/>
      <c r="V3" s="154"/>
      <c r="W3" s="154"/>
      <c r="X3" s="154"/>
      <c r="Y3" s="154"/>
      <c r="Z3" s="154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55" t="s">
        <v>16</v>
      </c>
      <c r="D5" s="253" t="s">
        <v>81</v>
      </c>
      <c r="E5" s="253"/>
      <c r="F5" s="253"/>
      <c r="G5" s="253"/>
      <c r="H5" s="253"/>
      <c r="I5" s="253"/>
      <c r="J5" s="155" t="s">
        <v>0</v>
      </c>
      <c r="K5" s="253"/>
      <c r="L5" s="253"/>
      <c r="M5" s="253"/>
      <c r="N5" s="253"/>
      <c r="O5" s="155" t="s">
        <v>1</v>
      </c>
      <c r="P5" s="254"/>
      <c r="Q5" s="254"/>
      <c r="R5" s="254"/>
      <c r="S5" s="254"/>
      <c r="T5" s="155" t="s">
        <v>2</v>
      </c>
      <c r="U5" s="243">
        <v>45829</v>
      </c>
      <c r="V5" s="243"/>
      <c r="W5" s="156"/>
      <c r="X5" s="156"/>
      <c r="Y5" s="156"/>
      <c r="Z5" s="157" t="s">
        <v>15</v>
      </c>
      <c r="AA5" s="157"/>
      <c r="AB5" s="158">
        <v>4</v>
      </c>
      <c r="AH5" s="146"/>
      <c r="AI5" s="146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280" t="s">
        <v>69</v>
      </c>
      <c r="C7" s="132" t="s">
        <v>3</v>
      </c>
      <c r="D7" s="133" t="s">
        <v>4</v>
      </c>
      <c r="E7" s="134" t="s">
        <v>18</v>
      </c>
      <c r="F7" s="135" t="s">
        <v>18</v>
      </c>
      <c r="G7" s="136" t="s">
        <v>5</v>
      </c>
      <c r="H7" s="136" t="s">
        <v>19</v>
      </c>
      <c r="I7" s="136" t="s">
        <v>6</v>
      </c>
      <c r="J7" s="136" t="s">
        <v>7</v>
      </c>
      <c r="K7" s="291" t="s">
        <v>8</v>
      </c>
      <c r="L7" s="292"/>
      <c r="M7" s="293"/>
      <c r="N7" s="291" t="s">
        <v>9</v>
      </c>
      <c r="O7" s="292"/>
      <c r="P7" s="293"/>
      <c r="Q7" s="294" t="s">
        <v>20</v>
      </c>
      <c r="R7" s="295"/>
      <c r="S7" s="295"/>
      <c r="T7" s="295"/>
      <c r="U7" s="137" t="s">
        <v>10</v>
      </c>
      <c r="V7" s="132" t="s">
        <v>51</v>
      </c>
      <c r="W7" s="132" t="s">
        <v>22</v>
      </c>
      <c r="X7" s="132" t="s">
        <v>23</v>
      </c>
      <c r="Y7" s="136" t="s">
        <v>46</v>
      </c>
      <c r="Z7" s="138" t="s">
        <v>24</v>
      </c>
      <c r="AA7" s="138" t="s">
        <v>25</v>
      </c>
      <c r="AB7" s="139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68</v>
      </c>
    </row>
    <row r="8" spans="1:36" s="17" customFormat="1" ht="15" customHeight="1">
      <c r="B8" s="281"/>
      <c r="C8" s="127" t="s">
        <v>11</v>
      </c>
      <c r="D8" s="126" t="s">
        <v>12</v>
      </c>
      <c r="E8" s="128" t="s">
        <v>27</v>
      </c>
      <c r="F8" s="122" t="s">
        <v>24</v>
      </c>
      <c r="G8" s="123" t="s">
        <v>14</v>
      </c>
      <c r="H8" s="123" t="s">
        <v>52</v>
      </c>
      <c r="I8" s="124"/>
      <c r="J8" s="124"/>
      <c r="K8" s="296" t="s">
        <v>29</v>
      </c>
      <c r="L8" s="297"/>
      <c r="M8" s="298"/>
      <c r="N8" s="296" t="s">
        <v>29</v>
      </c>
      <c r="O8" s="297"/>
      <c r="P8" s="298"/>
      <c r="Q8" s="125" t="s">
        <v>8</v>
      </c>
      <c r="R8" s="126" t="s">
        <v>9</v>
      </c>
      <c r="S8" s="127" t="s">
        <v>30</v>
      </c>
      <c r="T8" s="128" t="s">
        <v>10</v>
      </c>
      <c r="U8" s="125" t="s">
        <v>45</v>
      </c>
      <c r="V8" s="129" t="s">
        <v>10</v>
      </c>
      <c r="W8" s="129" t="s">
        <v>10</v>
      </c>
      <c r="X8" s="129" t="s">
        <v>10</v>
      </c>
      <c r="Y8" s="123" t="s">
        <v>47</v>
      </c>
      <c r="Z8" s="130" t="s">
        <v>31</v>
      </c>
      <c r="AA8" s="130"/>
      <c r="AB8" s="131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67</v>
      </c>
    </row>
    <row r="9" spans="1:36" s="17" customFormat="1" ht="18" customHeight="1">
      <c r="B9" s="203">
        <v>2002022</v>
      </c>
      <c r="C9" s="204" t="s">
        <v>123</v>
      </c>
      <c r="D9" s="205">
        <v>51.87</v>
      </c>
      <c r="E9" s="206" t="s">
        <v>91</v>
      </c>
      <c r="F9" s="206" t="s">
        <v>155</v>
      </c>
      <c r="G9" s="208">
        <v>37301</v>
      </c>
      <c r="H9" s="209"/>
      <c r="I9" s="210" t="s">
        <v>156</v>
      </c>
      <c r="J9" s="211" t="s">
        <v>94</v>
      </c>
      <c r="K9" s="216">
        <v>-40</v>
      </c>
      <c r="L9" s="218">
        <v>-40</v>
      </c>
      <c r="M9" s="218">
        <v>40</v>
      </c>
      <c r="N9" s="216">
        <v>50</v>
      </c>
      <c r="O9" s="218">
        <v>53</v>
      </c>
      <c r="P9" s="218">
        <v>-56</v>
      </c>
      <c r="Q9" s="168">
        <f>IF(MAX(K9:M9)&gt;0,IF(MAX(K9:M9)&lt;0,0,TRUNC(MAX(K9:M9)/1)*1),"")</f>
        <v>40</v>
      </c>
      <c r="R9" s="169">
        <f>IF(MAX(N9:P9)&gt;0,IF(MAX(N9:P9)&lt;0,0,TRUNC(MAX(N9:P9)/1)*1),"")</f>
        <v>53</v>
      </c>
      <c r="S9" s="170">
        <f>IF(Q9="","",IF(R9="","",IF(SUM(Q9:R9)=0,"",SUM(Q9:R9))))</f>
        <v>93</v>
      </c>
      <c r="T9" s="171">
        <f>IF(S9="","",IF(E9="","",IF((AD9="k"),IF(D9&gt;153.757,S9,IF(D9&lt;28,10^(0.787004341*LOG10(28/153.757)^2)*S9,10^(0.787004341*LOG10(D9/153.757)^2)*S9)),IF(D9&gt;193.609,S9,IF(D9&lt;32,10^(0.722762521*LOG10(32/175.508)^2)*S9,10^(0.722762521*LOG10(D9/193.609)^2)*S9)))))</f>
        <v>139.23694646390223</v>
      </c>
      <c r="U9" s="186" t="str">
        <f>IF(AF9=1,T9*AI9,"")</f>
        <v/>
      </c>
      <c r="V9" s="188">
        <f>IF('K4'!G7="","",'K4'!G7)</f>
        <v>6.1</v>
      </c>
      <c r="W9" s="172">
        <f>IF('K4'!K7="","",'K4'!K7)</f>
        <v>8.9</v>
      </c>
      <c r="X9" s="172">
        <f>IF('K4'!N7="","",'K4'!N7)</f>
        <v>7.3</v>
      </c>
      <c r="Y9" s="173"/>
      <c r="Z9" s="171"/>
      <c r="AA9" s="191"/>
      <c r="AB9" s="174"/>
      <c r="AC9" s="70">
        <f>U5</f>
        <v>45829</v>
      </c>
      <c r="AD9" s="84" t="str">
        <f>IF(ISNUMBER(FIND("M",E9)),"m",IF(ISNUMBER(FIND("K",E9)),"k"))</f>
        <v>k</v>
      </c>
      <c r="AE9" s="85">
        <f>IF(OR(G9="",AC9=""),0,(YEAR(AC9)-YEAR(G9)))</f>
        <v>23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19">
        <f>IF(D9="","",IF(D9&gt;193.609,1,IF(D9&lt;32,10^(0.722762521*LOG10(32/193.609)^2),10^(0.722762521*LOG10(D9/193.609)^2))))</f>
        <v>1.7237886515581746</v>
      </c>
    </row>
    <row r="10" spans="1:36" s="17" customFormat="1" ht="18" customHeight="1">
      <c r="B10" s="203"/>
      <c r="C10" s="212"/>
      <c r="D10" s="213"/>
      <c r="E10" s="213"/>
      <c r="F10" s="214"/>
      <c r="G10" s="215"/>
      <c r="H10" s="216"/>
      <c r="I10" s="211"/>
      <c r="J10" s="211"/>
      <c r="K10" s="289"/>
      <c r="L10" s="289"/>
      <c r="M10" s="289"/>
      <c r="N10" s="288"/>
      <c r="O10" s="288"/>
      <c r="P10" s="288"/>
      <c r="Q10" s="102"/>
      <c r="R10" s="140"/>
      <c r="S10" s="290">
        <f>IF(T9="","",T9*1.2)</f>
        <v>167.08433575668266</v>
      </c>
      <c r="T10" s="290"/>
      <c r="U10" s="177"/>
      <c r="V10" s="189">
        <f>IF(V9="","",V9*20)</f>
        <v>122</v>
      </c>
      <c r="W10" s="194">
        <f>IF(W9="","",(W9*10)*AJ9)</f>
        <v>153.41718998867753</v>
      </c>
      <c r="X10" s="195">
        <f>IF(X9="","",IF((80+(8-ROUNDUP(X9,1))*40)&lt;0,0,80+(8-ROUNDUP(X9,1))*40))</f>
        <v>108</v>
      </c>
      <c r="Y10" s="195">
        <f>IF(SUM(V10,W10,X10)&gt;0,SUM(V10,W10,X10),"")</f>
        <v>383.41718998867753</v>
      </c>
      <c r="Z10" s="196">
        <f>IF(AE9&gt;34,(IF(OR(S10="",V10="",W10="",X10=""),"",SUM(S10,V10,W10,X10))*AI9),IF(OR(S10="",V10="",W10="",X10=""),"", SUM(S10,V10,W10,X10)))</f>
        <v>550.50152574536014</v>
      </c>
      <c r="AA10" s="192">
        <v>7</v>
      </c>
      <c r="AB10" s="17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3">
        <v>2002025</v>
      </c>
      <c r="C11" s="204" t="s">
        <v>90</v>
      </c>
      <c r="D11" s="205">
        <v>72.27</v>
      </c>
      <c r="E11" s="206" t="s">
        <v>91</v>
      </c>
      <c r="F11" s="206" t="s">
        <v>155</v>
      </c>
      <c r="G11" s="208">
        <v>37318</v>
      </c>
      <c r="H11" s="209"/>
      <c r="I11" s="210" t="s">
        <v>157</v>
      </c>
      <c r="J11" s="211" t="s">
        <v>94</v>
      </c>
      <c r="K11" s="216">
        <v>50</v>
      </c>
      <c r="L11" s="218">
        <v>-53</v>
      </c>
      <c r="M11" s="218">
        <v>53</v>
      </c>
      <c r="N11" s="216">
        <v>65</v>
      </c>
      <c r="O11" s="218">
        <v>68</v>
      </c>
      <c r="P11" s="218">
        <v>-70</v>
      </c>
      <c r="Q11" s="180">
        <f>IF(MAX(K11:M11)&gt;0,IF(MAX(K11:M11)&lt;0,0,TRUNC(MAX(K11:M11)/1)*1),"")</f>
        <v>53</v>
      </c>
      <c r="R11" s="181">
        <f>IF(MAX(N11:P11)&gt;0,IF(MAX(N11:P11)&lt;0,0,TRUNC(MAX(N11:P11)/1)*1),"")</f>
        <v>68</v>
      </c>
      <c r="S11" s="182">
        <f>IF(Q11="","",IF(R11="","",IF(SUM(Q11:R11)=0,"",SUM(Q11:R11))))</f>
        <v>121</v>
      </c>
      <c r="T11" s="171">
        <f>IF(S11="","",IF(E11="","",IF((AD11="k"),IF(D11&gt;153.757,S11,IF(D11&lt;28,10^(0.787004341*LOG10(28/153.757)^2)*S11,10^(0.787004341*LOG10(D11/153.757)^2)*S11)),IF(D11&gt;193.609,S11,IF(D11&lt;32,10^(0.722762521*LOG10(32/175.508)^2)*S11,10^(0.722762521*LOG10(D11/193.609)^2)*S11)))))</f>
        <v>147.02489364599933</v>
      </c>
      <c r="U11" s="187" t="str">
        <f>IF(AF11=1,T11*AI11,"")</f>
        <v/>
      </c>
      <c r="V11" s="190">
        <f>IF('K4'!G9="","",'K4'!G9)</f>
        <v>7.85</v>
      </c>
      <c r="W11" s="184">
        <f>IF('K4'!K9="","",'K4'!K9)</f>
        <v>16.399999999999999</v>
      </c>
      <c r="X11" s="184">
        <f>IF('K4'!N9="","",'K4'!N9)</f>
        <v>6.6</v>
      </c>
      <c r="Y11" s="185"/>
      <c r="Z11" s="183"/>
      <c r="AA11" s="193"/>
      <c r="AB11" s="176"/>
      <c r="AC11" s="70">
        <f>U5</f>
        <v>45829</v>
      </c>
      <c r="AD11" s="84" t="str">
        <f t="shared" ref="AD11" si="0">IF(ISNUMBER(FIND("M",E11)),"m",IF(ISNUMBER(FIND("K",E11)),"k"))</f>
        <v>k</v>
      </c>
      <c r="AE11" s="85">
        <f t="shared" ref="AE11" si="1">IF(OR(G11="",AC11=""),0,(YEAR(AC11)-YEAR(G11)))</f>
        <v>23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19">
        <f>IF(D11="","",IF(D11&gt;193.609,1,IF(D11&lt;32,10^(0.722762521*LOG10(32/193.609)^2),10^(0.722762521*LOG10(D11/193.609)^2))))</f>
        <v>1.3563707483866287</v>
      </c>
    </row>
    <row r="12" spans="1:36" s="17" customFormat="1" ht="18" customHeight="1">
      <c r="B12" s="203"/>
      <c r="C12" s="212"/>
      <c r="D12" s="213"/>
      <c r="E12" s="213"/>
      <c r="F12" s="214"/>
      <c r="G12" s="215"/>
      <c r="H12" s="216"/>
      <c r="I12" s="211"/>
      <c r="J12" s="211"/>
      <c r="K12" s="289"/>
      <c r="L12" s="289"/>
      <c r="M12" s="289"/>
      <c r="N12" s="288"/>
      <c r="O12" s="288"/>
      <c r="P12" s="288"/>
      <c r="Q12" s="102"/>
      <c r="R12" s="140"/>
      <c r="S12" s="290">
        <f>IF(T11="","",T11*1.2)</f>
        <v>176.42987237519918</v>
      </c>
      <c r="T12" s="290"/>
      <c r="U12" s="177"/>
      <c r="V12" s="189">
        <f>IF(V11="","",V11*20)</f>
        <v>157</v>
      </c>
      <c r="W12" s="194">
        <f>IF(W11="","",(W11*10)*AJ11)</f>
        <v>222.44480273540711</v>
      </c>
      <c r="X12" s="195">
        <f>IF(X11="","",IF((80+(8-ROUNDUP(X11,1))*40)&lt;0,0,80+(8-ROUNDUP(X11,1))*40))</f>
        <v>136</v>
      </c>
      <c r="Y12" s="195">
        <f>IF(SUM(V12,W12,X12)&gt;0,SUM(V12,W12,X12),"")</f>
        <v>515.44480273540717</v>
      </c>
      <c r="Z12" s="196">
        <f>IF(AE11&gt;34,(IF(OR(S12="",V12="",W12="",X12=""),"",SUM(S12,V12,W12,X12))*AI11),IF(OR(S12="",V12="",W12="",X12=""),"", SUM(S12,V12,W12,X12)))</f>
        <v>691.87467511060629</v>
      </c>
      <c r="AA12" s="192">
        <v>2</v>
      </c>
      <c r="AB12" s="175"/>
      <c r="AC12" s="70"/>
    </row>
    <row r="13" spans="1:36" s="17" customFormat="1" ht="18" customHeight="1">
      <c r="B13" s="203">
        <v>2002003</v>
      </c>
      <c r="C13" s="204" t="s">
        <v>90</v>
      </c>
      <c r="D13" s="205">
        <v>70.94</v>
      </c>
      <c r="E13" s="206" t="s">
        <v>91</v>
      </c>
      <c r="F13" s="206" t="s">
        <v>155</v>
      </c>
      <c r="G13" s="208">
        <v>37315</v>
      </c>
      <c r="H13" s="209"/>
      <c r="I13" s="210" t="s">
        <v>158</v>
      </c>
      <c r="J13" s="211" t="s">
        <v>142</v>
      </c>
      <c r="K13" s="216">
        <v>88</v>
      </c>
      <c r="L13" s="218">
        <v>-90</v>
      </c>
      <c r="M13" s="218">
        <v>90</v>
      </c>
      <c r="N13" s="216">
        <v>111</v>
      </c>
      <c r="O13" s="218">
        <v>-114</v>
      </c>
      <c r="P13" s="218">
        <v>-114</v>
      </c>
      <c r="Q13" s="180">
        <f>IF(MAX(K13:M13)&gt;0,IF(MAX(K13:M13)&lt;0,0,TRUNC(MAX(K13:M13)/1)*1),"")</f>
        <v>90</v>
      </c>
      <c r="R13" s="181">
        <f>IF(MAX(N13:P13)&gt;0,IF(MAX(N13:P13)&lt;0,0,TRUNC(MAX(N13:P13)/1)*1),"")</f>
        <v>111</v>
      </c>
      <c r="S13" s="182">
        <f>IF(Q13="","",IF(R13="","",IF(SUM(Q13:R13)=0,"",SUM(Q13:R13))))</f>
        <v>201</v>
      </c>
      <c r="T13" s="171">
        <f>IF(S13="","",IF(E13="","",IF((AD13="k"),IF(D13&gt;153.757,S13,IF(D13&lt;28,10^(0.787004341*LOG10(28/153.757)^2)*S13,10^(0.787004341*LOG10(D13/153.757)^2)*S13)),IF(D13&gt;193.609,S13,IF(D13&lt;32,10^(0.722762521*LOG10(32/175.508)^2)*S13,10^(0.722762521*LOG10(D13/193.609)^2)*S13)))))</f>
        <v>246.61298133171448</v>
      </c>
      <c r="U13" s="187" t="str">
        <f>IF(AF13=1,T13*AI13,"")</f>
        <v/>
      </c>
      <c r="V13" s="190">
        <f>IF('K4'!G11="","",'K4'!G11)</f>
        <v>7.6</v>
      </c>
      <c r="W13" s="184">
        <f>IF('K4'!K11="","",'K4'!K11)</f>
        <v>14.5</v>
      </c>
      <c r="X13" s="184">
        <f>IF('K4'!N11="","",'K4'!N11)</f>
        <v>7</v>
      </c>
      <c r="Y13" s="185"/>
      <c r="Z13" s="183"/>
      <c r="AA13" s="193"/>
      <c r="AB13" s="176"/>
      <c r="AC13" s="70">
        <f>U5</f>
        <v>45829</v>
      </c>
      <c r="AD13" s="84" t="str">
        <f t="shared" ref="AD13" si="4">IF(ISNUMBER(FIND("M",E13)),"m",IF(ISNUMBER(FIND("K",E13)),"k"))</f>
        <v>k</v>
      </c>
      <c r="AE13" s="85">
        <f t="shared" ref="AE13" si="5">IF(OR(G13="",AC13=""),0,(YEAR(AC13)-YEAR(G13)))</f>
        <v>23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19">
        <f>IF(D13="","",IF(D13&gt;193.609,1,IF(D13&lt;32,10^(0.722762521*LOG10(32/193.609)^2),10^(0.722762521*LOG10(D13/193.609)^2))))</f>
        <v>1.3721952730569549</v>
      </c>
    </row>
    <row r="14" spans="1:36" s="17" customFormat="1" ht="18" customHeight="1">
      <c r="B14" s="203"/>
      <c r="C14" s="212"/>
      <c r="D14" s="213"/>
      <c r="E14" s="213"/>
      <c r="F14" s="214"/>
      <c r="G14" s="215"/>
      <c r="H14" s="216"/>
      <c r="I14" s="211"/>
      <c r="J14" s="211"/>
      <c r="K14" s="289"/>
      <c r="L14" s="289"/>
      <c r="M14" s="289"/>
      <c r="N14" s="288"/>
      <c r="O14" s="288"/>
      <c r="P14" s="288"/>
      <c r="Q14" s="102"/>
      <c r="R14" s="140"/>
      <c r="S14" s="290">
        <f>IF(T13="","",T13*1.2)</f>
        <v>295.93557759805736</v>
      </c>
      <c r="T14" s="290"/>
      <c r="U14" s="177"/>
      <c r="V14" s="189">
        <f>IF(V13="","",V13*20)</f>
        <v>152</v>
      </c>
      <c r="W14" s="194">
        <f>IF(W13="","",(W13*10)*AJ13)</f>
        <v>198.96831459325847</v>
      </c>
      <c r="X14" s="195">
        <f>IF(X13="","",IF((80+(8-ROUNDUP(X13,1))*40)&lt;0,0,80+(8-ROUNDUP(X13,1))*40))</f>
        <v>120</v>
      </c>
      <c r="Y14" s="195">
        <f>IF(SUM(V14,W14,X14)&gt;0,SUM(V14,W14,X14),"")</f>
        <v>470.96831459325847</v>
      </c>
      <c r="Z14" s="196">
        <f>IF(AE13&gt;34,(IF(OR(S14="",V14="",W14="",X14=""),"",SUM(S14,V14,W14,X14))*AI13),IF(OR(S14="",V14="",W14="",X14=""),"", SUM(S14,V14,W14,X14)))</f>
        <v>766.90389219131589</v>
      </c>
      <c r="AA14" s="192">
        <v>1</v>
      </c>
      <c r="AB14" s="175"/>
      <c r="AC14" s="70"/>
    </row>
    <row r="15" spans="1:36" s="17" customFormat="1" ht="18" customHeight="1">
      <c r="B15" s="203">
        <v>2004022</v>
      </c>
      <c r="C15" s="204" t="s">
        <v>90</v>
      </c>
      <c r="D15" s="205">
        <v>72.55</v>
      </c>
      <c r="E15" s="206" t="s">
        <v>91</v>
      </c>
      <c r="F15" s="206" t="s">
        <v>155</v>
      </c>
      <c r="G15" s="208">
        <v>38134</v>
      </c>
      <c r="H15" s="209"/>
      <c r="I15" s="210" t="s">
        <v>159</v>
      </c>
      <c r="J15" s="211" t="s">
        <v>142</v>
      </c>
      <c r="K15" s="216">
        <v>67</v>
      </c>
      <c r="L15" s="218">
        <v>70</v>
      </c>
      <c r="M15" s="218">
        <v>73</v>
      </c>
      <c r="N15" s="216">
        <v>87</v>
      </c>
      <c r="O15" s="218">
        <v>90</v>
      </c>
      <c r="P15" s="218">
        <v>-93</v>
      </c>
      <c r="Q15" s="180">
        <f>IF(MAX(K15:M15)&gt;0,IF(MAX(K15:M15)&lt;0,0,TRUNC(MAX(K15:M15)/1)*1),"")</f>
        <v>73</v>
      </c>
      <c r="R15" s="181">
        <f>IF(MAX(N15:P15)&gt;0,IF(MAX(N15:P15)&lt;0,0,TRUNC(MAX(N15:P15)/1)*1),"")</f>
        <v>90</v>
      </c>
      <c r="S15" s="182">
        <f>IF(Q15="","",IF(R15="","",IF(SUM(Q15:R15)=0,"",SUM(Q15:R15))))</f>
        <v>163</v>
      </c>
      <c r="T15" s="171">
        <f>IF(S15="","",IF(E15="","",IF((AD15="k"),IF(D15&gt;153.757,S15,IF(D15&lt;28,10^(0.787004341*LOG10(28/153.757)^2)*S15,10^(0.787004341*LOG10(D15/153.757)^2)*S15)),IF(D15&gt;193.609,S15,IF(D15&lt;32,10^(0.722762521*LOG10(32/175.508)^2)*S15,10^(0.722762521*LOG10(D15/193.609)^2)*S15)))))</f>
        <v>197.66448292895527</v>
      </c>
      <c r="U15" s="187" t="str">
        <f>IF(AF15=1,T15*AI15,"")</f>
        <v/>
      </c>
      <c r="V15" s="190">
        <f>IF('K4'!G13="","",'K4'!G13)</f>
        <v>6.9</v>
      </c>
      <c r="W15" s="184">
        <f>IF('K4'!K13="","",'K4'!K13)</f>
        <v>11.5</v>
      </c>
      <c r="X15" s="184">
        <f>IF('K4'!N13="","",'K4'!N13)</f>
        <v>7.6</v>
      </c>
      <c r="Y15" s="185"/>
      <c r="Z15" s="183"/>
      <c r="AA15" s="193"/>
      <c r="AB15" s="176"/>
      <c r="AC15" s="70">
        <f>U5</f>
        <v>45829</v>
      </c>
      <c r="AD15" s="84" t="str">
        <f t="shared" ref="AD15" si="7">IF(ISNUMBER(FIND("M",E15)),"m",IF(ISNUMBER(FIND("K",E15)),"k"))</f>
        <v>k</v>
      </c>
      <c r="AE15" s="85">
        <f t="shared" ref="AE15" si="8">IF(OR(G15="",AC15=""),0,(YEAR(AC15)-YEAR(G15)))</f>
        <v>21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19">
        <f>IF(D15="","",IF(D15&gt;193.609,1,IF(D15&lt;32,10^(0.722762521*LOG10(32/193.609)^2),10^(0.722762521*LOG10(D15/193.609)^2))))</f>
        <v>1.3531362750987335</v>
      </c>
    </row>
    <row r="16" spans="1:36" s="17" customFormat="1" ht="18" customHeight="1">
      <c r="B16" s="203"/>
      <c r="C16" s="212"/>
      <c r="D16" s="213"/>
      <c r="E16" s="213"/>
      <c r="F16" s="214"/>
      <c r="G16" s="215"/>
      <c r="H16" s="216"/>
      <c r="I16" s="211"/>
      <c r="J16" s="211"/>
      <c r="K16" s="289"/>
      <c r="L16" s="289"/>
      <c r="M16" s="289"/>
      <c r="N16" s="288"/>
      <c r="O16" s="288"/>
      <c r="P16" s="288"/>
      <c r="Q16" s="102"/>
      <c r="R16" s="140"/>
      <c r="S16" s="290">
        <f>IF(T15="","",T15*1.2)</f>
        <v>237.1973795147463</v>
      </c>
      <c r="T16" s="290"/>
      <c r="U16" s="177"/>
      <c r="V16" s="189">
        <f>IF(V15="","",V15*20)</f>
        <v>138</v>
      </c>
      <c r="W16" s="194">
        <f>IF(W15="","",(W15*10)*AJ15)</f>
        <v>155.61067163635434</v>
      </c>
      <c r="X16" s="195">
        <f>IF(X15="","",IF((80+(8-ROUNDUP(X15,1))*40)&lt;0,0,80+(8-ROUNDUP(X15,1))*40))</f>
        <v>96.000000000000014</v>
      </c>
      <c r="Y16" s="195">
        <f>IF(SUM(V16,W16,X16)&gt;0,SUM(V16,W16,X16),"")</f>
        <v>389.61067163635437</v>
      </c>
      <c r="Z16" s="196">
        <f>IF(AE15&gt;34,(IF(OR(S16="",V16="",W16="",X16=""),"",SUM(S16,V16,W16,X16))*AI15),IF(OR(S16="",V16="",W16="",X16=""),"", SUM(S16,V16,W16,X16)))</f>
        <v>626.8080511511007</v>
      </c>
      <c r="AA16" s="192">
        <v>3</v>
      </c>
      <c r="AB16" s="175"/>
      <c r="AC16" s="70"/>
    </row>
    <row r="17" spans="2:41" s="17" customFormat="1" ht="18" customHeight="1">
      <c r="B17" s="203">
        <v>2005006</v>
      </c>
      <c r="C17" s="204" t="s">
        <v>90</v>
      </c>
      <c r="D17" s="205">
        <v>75.45</v>
      </c>
      <c r="E17" s="206" t="s">
        <v>160</v>
      </c>
      <c r="F17" s="206" t="s">
        <v>155</v>
      </c>
      <c r="G17" s="208">
        <v>38610</v>
      </c>
      <c r="H17" s="209"/>
      <c r="I17" s="210" t="s">
        <v>161</v>
      </c>
      <c r="J17" s="211" t="s">
        <v>112</v>
      </c>
      <c r="K17" s="216">
        <v>70</v>
      </c>
      <c r="L17" s="218">
        <v>-73</v>
      </c>
      <c r="M17" s="218">
        <v>-73</v>
      </c>
      <c r="N17" s="216">
        <v>85</v>
      </c>
      <c r="O17" s="218">
        <v>90</v>
      </c>
      <c r="P17" s="218">
        <v>-93</v>
      </c>
      <c r="Q17" s="180">
        <f>IF(MAX(K17:M17)&gt;0,IF(MAX(K17:M17)&lt;0,0,TRUNC(MAX(K17:M17)/1)*1),"")</f>
        <v>70</v>
      </c>
      <c r="R17" s="181">
        <f>IF(MAX(N17:P17)&gt;0,IF(MAX(N17:P17)&lt;0,0,TRUNC(MAX(N17:P17)/1)*1),"")</f>
        <v>90</v>
      </c>
      <c r="S17" s="182">
        <f>IF(Q17="","",IF(R17="","",IF(SUM(Q17:R17)=0,"",SUM(Q17:R17))))</f>
        <v>160</v>
      </c>
      <c r="T17" s="171">
        <f>IF(S17="","",IF(E17="","",IF((AD17="k"),IF(D17&gt;153.757,S17,IF(D17&lt;28,10^(0.787004341*LOG10(28/153.757)^2)*S17,10^(0.787004341*LOG10(D17/153.757)^2)*S17)),IF(D17&gt;193.609,S17,IF(D17&lt;32,10^(0.722762521*LOG10(32/175.508)^2)*S17,10^(0.722762521*LOG10(D17/193.609)^2)*S17)))))</f>
        <v>190.26083585742768</v>
      </c>
      <c r="U17" s="187" t="str">
        <f>IF(AF17=1,T17*AI17,"")</f>
        <v/>
      </c>
      <c r="V17" s="190">
        <f>IF('K4'!G15="","",'K4'!G15)</f>
        <v>6.75</v>
      </c>
      <c r="W17" s="184">
        <f>IF('K4'!K15="","",'K4'!K15)</f>
        <v>12.5</v>
      </c>
      <c r="X17" s="184">
        <f>IF('K4'!N15="","",'K4'!N15)</f>
        <v>7.8</v>
      </c>
      <c r="Y17" s="185"/>
      <c r="Z17" s="183"/>
      <c r="AA17" s="193"/>
      <c r="AB17" s="176"/>
      <c r="AC17" s="70">
        <f>U5</f>
        <v>45829</v>
      </c>
      <c r="AD17" s="84" t="str">
        <f t="shared" ref="AD17" si="10">IF(ISNUMBER(FIND("M",E17)),"m",IF(ISNUMBER(FIND("K",E17)),"k"))</f>
        <v>k</v>
      </c>
      <c r="AE17" s="85">
        <f t="shared" ref="AE17" si="11">IF(OR(G17="",AC17=""),0,(YEAR(AC17)-YEAR(G17)))</f>
        <v>20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19">
        <f>IF(D17="","",IF(D17&gt;193.609,1,IF(D17&lt;32,10^(0.722762521*LOG10(32/193.609)^2),10^(0.722762521*LOG10(D17/193.609)^2))))</f>
        <v>1.3214840601029332</v>
      </c>
      <c r="AO17" s="119"/>
    </row>
    <row r="18" spans="2:41" s="17" customFormat="1" ht="18" customHeight="1">
      <c r="B18" s="203"/>
      <c r="C18" s="212"/>
      <c r="D18" s="213"/>
      <c r="E18" s="213"/>
      <c r="F18" s="214"/>
      <c r="G18" s="215"/>
      <c r="H18" s="216"/>
      <c r="I18" s="211"/>
      <c r="J18" s="211"/>
      <c r="K18" s="289"/>
      <c r="L18" s="289"/>
      <c r="M18" s="289"/>
      <c r="N18" s="288"/>
      <c r="O18" s="288"/>
      <c r="P18" s="288"/>
      <c r="Q18" s="102"/>
      <c r="R18" s="140"/>
      <c r="S18" s="290">
        <f>IF(T17="","",T17*1.2)</f>
        <v>228.31300302891322</v>
      </c>
      <c r="T18" s="290"/>
      <c r="U18" s="177"/>
      <c r="V18" s="189">
        <f>IF(V17="","",V17*20)</f>
        <v>135</v>
      </c>
      <c r="W18" s="194">
        <f>IF(W17="","",(W17*10)*AJ17)</f>
        <v>165.18550751286665</v>
      </c>
      <c r="X18" s="195">
        <f>IF(X17="","",IF((80+(8-ROUNDUP(X17,1))*40)&lt;0,0,80+(8-ROUNDUP(X17,1))*40))</f>
        <v>88</v>
      </c>
      <c r="Y18" s="195">
        <f>IF(SUM(V18,W18,X18)&gt;0,SUM(V18,W18,X18),"")</f>
        <v>388.18550751286665</v>
      </c>
      <c r="Z18" s="196">
        <f>IF(AE17&gt;34,(IF(OR(S18="",V18="",W18="",X18=""),"",SUM(S18,V18,W18,X18))*AI17),IF(OR(S18="",V18="",W18="",X18=""),"", SUM(S18,V18,W18,X18)))</f>
        <v>616.49851054177986</v>
      </c>
      <c r="AA18" s="192">
        <v>4</v>
      </c>
      <c r="AB18" s="175"/>
      <c r="AC18" s="70"/>
    </row>
    <row r="19" spans="2:41" s="17" customFormat="1" ht="18" customHeight="1">
      <c r="B19" s="203">
        <v>2005013</v>
      </c>
      <c r="C19" s="204" t="s">
        <v>90</v>
      </c>
      <c r="D19" s="205">
        <v>74.55</v>
      </c>
      <c r="E19" s="206" t="s">
        <v>160</v>
      </c>
      <c r="F19" s="206" t="s">
        <v>155</v>
      </c>
      <c r="G19" s="208">
        <v>38534</v>
      </c>
      <c r="H19" s="209"/>
      <c r="I19" s="210" t="s">
        <v>162</v>
      </c>
      <c r="J19" s="211" t="s">
        <v>94</v>
      </c>
      <c r="K19" s="216">
        <v>70</v>
      </c>
      <c r="L19" s="218">
        <v>74</v>
      </c>
      <c r="M19" s="218">
        <v>-76</v>
      </c>
      <c r="N19" s="216">
        <v>90</v>
      </c>
      <c r="O19" s="218">
        <v>95</v>
      </c>
      <c r="P19" s="218">
        <v>-97</v>
      </c>
      <c r="Q19" s="180">
        <f>IF(MAX(K19:M19)&gt;0,IF(MAX(K19:M19)&lt;0,0,TRUNC(MAX(K19:M19)/1)*1),"")</f>
        <v>74</v>
      </c>
      <c r="R19" s="181">
        <f>IF(MAX(N19:P19)&gt;0,IF(MAX(N19:P19)&lt;0,0,TRUNC(MAX(N19:P19)/1)*1),"")</f>
        <v>95</v>
      </c>
      <c r="S19" s="182">
        <f>IF(Q19="","",IF(R19="","",IF(SUM(Q19:R19)=0,"",SUM(Q19:R19))))</f>
        <v>169</v>
      </c>
      <c r="T19" s="171">
        <f>IF(S19="","",IF(E19="","",IF((AD19="k"),IF(D19&gt;153.757,S19,IF(D19&lt;28,10^(0.787004341*LOG10(28/153.757)^2)*S19,10^(0.787004341*LOG10(D19/153.757)^2)*S19)),IF(D19&gt;193.609,S19,IF(D19&lt;32,10^(0.722762521*LOG10(32/175.508)^2)*S19,10^(0.722762521*LOG10(D19/193.609)^2)*S19)))))</f>
        <v>202.14997691516345</v>
      </c>
      <c r="U19" s="187" t="str">
        <f>IF(AF19=1,T19*AI19,"")</f>
        <v/>
      </c>
      <c r="V19" s="190">
        <f>IF('K4'!G17="","",'K4'!G17)</f>
        <v>6</v>
      </c>
      <c r="W19" s="184">
        <f>IF('K4'!K17="","",'K4'!K17)</f>
        <v>9</v>
      </c>
      <c r="X19" s="184">
        <f>IF('K4'!N17="","",'K4'!N17)</f>
        <v>7.8</v>
      </c>
      <c r="Y19" s="185"/>
      <c r="Z19" s="183"/>
      <c r="AA19" s="193"/>
      <c r="AB19" s="176"/>
      <c r="AC19" s="70">
        <f>U5</f>
        <v>45829</v>
      </c>
      <c r="AD19" s="84" t="str">
        <f t="shared" ref="AD19" si="13">IF(ISNUMBER(FIND("M",E19)),"m",IF(ISNUMBER(FIND("K",E19)),"k"))</f>
        <v>k</v>
      </c>
      <c r="AE19" s="85">
        <f t="shared" ref="AE19" si="14">IF(OR(G19="",AC19=""),0,(YEAR(AC19)-YEAR(G19)))</f>
        <v>20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19">
        <f>IF(D19="","",IF(D19&gt;193.609,1,IF(D19&lt;32,10^(0.722762521*LOG10(32/193.609)^2),10^(0.722762521*LOG10(D19/193.609)^2))))</f>
        <v>1.3309592673422326</v>
      </c>
    </row>
    <row r="20" spans="2:41" s="17" customFormat="1" ht="18" customHeight="1">
      <c r="B20" s="203"/>
      <c r="C20" s="212"/>
      <c r="D20" s="213"/>
      <c r="E20" s="213"/>
      <c r="F20" s="214"/>
      <c r="G20" s="215"/>
      <c r="H20" s="216"/>
      <c r="I20" s="211"/>
      <c r="J20" s="211"/>
      <c r="K20" s="289"/>
      <c r="L20" s="289"/>
      <c r="M20" s="289"/>
      <c r="N20" s="288"/>
      <c r="O20" s="288"/>
      <c r="P20" s="288"/>
      <c r="Q20" s="102"/>
      <c r="R20" s="140"/>
      <c r="S20" s="290">
        <f>IF(T19="","",T19*1.2)</f>
        <v>242.57997229819614</v>
      </c>
      <c r="T20" s="290"/>
      <c r="U20" s="177"/>
      <c r="V20" s="189">
        <f>IF(V19="","",V19*20)</f>
        <v>120</v>
      </c>
      <c r="W20" s="194">
        <f>IF(W19="","",(W19*10)*AJ19)</f>
        <v>119.78633406080093</v>
      </c>
      <c r="X20" s="195">
        <f>IF(X19="","",IF((80+(8-ROUNDUP(X19,1))*40)&lt;0,0,80+(8-ROUNDUP(X19,1))*40))</f>
        <v>88</v>
      </c>
      <c r="Y20" s="195">
        <f>IF(SUM(V20,W20,X20)&gt;0,SUM(V20,W20,X20),"")</f>
        <v>327.78633406080093</v>
      </c>
      <c r="Z20" s="196">
        <f>IF(AE19&gt;34,(IF(OR(S20="",V20="",W20="",X20=""),"",SUM(S20,V20,W20,X20))*AI19),IF(OR(S20="",V20="",W20="",X20=""),"", SUM(S20,V20,W20,X20)))</f>
        <v>570.36630635899701</v>
      </c>
      <c r="AA20" s="192">
        <v>6</v>
      </c>
      <c r="AB20" s="175"/>
      <c r="AC20" s="70"/>
    </row>
    <row r="21" spans="2:41" s="17" customFormat="1" ht="18" customHeight="1">
      <c r="B21" s="203">
        <v>2004009</v>
      </c>
      <c r="C21" s="204" t="s">
        <v>90</v>
      </c>
      <c r="D21" s="205">
        <v>74.47</v>
      </c>
      <c r="E21" s="206" t="s">
        <v>91</v>
      </c>
      <c r="F21" s="206" t="s">
        <v>155</v>
      </c>
      <c r="G21" s="208">
        <v>38060</v>
      </c>
      <c r="H21" s="209"/>
      <c r="I21" s="210" t="s">
        <v>163</v>
      </c>
      <c r="J21" s="211" t="s">
        <v>112</v>
      </c>
      <c r="K21" s="216">
        <v>84</v>
      </c>
      <c r="L21" s="218">
        <v>-87</v>
      </c>
      <c r="M21" s="218">
        <v>-87</v>
      </c>
      <c r="N21" s="216">
        <v>108</v>
      </c>
      <c r="O21" s="218">
        <v>-112</v>
      </c>
      <c r="P21" s="218">
        <v>-112</v>
      </c>
      <c r="Q21" s="180">
        <f>IF(MAX(K21:M21)&gt;0,IF(MAX(K21:M21)&lt;0,0,TRUNC(MAX(K21:M21)/1)*1),"")</f>
        <v>84</v>
      </c>
      <c r="R21" s="181">
        <f>IF(MAX(N21:P21)&gt;0,IF(MAX(N21:P21)&lt;0,0,TRUNC(MAX(N21:P21)/1)*1),"")</f>
        <v>108</v>
      </c>
      <c r="S21" s="182">
        <f>IF(Q21="","",IF(R21="","",IF(SUM(Q21:R21)=0,"",SUM(Q21:R21))))</f>
        <v>192</v>
      </c>
      <c r="T21" s="171">
        <f>IF(S21="","",IF(E21="","",IF((AD21="k"),IF(D21&gt;153.757,S21,IF(D21&lt;28,10^(0.787004341*LOG10(28/153.757)^2)*S21,10^(0.787004341*LOG10(D21/153.757)^2)*S21)),IF(D21&gt;193.609,S21,IF(D21&lt;32,10^(0.722762521*LOG10(32/175.508)^2)*S21,10^(0.722762521*LOG10(D21/193.609)^2)*S21)))))</f>
        <v>229.78365651821133</v>
      </c>
      <c r="U21" s="187" t="str">
        <f>IF(AF21=1,T21*AI21,"")</f>
        <v/>
      </c>
      <c r="V21" s="190" t="str">
        <f>IF('K4'!G19="","",'K4'!G19)</f>
        <v/>
      </c>
      <c r="W21" s="184" t="str">
        <f>IF('K4'!K19="","",'K4'!K19)</f>
        <v/>
      </c>
      <c r="X21" s="184" t="str">
        <f>IF('K4'!N19="","",'K4'!N19)</f>
        <v/>
      </c>
      <c r="Y21" s="185"/>
      <c r="Z21" s="183"/>
      <c r="AA21" s="193"/>
      <c r="AB21" s="176"/>
      <c r="AC21" s="70">
        <f>U5</f>
        <v>45829</v>
      </c>
      <c r="AD21" s="84" t="str">
        <f t="shared" ref="AD21" si="16">IF(ISNUMBER(FIND("M",E21)),"m",IF(ISNUMBER(FIND("K",E21)),"k"))</f>
        <v>k</v>
      </c>
      <c r="AE21" s="85">
        <f t="shared" ref="AE21" si="17">IF(OR(G21="",AC21=""),0,(YEAR(AC21)-YEAR(G21)))</f>
        <v>21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19">
        <f>IF(D21="","",IF(D21&gt;193.609,1,IF(D21&lt;32,10^(0.722762521*LOG10(32/193.609)^2),10^(0.722762521*LOG10(D21/193.609)^2))))</f>
        <v>1.3318162089318164</v>
      </c>
    </row>
    <row r="22" spans="2:41" s="17" customFormat="1" ht="18" customHeight="1">
      <c r="B22" s="203"/>
      <c r="C22" s="212"/>
      <c r="D22" s="213"/>
      <c r="E22" s="213"/>
      <c r="F22" s="214"/>
      <c r="G22" s="215"/>
      <c r="H22" s="216"/>
      <c r="I22" s="211"/>
      <c r="J22" s="211"/>
      <c r="K22" s="289"/>
      <c r="L22" s="289"/>
      <c r="M22" s="289"/>
      <c r="N22" s="288"/>
      <c r="O22" s="288"/>
      <c r="P22" s="288"/>
      <c r="Q22" s="102"/>
      <c r="R22" s="140"/>
      <c r="S22" s="290">
        <f>IF(T21="","",T21*1.2)</f>
        <v>275.74038782185357</v>
      </c>
      <c r="T22" s="290"/>
      <c r="U22" s="177"/>
      <c r="V22" s="189" t="str">
        <f>IF(V21="","",V21*20)</f>
        <v/>
      </c>
      <c r="W22" s="194" t="str">
        <f>IF(W21="","",(W21*10)*AJ21)</f>
        <v/>
      </c>
      <c r="X22" s="195" t="str">
        <f>IF(X21="","",IF((80+(8-ROUNDUP(X21,1))*40)&lt;0,0,80+(8-ROUNDUP(X21,1))*40))</f>
        <v/>
      </c>
      <c r="Y22" s="195" t="str">
        <f>IF(SUM(V22,W22,X22)&gt;0,SUM(V22,W22,X22),"")</f>
        <v/>
      </c>
      <c r="Z22" s="196" t="str">
        <f>IF(AE21&gt;34,(IF(OR(S22="",V22="",W22="",X22=""),"",SUM(S22,V22,W22,X22))*AI21),IF(OR(S22="",V22="",W22="",X22=""),"", SUM(S22,V22,W22,X22)))</f>
        <v/>
      </c>
      <c r="AA22" s="192"/>
      <c r="AB22" s="175"/>
      <c r="AC22" s="70"/>
    </row>
    <row r="23" spans="2:41" s="17" customFormat="1" ht="18" customHeight="1">
      <c r="B23" s="203"/>
      <c r="C23" s="204"/>
      <c r="D23" s="205"/>
      <c r="E23" s="206"/>
      <c r="F23" s="206"/>
      <c r="G23" s="208"/>
      <c r="H23" s="209"/>
      <c r="I23" s="210"/>
      <c r="J23" s="211"/>
      <c r="K23" s="216"/>
      <c r="L23" s="218"/>
      <c r="M23" s="218"/>
      <c r="N23" s="216"/>
      <c r="O23" s="218"/>
      <c r="P23" s="218"/>
      <c r="Q23" s="180" t="str">
        <f>IF(MAX(K23:M23)&gt;0,IF(MAX(K23:M23)&lt;0,0,TRUNC(MAX(K23:M23)/1)*1),"")</f>
        <v/>
      </c>
      <c r="R23" s="181" t="str">
        <f>IF(MAX(N23:P23)&gt;0,IF(MAX(N23:P23)&lt;0,0,TRUNC(MAX(N23:P23)/1)*1),"")</f>
        <v/>
      </c>
      <c r="S23" s="182" t="str">
        <f>IF(Q23="","",IF(R23="","",IF(SUM(Q23:R23)=0,"",SUM(Q23:R23))))</f>
        <v/>
      </c>
      <c r="T23" s="171" t="str">
        <f>IF(S23="","",IF(E23="","",IF((AD23="k"),IF(D23&gt;153.757,S23,IF(D23&lt;28,10^(0.787004341*LOG10(28/153.757)^2)*S23,10^(0.787004341*LOG10(D23/153.757)^2)*S23)),IF(D23&gt;193.609,S23,IF(D23&lt;32,10^(0.722762521*LOG10(32/175.508)^2)*S23,10^(0.722762521*LOG10(D23/193.609)^2)*S23)))))</f>
        <v/>
      </c>
      <c r="U23" s="187" t="str">
        <f>IF(AF23=1,T23*AI23,"")</f>
        <v/>
      </c>
      <c r="V23" s="190" t="str">
        <f>IF('K4'!G21="","",'K4'!G21)</f>
        <v/>
      </c>
      <c r="W23" s="184" t="str">
        <f>IF('K4'!K21="","",'K4'!K21)</f>
        <v/>
      </c>
      <c r="X23" s="184" t="str">
        <f>IF('K4'!N21="","",'K4'!N21)</f>
        <v/>
      </c>
      <c r="Y23" s="185"/>
      <c r="Z23" s="183"/>
      <c r="AA23" s="193"/>
      <c r="AB23" s="176"/>
      <c r="AC23" s="70">
        <f>U5</f>
        <v>45829</v>
      </c>
      <c r="AD23" s="84" t="b">
        <f t="shared" ref="AD23" si="19">IF(ISNUMBER(FIND("M",E23)),"m",IF(ISNUMBER(FIND("K",E23)),"k"))</f>
        <v>0</v>
      </c>
      <c r="AE23" s="85">
        <f t="shared" ref="AE23" si="20">IF(OR(G23="",AC23=""),0,(YEAR(AC23)-YEAR(G23)))</f>
        <v>0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str">
        <f t="shared" ref="AI23" si="21">IF(AD23="m",AG23,IF(AD23="k",AH23,""))</f>
        <v/>
      </c>
      <c r="AJ23" s="119" t="str">
        <f>IF(D23="","",IF(D23&gt;193.609,1,IF(D23&lt;32,10^(0.722762521*LOG10(32/193.609)^2),10^(0.722762521*LOG10(D23/193.609)^2))))</f>
        <v/>
      </c>
    </row>
    <row r="24" spans="2:41" s="17" customFormat="1" ht="18" customHeight="1">
      <c r="B24" s="203"/>
      <c r="C24" s="212"/>
      <c r="D24" s="213"/>
      <c r="E24" s="213"/>
      <c r="F24" s="214"/>
      <c r="G24" s="215"/>
      <c r="H24" s="216"/>
      <c r="I24" s="211"/>
      <c r="J24" s="211"/>
      <c r="K24" s="289"/>
      <c r="L24" s="289"/>
      <c r="M24" s="289"/>
      <c r="N24" s="288"/>
      <c r="O24" s="288"/>
      <c r="P24" s="288"/>
      <c r="Q24" s="102"/>
      <c r="R24" s="140"/>
      <c r="S24" s="290" t="str">
        <f>IF(T23="","",T23*1.2)</f>
        <v/>
      </c>
      <c r="T24" s="290"/>
      <c r="U24" s="177"/>
      <c r="V24" s="189" t="str">
        <f>IF(V23="","",V23*20)</f>
        <v/>
      </c>
      <c r="W24" s="194" t="str">
        <f>IF(W23="","",(W23*10)*AJ23)</f>
        <v/>
      </c>
      <c r="X24" s="195" t="str">
        <f>IF(X23="","",IF((80+(8-ROUNDUP(X23,1))*40)&lt;0,0,80+(8-ROUNDUP(X23,1))*40))</f>
        <v/>
      </c>
      <c r="Y24" s="195" t="str">
        <f>IF(SUM(V24,W24,X24)&gt;0,SUM(V24,W24,X24),"")</f>
        <v/>
      </c>
      <c r="Z24" s="196" t="str">
        <f>IF(AE23&gt;34,(IF(OR(S24="",V24="",W24="",X24=""),"",SUM(S24,V24,W24,X24))*AI23),IF(OR(S24="",V24="",W24="",X24=""),"", SUM(S24,V24,W24,X24)))</f>
        <v/>
      </c>
      <c r="AA24" s="192" t="s">
        <v>13</v>
      </c>
      <c r="AB24" s="175"/>
      <c r="AC24" s="70"/>
    </row>
    <row r="25" spans="2:41" s="17" customFormat="1" ht="18" customHeight="1">
      <c r="B25" s="203">
        <v>2005012</v>
      </c>
      <c r="C25" s="204" t="s">
        <v>101</v>
      </c>
      <c r="D25" s="205">
        <v>78.73</v>
      </c>
      <c r="E25" s="206" t="s">
        <v>160</v>
      </c>
      <c r="F25" s="206" t="s">
        <v>155</v>
      </c>
      <c r="G25" s="208">
        <v>38599</v>
      </c>
      <c r="H25" s="209"/>
      <c r="I25" s="210" t="s">
        <v>164</v>
      </c>
      <c r="J25" s="211" t="s">
        <v>94</v>
      </c>
      <c r="K25" s="216">
        <v>82</v>
      </c>
      <c r="L25" s="218">
        <v>-85</v>
      </c>
      <c r="M25" s="218">
        <v>-85</v>
      </c>
      <c r="N25" s="216">
        <v>100</v>
      </c>
      <c r="O25" s="218">
        <v>104</v>
      </c>
      <c r="P25" s="218">
        <v>-108</v>
      </c>
      <c r="Q25" s="180">
        <f>IF(MAX(K25:M25)&gt;0,IF(MAX(K25:M25)&lt;0,0,TRUNC(MAX(K25:M25)/1)*1),"")</f>
        <v>82</v>
      </c>
      <c r="R25" s="181">
        <f>IF(MAX(N25:P25)&gt;0,IF(MAX(N25:P25)&lt;0,0,TRUNC(MAX(N25:P25)/1)*1),"")</f>
        <v>104</v>
      </c>
      <c r="S25" s="182">
        <f>IF(Q25="","",IF(R25="","",IF(SUM(Q25:R25)=0,"",SUM(Q25:R25))))</f>
        <v>186</v>
      </c>
      <c r="T25" s="171">
        <f>IF(S25="","",IF(E25="","",IF((AD25="k"),IF(D25&gt;153.757,S25,IF(D25&lt;28,10^(0.787004341*LOG10(28/153.757)^2)*S25,10^(0.787004341*LOG10(D25/153.757)^2)*S25)),IF(D25&gt;193.609,S25,IF(D25&lt;32,10^(0.722762521*LOG10(32/175.508)^2)*S25,10^(0.722762521*LOG10(D25/193.609)^2)*S25)))))</f>
        <v>216.7791297996333</v>
      </c>
      <c r="U25" s="187" t="str">
        <f>IF(AF25=1,T25*AI25,"")</f>
        <v/>
      </c>
      <c r="V25" s="190">
        <f>IF('K4'!G23="","",'K4'!G23)</f>
        <v>5.9</v>
      </c>
      <c r="W25" s="184">
        <f>IF('K4'!K23="","",'K4'!K23)</f>
        <v>11.3</v>
      </c>
      <c r="X25" s="184">
        <f>IF('K4'!N23="","",'K4'!N23)</f>
        <v>8.1999999999999993</v>
      </c>
      <c r="Y25" s="185"/>
      <c r="Z25" s="183"/>
      <c r="AA25" s="193"/>
      <c r="AB25" s="176"/>
      <c r="AC25" s="70">
        <f>U5</f>
        <v>45829</v>
      </c>
      <c r="AD25" s="84" t="str">
        <f t="shared" ref="AD25" si="22">IF(ISNUMBER(FIND("M",E25)),"m",IF(ISNUMBER(FIND("K",E25)),"k"))</f>
        <v>k</v>
      </c>
      <c r="AE25" s="85">
        <f t="shared" ref="AE25" si="23">IF(OR(G25="",AC25=""),0,(YEAR(AC25)-YEAR(G25)))</f>
        <v>20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b">
        <f t="shared" ref="AI25" si="24">IF(AD25="m",AG25,IF(AD25="k",AH25,""))</f>
        <v>0</v>
      </c>
      <c r="AJ25" s="119">
        <f>IF(D25="","",IF(D25&gt;193.609,1,IF(D25&lt;32,10^(0.722762521*LOG10(32/193.609)^2),10^(0.722762521*LOG10(D25/193.609)^2))))</f>
        <v>1.2893633947288643</v>
      </c>
    </row>
    <row r="26" spans="2:41" s="17" customFormat="1" ht="18" customHeight="1">
      <c r="B26" s="203"/>
      <c r="C26" s="212"/>
      <c r="D26" s="213"/>
      <c r="E26" s="213"/>
      <c r="F26" s="214"/>
      <c r="G26" s="215"/>
      <c r="H26" s="216"/>
      <c r="I26" s="211"/>
      <c r="J26" s="211"/>
      <c r="K26" s="289"/>
      <c r="L26" s="289"/>
      <c r="M26" s="289"/>
      <c r="N26" s="288"/>
      <c r="O26" s="288"/>
      <c r="P26" s="288"/>
      <c r="Q26" s="102"/>
      <c r="R26" s="140"/>
      <c r="S26" s="290">
        <f>IF(T25="","",T25*1.2)</f>
        <v>260.13495575955994</v>
      </c>
      <c r="T26" s="290"/>
      <c r="U26" s="177"/>
      <c r="V26" s="189">
        <f>IF(V25="","",V25*20)</f>
        <v>118</v>
      </c>
      <c r="W26" s="194">
        <f>IF(W25="","",(W25*10)*AJ25)</f>
        <v>145.69806360436166</v>
      </c>
      <c r="X26" s="195">
        <f>IF(X25="","",IF((80+(8-ROUNDUP(X25,1))*40)&lt;0,0,80+(8-ROUNDUP(X25,1))*40))</f>
        <v>72.000000000000028</v>
      </c>
      <c r="Y26" s="195">
        <f>IF(SUM(V26,W26,X26)&gt;0,SUM(V26,W26,X26),"")</f>
        <v>335.69806360436166</v>
      </c>
      <c r="Z26" s="196">
        <f>IF(AE25&gt;34,(IF(OR(S26="",V26="",W26="",X26=""),"",SUM(S26,V26,W26,X26))*AI25),IF(OR(S26="",V26="",W26="",X26=""),"", SUM(S26,V26,W26,X26)))</f>
        <v>595.83301936392161</v>
      </c>
      <c r="AA26" s="192">
        <v>5</v>
      </c>
      <c r="AB26" s="175"/>
      <c r="AC26" s="70"/>
    </row>
    <row r="27" spans="2:41" s="17" customFormat="1" ht="18" customHeight="1">
      <c r="B27" s="159"/>
      <c r="C27" s="164"/>
      <c r="D27" s="165"/>
      <c r="E27" s="166"/>
      <c r="F27" s="167"/>
      <c r="G27" s="166"/>
      <c r="H27" s="166"/>
      <c r="I27" s="163"/>
      <c r="J27" s="163"/>
      <c r="K27" s="178"/>
      <c r="L27" s="179"/>
      <c r="M27" s="179"/>
      <c r="N27" s="179"/>
      <c r="O27" s="179"/>
      <c r="P27" s="179"/>
      <c r="Q27" s="180" t="str">
        <f>IF(MAX(K27:M27)&gt;0,IF(MAX(K27:M27)&lt;0,0,TRUNC(MAX(K27:M27)/1)*1),"")</f>
        <v/>
      </c>
      <c r="R27" s="181" t="str">
        <f>IF(MAX(N27:P27)&gt;0,IF(MAX(N27:P27)&lt;0,0,TRUNC(MAX(N27:P27)/1)*1),"")</f>
        <v/>
      </c>
      <c r="S27" s="182" t="str">
        <f>IF(Q27="","",IF(R27="","",IF(SUM(Q27:R27)=0,"",SUM(Q27:R27))))</f>
        <v/>
      </c>
      <c r="T27" s="183" t="str">
        <f>IF(S27="","",IF(E27="","",IF((AD27="k"),IF(D27&gt;153.655,S27,IF(D27&lt;28,10^(0.783497476*LOG10(28/153.655)^2)*S27,10^(0.783497476*LOG10(D27/153.655)^2)*S27)),IF(D27&gt;175.508,S27,IF(D27&lt;32,10^(0.75194503*LOG10(32/175.508)^2)*S27,10^(0.75194503*LOG10(D27/175.508)^2)*S27)))))</f>
        <v/>
      </c>
      <c r="U27" s="187" t="str">
        <f>IF(AF27=1,T27*AI27,"")</f>
        <v/>
      </c>
      <c r="V27" s="190" t="str">
        <f>IF('K4'!G25="","",'K4'!G25)</f>
        <v/>
      </c>
      <c r="W27" s="184" t="str">
        <f>IF('K4'!K25="","",'K4'!K25)</f>
        <v/>
      </c>
      <c r="X27" s="184" t="str">
        <f>IF('K4'!N25="","",'K4'!N25)</f>
        <v/>
      </c>
      <c r="Y27" s="185"/>
      <c r="Z27" s="183"/>
      <c r="AA27" s="193"/>
      <c r="AB27" s="176"/>
      <c r="AC27" s="70">
        <f>U5</f>
        <v>45829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19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159"/>
      <c r="C28" s="160"/>
      <c r="D28" s="160"/>
      <c r="E28" s="160"/>
      <c r="F28" s="161"/>
      <c r="G28" s="162"/>
      <c r="H28" s="162"/>
      <c r="I28" s="163"/>
      <c r="J28" s="163"/>
      <c r="K28" s="303"/>
      <c r="L28" s="303"/>
      <c r="M28" s="304"/>
      <c r="N28" s="305"/>
      <c r="O28" s="303"/>
      <c r="P28" s="304"/>
      <c r="Q28" s="102"/>
      <c r="R28" s="140"/>
      <c r="S28" s="290" t="str">
        <f>IF(T27="","",T27*1.2)</f>
        <v/>
      </c>
      <c r="T28" s="290"/>
      <c r="U28" s="177"/>
      <c r="V28" s="189" t="str">
        <f>IF(V27="","",V27*20)</f>
        <v/>
      </c>
      <c r="W28" s="194" t="str">
        <f>IF(W27="","",(W27*10)*AJ27)</f>
        <v/>
      </c>
      <c r="X28" s="195" t="str">
        <f>IF(X27="","",IF((80+(8-ROUNDUP(X27,1))*40)&lt;0,0,80+(8-ROUNDUP(X27,1))*40))</f>
        <v/>
      </c>
      <c r="Y28" s="195" t="str">
        <f>IF(SUM(V28,W28,X28)&gt;0,SUM(V28,W28,X28),"")</f>
        <v/>
      </c>
      <c r="Z28" s="196" t="str">
        <f>IF(AE27&gt;34,(IF(OR(S28="",V28="",W28="",X28=""),"",SUM(S28,V28,W28,X28))*AI27),IF(OR(S28="",V28="",W28="",X28=""),"", SUM(S28,V28,W28,X28)))</f>
        <v/>
      </c>
      <c r="AA28" s="192"/>
      <c r="AB28" s="175"/>
      <c r="AC28" s="70"/>
    </row>
    <row r="29" spans="2:41" s="17" customFormat="1" ht="18" customHeight="1">
      <c r="B29" s="159"/>
      <c r="C29" s="164"/>
      <c r="D29" s="165"/>
      <c r="E29" s="166"/>
      <c r="F29" s="167"/>
      <c r="G29" s="166"/>
      <c r="H29" s="166"/>
      <c r="I29" s="163"/>
      <c r="J29" s="163"/>
      <c r="K29" s="178"/>
      <c r="L29" s="179"/>
      <c r="M29" s="179"/>
      <c r="N29" s="179"/>
      <c r="O29" s="179"/>
      <c r="P29" s="179"/>
      <c r="Q29" s="180" t="str">
        <f>IF(MAX(K29:M29)&gt;0,IF(MAX(K29:M29)&lt;0,0,TRUNC(MAX(K29:M29)/1)*1),"")</f>
        <v/>
      </c>
      <c r="R29" s="181" t="str">
        <f>IF(MAX(N29:P29)&gt;0,IF(MAX(N29:P29)&lt;0,0,TRUNC(MAX(N29:P29)/1)*1),"")</f>
        <v/>
      </c>
      <c r="S29" s="182" t="str">
        <f>IF(Q29="","",IF(R29="","",IF(SUM(Q29:R29)=0,"",SUM(Q29:R29))))</f>
        <v/>
      </c>
      <c r="T29" s="183" t="str">
        <f>IF(S29="","",IF(E29="","",IF((AD29="k"),IF(D29&gt;153.655,S29,IF(D29&lt;28,10^(0.783497476*LOG10(28/153.655)^2)*S29,10^(0.783497476*LOG10(D29/153.655)^2)*S29)),IF(D29&gt;175.508,S29,IF(D29&lt;32,10^(0.75194503*LOG10(32/175.508)^2)*S29,10^(0.75194503*LOG10(D29/175.508)^2)*S29)))))</f>
        <v/>
      </c>
      <c r="U29" s="187" t="str">
        <f>IF(AF29=1,T29*AI29,"")</f>
        <v/>
      </c>
      <c r="V29" s="190" t="str">
        <f>IF('K4'!G27="","",'K4'!G27)</f>
        <v/>
      </c>
      <c r="W29" s="184" t="str">
        <f>IF('K4'!K27="","",'K4'!K27)</f>
        <v/>
      </c>
      <c r="X29" s="184" t="str">
        <f>IF('K4'!N27="","",'K4'!N27)</f>
        <v/>
      </c>
      <c r="Y29" s="185"/>
      <c r="Z29" s="183"/>
      <c r="AA29" s="193"/>
      <c r="AB29" s="176"/>
      <c r="AC29" s="70">
        <f>U5</f>
        <v>45829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19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59"/>
      <c r="C30" s="160"/>
      <c r="D30" s="160"/>
      <c r="E30" s="160"/>
      <c r="F30" s="161"/>
      <c r="G30" s="162"/>
      <c r="H30" s="162"/>
      <c r="I30" s="163"/>
      <c r="J30" s="163"/>
      <c r="K30" s="303"/>
      <c r="L30" s="303"/>
      <c r="M30" s="304"/>
      <c r="N30" s="305"/>
      <c r="O30" s="303"/>
      <c r="P30" s="304"/>
      <c r="Q30" s="102"/>
      <c r="R30" s="140"/>
      <c r="S30" s="290" t="str">
        <f>IF(T29="","",T29*1.2)</f>
        <v/>
      </c>
      <c r="T30" s="290"/>
      <c r="U30" s="177"/>
      <c r="V30" s="189" t="str">
        <f>IF(V29="","",V29*20)</f>
        <v/>
      </c>
      <c r="W30" s="194" t="str">
        <f>IF(W29="","",(W29*10)*AJ29)</f>
        <v/>
      </c>
      <c r="X30" s="195" t="str">
        <f>IF(X29="","",IF((80+(8-ROUNDUP(X29,1))*40)&lt;0,0,80+(8-ROUNDUP(X29,1))*40))</f>
        <v/>
      </c>
      <c r="Y30" s="195" t="str">
        <f>IF(SUM(V30,W30,X30)&gt;0,SUM(V30,W30,X30),"")</f>
        <v/>
      </c>
      <c r="Z30" s="196" t="str">
        <f>IF(AE29&gt;34,(IF(OR(S30="",V30="",W30="",X30=""),"",SUM(S30,V30,W30,X30))*AI29),IF(OR(S30="",V30="",W30="",X30=""),"", SUM(S30,V30,W30,X30)))</f>
        <v/>
      </c>
      <c r="AA30" s="192"/>
      <c r="AB30" s="175"/>
      <c r="AC30" s="70"/>
    </row>
    <row r="31" spans="2:41" s="17" customFormat="1" ht="18" customHeight="1">
      <c r="B31" s="159"/>
      <c r="C31" s="164"/>
      <c r="D31" s="165"/>
      <c r="E31" s="166"/>
      <c r="F31" s="167"/>
      <c r="G31" s="166"/>
      <c r="H31" s="166"/>
      <c r="I31" s="163"/>
      <c r="J31" s="163"/>
      <c r="K31" s="178"/>
      <c r="L31" s="179"/>
      <c r="M31" s="179"/>
      <c r="N31" s="179"/>
      <c r="O31" s="179"/>
      <c r="P31" s="179"/>
      <c r="Q31" s="180" t="str">
        <f>IF(MAX(K31:M31)&gt;0,IF(MAX(K31:M31)&lt;0,0,TRUNC(MAX(K31:M31)/1)*1),"")</f>
        <v/>
      </c>
      <c r="R31" s="181" t="str">
        <f>IF(MAX(N31:P31)&gt;0,IF(MAX(N31:P31)&lt;0,0,TRUNC(MAX(N31:P31)/1)*1),"")</f>
        <v/>
      </c>
      <c r="S31" s="182" t="str">
        <f>IF(Q31="","",IF(R31="","",IF(SUM(Q31:R31)=0,"",SUM(Q31:R31))))</f>
        <v/>
      </c>
      <c r="T31" s="183" t="str">
        <f>IF(S31="","",IF(E31="","",IF((AD31="k"),IF(D31&gt;153.655,S31,IF(D31&lt;28,10^(0.783497476*LOG10(28/153.655)^2)*S31,10^(0.783497476*LOG10(D31/153.655)^2)*S31)),IF(D31&gt;175.508,S31,IF(D31&lt;32,10^(0.75194503*LOG10(32/175.508)^2)*S31,10^(0.75194503*LOG10(D31/175.508)^2)*S31)))))</f>
        <v/>
      </c>
      <c r="U31" s="187" t="str">
        <f>IF(AF31=1,T31*AI31,"")</f>
        <v/>
      </c>
      <c r="V31" s="190" t="str">
        <f>IF('K4'!G29="","",'K4'!G29)</f>
        <v/>
      </c>
      <c r="W31" s="184" t="str">
        <f>IF('K4'!K29="","",'K4'!K29)</f>
        <v/>
      </c>
      <c r="X31" s="184" t="str">
        <f>IF('K4'!N29="","",'K4'!N29)</f>
        <v/>
      </c>
      <c r="Y31" s="185" t="s">
        <v>13</v>
      </c>
      <c r="Z31" s="183"/>
      <c r="AA31" s="193"/>
      <c r="AB31" s="176"/>
      <c r="AC31" s="70">
        <f>U5</f>
        <v>45829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19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59"/>
      <c r="C32" s="160"/>
      <c r="D32" s="160"/>
      <c r="E32" s="160"/>
      <c r="F32" s="161"/>
      <c r="G32" s="162"/>
      <c r="H32" s="162"/>
      <c r="I32" s="163"/>
      <c r="J32" s="163"/>
      <c r="K32" s="299"/>
      <c r="L32" s="300"/>
      <c r="M32" s="301"/>
      <c r="N32" s="302"/>
      <c r="O32" s="300"/>
      <c r="P32" s="301"/>
      <c r="Q32" s="199"/>
      <c r="R32" s="198"/>
      <c r="S32" s="287" t="str">
        <f>IF(T31="","",T31*1.2)</f>
        <v/>
      </c>
      <c r="T32" s="287"/>
      <c r="U32" s="200"/>
      <c r="V32" s="197" t="str">
        <f>IF(V31="","",V31*20)</f>
        <v/>
      </c>
      <c r="W32" s="160" t="str">
        <f>IF(W31="","",(W31*10)*AJ31)</f>
        <v/>
      </c>
      <c r="X32" s="201" t="str">
        <f>IF(X31="","",IF((80+(8-ROUNDUP(X31,1))*40)&lt;0,0,80+(8-ROUNDUP(X31,1))*40))</f>
        <v/>
      </c>
      <c r="Y32" s="201" t="str">
        <f>IF(SUM(V32,W32,X32)&gt;0,SUM(V32,W32,X32),"")</f>
        <v/>
      </c>
      <c r="Z32" s="183" t="str">
        <f>IF(AE31&gt;34,(IF(OR(S32="",V32="",W32="",X32=""),"",SUM(S32,V32,W32,X32))*AI31),IF(OR(S32="",V32="",W32="",X32=""),"", SUM(S32,V32,W32,X32)))</f>
        <v/>
      </c>
      <c r="AA32" s="202"/>
      <c r="AB32" s="17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282" t="s">
        <v>70</v>
      </c>
      <c r="C35" s="283"/>
      <c r="D35" s="141" t="s">
        <v>69</v>
      </c>
      <c r="E35" s="282" t="s">
        <v>6</v>
      </c>
      <c r="F35" s="284"/>
      <c r="G35" s="284"/>
      <c r="H35" s="283"/>
      <c r="I35" s="142" t="s">
        <v>28</v>
      </c>
      <c r="J35" s="80"/>
      <c r="K35" s="282" t="s">
        <v>70</v>
      </c>
      <c r="L35" s="284"/>
      <c r="M35" s="283"/>
      <c r="N35" s="143" t="s">
        <v>69</v>
      </c>
      <c r="O35" s="270" t="s">
        <v>6</v>
      </c>
      <c r="P35" s="285"/>
      <c r="Q35" s="285"/>
      <c r="R35" s="271"/>
      <c r="S35" s="270" t="s">
        <v>28</v>
      </c>
      <c r="T35" s="271"/>
      <c r="AC35" s="4"/>
      <c r="AD35" s="4"/>
      <c r="AE35" s="4"/>
      <c r="AF35" s="1"/>
      <c r="AH35" s="121"/>
      <c r="AI35" s="121"/>
    </row>
    <row r="36" spans="2:35" s="6" customFormat="1" ht="20" customHeight="1">
      <c r="B36" s="272" t="s">
        <v>71</v>
      </c>
      <c r="C36" s="273"/>
      <c r="D36" s="144"/>
      <c r="E36" s="274"/>
      <c r="F36" s="275"/>
      <c r="G36" s="275"/>
      <c r="H36" s="273"/>
      <c r="I36" s="145"/>
      <c r="J36" s="5"/>
      <c r="K36" s="272" t="s">
        <v>72</v>
      </c>
      <c r="L36" s="275"/>
      <c r="M36" s="273"/>
      <c r="N36" s="242">
        <v>1950001</v>
      </c>
      <c r="O36" s="276" t="s">
        <v>177</v>
      </c>
      <c r="P36" s="277"/>
      <c r="Q36" s="277"/>
      <c r="R36" s="278"/>
      <c r="S36" s="276" t="s">
        <v>94</v>
      </c>
      <c r="T36" s="279"/>
      <c r="AF36" s="1"/>
      <c r="AH36" s="146"/>
      <c r="AI36" s="146"/>
    </row>
    <row r="37" spans="2:35" s="6" customFormat="1" ht="21" customHeight="1">
      <c r="B37" s="262" t="s">
        <v>73</v>
      </c>
      <c r="C37" s="263"/>
      <c r="D37" s="147">
        <v>1990006</v>
      </c>
      <c r="E37" s="264" t="s">
        <v>100</v>
      </c>
      <c r="F37" s="265"/>
      <c r="G37" s="265"/>
      <c r="H37" s="263"/>
      <c r="I37" s="148" t="s">
        <v>94</v>
      </c>
      <c r="J37" s="5"/>
      <c r="K37" s="262" t="s">
        <v>74</v>
      </c>
      <c r="L37" s="265"/>
      <c r="M37" s="263"/>
      <c r="N37" s="149"/>
      <c r="O37" s="266"/>
      <c r="P37" s="267"/>
      <c r="Q37" s="267"/>
      <c r="R37" s="268"/>
      <c r="S37" s="266"/>
      <c r="T37" s="269"/>
      <c r="AH37" s="146"/>
      <c r="AI37" s="146"/>
    </row>
    <row r="38" spans="2:35" s="6" customFormat="1" ht="19" customHeight="1">
      <c r="B38" s="262" t="s">
        <v>73</v>
      </c>
      <c r="C38" s="263"/>
      <c r="D38" s="147">
        <v>1992011</v>
      </c>
      <c r="E38" s="264" t="s">
        <v>96</v>
      </c>
      <c r="F38" s="265"/>
      <c r="G38" s="265"/>
      <c r="H38" s="263"/>
      <c r="I38" s="148" t="s">
        <v>94</v>
      </c>
      <c r="J38" s="5"/>
      <c r="K38" s="262" t="s">
        <v>75</v>
      </c>
      <c r="L38" s="265"/>
      <c r="M38" s="263"/>
      <c r="N38" s="149"/>
      <c r="O38" s="266"/>
      <c r="P38" s="267"/>
      <c r="Q38" s="267"/>
      <c r="R38" s="268"/>
      <c r="S38" s="266"/>
      <c r="T38" s="269"/>
      <c r="V38" s="6" t="s">
        <v>76</v>
      </c>
      <c r="AH38" s="146"/>
      <c r="AI38" s="146"/>
    </row>
    <row r="39" spans="2:35" s="6" customFormat="1" ht="21" customHeight="1">
      <c r="B39" s="262" t="s">
        <v>73</v>
      </c>
      <c r="C39" s="263"/>
      <c r="D39" s="147">
        <v>1979013</v>
      </c>
      <c r="E39" s="264" t="s">
        <v>179</v>
      </c>
      <c r="F39" s="265"/>
      <c r="G39" s="265"/>
      <c r="H39" s="263"/>
      <c r="I39" s="148" t="s">
        <v>112</v>
      </c>
      <c r="J39" s="5"/>
      <c r="K39" s="262" t="s">
        <v>77</v>
      </c>
      <c r="L39" s="265"/>
      <c r="M39" s="263"/>
      <c r="N39" s="149"/>
      <c r="O39" s="266"/>
      <c r="P39" s="267"/>
      <c r="Q39" s="267"/>
      <c r="R39" s="268"/>
      <c r="S39" s="266"/>
      <c r="T39" s="269"/>
      <c r="AD39" s="6" t="s">
        <v>13</v>
      </c>
      <c r="AH39" s="146"/>
      <c r="AI39" s="146"/>
    </row>
    <row r="40" spans="2:35" s="6" customFormat="1" ht="20" customHeight="1">
      <c r="B40" s="262" t="s">
        <v>73</v>
      </c>
      <c r="C40" s="263"/>
      <c r="D40" s="147"/>
      <c r="E40" s="264"/>
      <c r="F40" s="265"/>
      <c r="G40" s="265"/>
      <c r="H40" s="263"/>
      <c r="I40" s="148"/>
      <c r="J40" s="5"/>
      <c r="K40" s="262" t="s">
        <v>77</v>
      </c>
      <c r="L40" s="265"/>
      <c r="M40" s="263"/>
      <c r="N40" s="149"/>
      <c r="O40" s="266"/>
      <c r="P40" s="267"/>
      <c r="Q40" s="267"/>
      <c r="R40" s="268"/>
      <c r="S40" s="266"/>
      <c r="T40" s="269"/>
      <c r="AH40" s="146"/>
      <c r="AI40" s="146"/>
    </row>
    <row r="41" spans="2:35" s="4" customFormat="1" ht="19" customHeight="1">
      <c r="B41" s="262" t="s">
        <v>73</v>
      </c>
      <c r="C41" s="263"/>
      <c r="D41" s="147"/>
      <c r="E41" s="264"/>
      <c r="F41" s="265"/>
      <c r="G41" s="265"/>
      <c r="H41" s="263"/>
      <c r="I41" s="148"/>
      <c r="K41" s="262" t="s">
        <v>77</v>
      </c>
      <c r="L41" s="265"/>
      <c r="M41" s="263"/>
      <c r="N41" s="149"/>
      <c r="O41" s="266"/>
      <c r="P41" s="267"/>
      <c r="Q41" s="267"/>
      <c r="R41" s="268"/>
      <c r="S41" s="266"/>
      <c r="T41" s="269"/>
      <c r="AH41" s="3"/>
      <c r="AI41" s="3"/>
    </row>
    <row r="42" spans="2:35" s="4" customFormat="1" ht="20" customHeight="1">
      <c r="B42" s="262" t="s">
        <v>78</v>
      </c>
      <c r="C42" s="263"/>
      <c r="D42" s="147">
        <v>2001014</v>
      </c>
      <c r="E42" s="264" t="s">
        <v>176</v>
      </c>
      <c r="F42" s="265"/>
      <c r="G42" s="265"/>
      <c r="H42" s="263"/>
      <c r="I42" s="148" t="s">
        <v>94</v>
      </c>
      <c r="K42" s="262" t="s">
        <v>79</v>
      </c>
      <c r="L42" s="265"/>
      <c r="M42" s="263"/>
      <c r="N42" s="149">
        <v>1996021</v>
      </c>
      <c r="O42" s="266" t="s">
        <v>95</v>
      </c>
      <c r="P42" s="267"/>
      <c r="Q42" s="267"/>
      <c r="R42" s="268"/>
      <c r="S42" s="266" t="s">
        <v>94</v>
      </c>
      <c r="T42" s="269"/>
      <c r="AH42" s="3"/>
      <c r="AI42" s="3"/>
    </row>
    <row r="43" spans="2:35" s="4" customFormat="1" ht="20" customHeight="1">
      <c r="B43" s="248"/>
      <c r="C43" s="256"/>
      <c r="D43" s="150"/>
      <c r="E43" s="257"/>
      <c r="F43" s="249"/>
      <c r="G43" s="249"/>
      <c r="H43" s="256"/>
      <c r="I43" s="151"/>
      <c r="K43" s="248"/>
      <c r="L43" s="249"/>
      <c r="M43" s="256"/>
      <c r="N43" s="152"/>
      <c r="O43" s="258"/>
      <c r="P43" s="259"/>
      <c r="Q43" s="259"/>
      <c r="R43" s="260"/>
      <c r="S43" s="258"/>
      <c r="T43" s="261"/>
      <c r="AH43" s="3"/>
      <c r="AI43" s="3"/>
    </row>
    <row r="44" spans="2:35" s="4" customFormat="1" ht="19" customHeight="1">
      <c r="B44" s="255"/>
      <c r="C44" s="255"/>
      <c r="D44" s="244"/>
      <c r="E44" s="244"/>
      <c r="F44" s="153"/>
      <c r="G44" s="244"/>
      <c r="H44" s="244"/>
      <c r="I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AH44" s="3"/>
      <c r="AI44" s="3"/>
    </row>
    <row r="45" spans="2:35" s="4" customFormat="1" ht="18" customHeight="1">
      <c r="B45" s="245" t="s">
        <v>80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AH45" s="3"/>
      <c r="AI45" s="3"/>
    </row>
    <row r="46" spans="2:35" s="4" customFormat="1" ht="18" customHeight="1">
      <c r="B46" s="248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50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7:M7"/>
    <mergeCell ref="N7:P7"/>
    <mergeCell ref="Q7:T7"/>
    <mergeCell ref="U5:V5"/>
    <mergeCell ref="K10:M10"/>
    <mergeCell ref="N10:P10"/>
    <mergeCell ref="S10:T10"/>
    <mergeCell ref="K8:M8"/>
    <mergeCell ref="N8:P8"/>
    <mergeCell ref="S12:T12"/>
    <mergeCell ref="K14:M14"/>
    <mergeCell ref="N14:P14"/>
    <mergeCell ref="S14:T14"/>
    <mergeCell ref="K16:M16"/>
    <mergeCell ref="N16:P16"/>
    <mergeCell ref="S16:T16"/>
    <mergeCell ref="K12:M12"/>
    <mergeCell ref="N12:P1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B7:B8"/>
    <mergeCell ref="G2:R2"/>
    <mergeCell ref="G3:R3"/>
    <mergeCell ref="D5:I5"/>
    <mergeCell ref="K5:N5"/>
    <mergeCell ref="P5:S5"/>
    <mergeCell ref="K47:AB47"/>
    <mergeCell ref="P44:T44"/>
    <mergeCell ref="B45:T45"/>
    <mergeCell ref="B46:T46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K22:M22"/>
    <mergeCell ref="N22:P22"/>
    <mergeCell ref="B36:C36"/>
    <mergeCell ref="E36:H36"/>
    <mergeCell ref="K36:M36"/>
    <mergeCell ref="O36:R36"/>
    <mergeCell ref="S36:T36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47" priority="5" stopIfTrue="1" operator="between">
      <formula>1</formula>
      <formula>300</formula>
    </cfRule>
    <cfRule type="cellIs" dxfId="46" priority="6" stopIfTrue="1" operator="lessThanOrEqual">
      <formula>0</formula>
    </cfRule>
  </conditionalFormatting>
  <conditionalFormatting sqref="K11:P11">
    <cfRule type="cellIs" dxfId="45" priority="3" stopIfTrue="1" operator="between">
      <formula>1</formula>
      <formula>300</formula>
    </cfRule>
    <cfRule type="cellIs" dxfId="44" priority="4" stopIfTrue="1" operator="lessThanOrEqual">
      <formula>0</formula>
    </cfRule>
  </conditionalFormatting>
  <conditionalFormatting sqref="K13:P13">
    <cfRule type="cellIs" dxfId="43" priority="18" stopIfTrue="1" operator="lessThanOrEqual">
      <formula>0</formula>
    </cfRule>
    <cfRule type="cellIs" dxfId="42" priority="17" stopIfTrue="1" operator="between">
      <formula>1</formula>
      <formula>300</formula>
    </cfRule>
  </conditionalFormatting>
  <conditionalFormatting sqref="K15:P15">
    <cfRule type="cellIs" dxfId="41" priority="16" stopIfTrue="1" operator="lessThanOrEqual">
      <formula>0</formula>
    </cfRule>
    <cfRule type="cellIs" dxfId="40" priority="15" stopIfTrue="1" operator="between">
      <formula>1</formula>
      <formula>300</formula>
    </cfRule>
  </conditionalFormatting>
  <conditionalFormatting sqref="K17:P17">
    <cfRule type="cellIs" dxfId="39" priority="7" stopIfTrue="1" operator="between">
      <formula>1</formula>
      <formula>300</formula>
    </cfRule>
    <cfRule type="cellIs" dxfId="38" priority="8" stopIfTrue="1" operator="lessThanOrEqual">
      <formula>0</formula>
    </cfRule>
  </conditionalFormatting>
  <conditionalFormatting sqref="K19:P19">
    <cfRule type="cellIs" dxfId="37" priority="1" stopIfTrue="1" operator="between">
      <formula>1</formula>
      <formula>300</formula>
    </cfRule>
    <cfRule type="cellIs" dxfId="36" priority="2" stopIfTrue="1" operator="lessThanOrEqual">
      <formula>0</formula>
    </cfRule>
  </conditionalFormatting>
  <conditionalFormatting sqref="K21:P21">
    <cfRule type="cellIs" dxfId="35" priority="13" stopIfTrue="1" operator="between">
      <formula>1</formula>
      <formula>300</formula>
    </cfRule>
    <cfRule type="cellIs" dxfId="34" priority="14" stopIfTrue="1" operator="lessThanOrEqual">
      <formula>0</formula>
    </cfRule>
  </conditionalFormatting>
  <conditionalFormatting sqref="K23:P23">
    <cfRule type="cellIs" dxfId="33" priority="10" stopIfTrue="1" operator="lessThanOrEqual">
      <formula>0</formula>
    </cfRule>
    <cfRule type="cellIs" dxfId="32" priority="9" stopIfTrue="1" operator="between">
      <formula>1</formula>
      <formula>300</formula>
    </cfRule>
  </conditionalFormatting>
  <conditionalFormatting sqref="K25:P25">
    <cfRule type="cellIs" dxfId="31" priority="12" stopIfTrue="1" operator="lessThanOrEqual">
      <formula>0</formula>
    </cfRule>
    <cfRule type="cellIs" dxfId="30" priority="11" stopIfTrue="1" operator="between">
      <formula>1</formula>
      <formula>300</formula>
    </cfRule>
  </conditionalFormatting>
  <conditionalFormatting sqref="K27:P27">
    <cfRule type="cellIs" dxfId="29" priority="45" stopIfTrue="1" operator="between">
      <formula>1</formula>
      <formula>300</formula>
    </cfRule>
    <cfRule type="cellIs" dxfId="28" priority="46" stopIfTrue="1" operator="lessThanOrEqual">
      <formula>0</formula>
    </cfRule>
  </conditionalFormatting>
  <conditionalFormatting sqref="K29:P29">
    <cfRule type="cellIs" dxfId="27" priority="43" stopIfTrue="1" operator="between">
      <formula>1</formula>
      <formula>300</formula>
    </cfRule>
    <cfRule type="cellIs" dxfId="26" priority="44" stopIfTrue="1" operator="lessThanOrEqual">
      <formula>0</formula>
    </cfRule>
  </conditionalFormatting>
  <conditionalFormatting sqref="K31:P31">
    <cfRule type="cellIs" dxfId="25" priority="41" stopIfTrue="1" operator="between">
      <formula>1</formula>
      <formula>300</formula>
    </cfRule>
    <cfRule type="cellIs" dxfId="24" priority="42" stopIfTrue="1" operator="lessThanOrEqual">
      <formula>0</formula>
    </cfRule>
  </conditionalFormatting>
  <dataValidations count="5">
    <dataValidation type="list" allowBlank="1" showInputMessage="1" showErrorMessage="1" sqref="E31 E29 E27 E9 E19 E13 E17 E25 E21 E23 E11 E15" xr:uid="{D8BD225F-0388-4040-8A8A-0D7FB39A3CC0}">
      <formula1>"UM,JM,SM,UK,JK,SK,M35,M40,M45,M50,M55,M60,M65,M70,M75,M80,M85,M90,K35,K40,K45,K50,K55,K60,K65,K70,K75,K80,K85,K90"</formula1>
    </dataValidation>
    <dataValidation type="list" allowBlank="1" showInputMessage="1" showErrorMessage="1" sqref="C29 C27 C31 C9 C11 C25 C15 C17 C19 C23 C21 C13" xr:uid="{7C34A5E3-DFAB-6A4B-9EC2-2A749FF68D15}">
      <formula1>"44,48,53,56,58,60,63,65,69,71,77,'+77,79,86,'+86,88,94,'+94,110,'+110"</formula1>
    </dataValidation>
    <dataValidation type="list" allowBlank="1" showInputMessage="1" showErrorMessage="1" errorTitle="Feil_i_kat. 5-kamp" error="Feil verdi i kategori 5-kamp" sqref="F31 F29 F27 F11 F13 F15 F17 F19 F21 F23 F25 F9" xr:uid="{F4CCC57F-7513-914C-BA9F-A17FE79C3CCC}">
      <formula1>"11-12,13-14,15-16,17-18,19-23,24-34,+35"</formula1>
    </dataValidation>
    <dataValidation type="list" allowBlank="1" showInputMessage="1" showErrorMessage="1" sqref="D5:I5" xr:uid="{FB73A08E-35F4-8B4F-9F59-8FFE0C6AF282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DD3EF69-919F-FB43-84E9-77A45D99BD01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8" orientation="landscape" horizontalDpi="300" verticalDpi="300" copies="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3D65-A77A-604D-A1FB-E306DD9EA150}">
  <sheetPr>
    <pageSetUpPr fitToPage="1"/>
  </sheetPr>
  <dimension ref="A1:AO51"/>
  <sheetViews>
    <sheetView showGridLines="0" showRowColHeaders="0" showZeros="0" zoomScale="99" zoomScaleNormal="99" workbookViewId="0">
      <selection activeCell="B9" sqref="B9"/>
    </sheetView>
  </sheetViews>
  <sheetFormatPr baseColWidth="10" defaultColWidth="9.19921875" defaultRowHeight="13"/>
  <cols>
    <col min="1" max="1" width="4.3984375" customWidth="1"/>
    <col min="2" max="2" width="10.19921875" customWidth="1"/>
    <col min="3" max="3" width="7" style="7" customWidth="1"/>
    <col min="4" max="4" width="8" style="7" customWidth="1"/>
    <col min="5" max="5" width="5.796875" style="7" customWidth="1"/>
    <col min="6" max="6" width="7.59765625" style="7" customWidth="1"/>
    <col min="7" max="7" width="10.59765625" style="7" customWidth="1"/>
    <col min="8" max="8" width="4.3984375" style="7" customWidth="1"/>
    <col min="9" max="9" width="27.796875" customWidth="1"/>
    <col min="10" max="10" width="20.59765625" customWidth="1"/>
    <col min="11" max="19" width="6.796875" style="7" customWidth="1"/>
    <col min="20" max="23" width="8" style="7" customWidth="1"/>
    <col min="24" max="24" width="9" style="7" customWidth="1"/>
    <col min="25" max="26" width="8" style="7" customWidth="1"/>
    <col min="27" max="27" width="4.59765625" style="7" customWidth="1"/>
    <col min="28" max="28" width="5" style="7" customWidth="1"/>
    <col min="29" max="29" width="9.3984375" hidden="1" customWidth="1"/>
    <col min="30" max="36" width="9.19921875" hidden="1" customWidth="1"/>
  </cols>
  <sheetData>
    <row r="1" spans="1:36" ht="19" customHeight="1">
      <c r="A1" s="7"/>
      <c r="B1" s="7"/>
      <c r="G1"/>
      <c r="I1" s="7"/>
      <c r="J1" s="7"/>
      <c r="Z1"/>
      <c r="AA1"/>
      <c r="AB1"/>
    </row>
    <row r="2" spans="1:36" ht="75" customHeight="1">
      <c r="A2" s="7"/>
      <c r="B2" s="7"/>
      <c r="G2" s="251" t="s">
        <v>44</v>
      </c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U2" s="67" t="s">
        <v>49</v>
      </c>
      <c r="Z2"/>
      <c r="AA2"/>
      <c r="AB2"/>
    </row>
    <row r="3" spans="1:36" ht="29">
      <c r="A3" s="7"/>
      <c r="B3" s="7"/>
      <c r="E3" s="68"/>
      <c r="G3" s="252" t="s">
        <v>17</v>
      </c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154" t="s">
        <v>50</v>
      </c>
      <c r="T3" s="154"/>
      <c r="U3" s="154"/>
      <c r="V3" s="154"/>
      <c r="W3" s="154"/>
      <c r="X3" s="154"/>
      <c r="Y3" s="154"/>
      <c r="Z3" s="154"/>
      <c r="AA3"/>
      <c r="AB3"/>
    </row>
    <row r="4" spans="1:36">
      <c r="A4" s="7"/>
      <c r="B4" s="7"/>
      <c r="G4"/>
      <c r="I4" s="7"/>
      <c r="J4" s="7"/>
      <c r="Z4"/>
      <c r="AA4"/>
      <c r="AB4"/>
    </row>
    <row r="5" spans="1:36" s="6" customFormat="1" ht="16">
      <c r="C5" s="155" t="s">
        <v>16</v>
      </c>
      <c r="D5" s="253" t="s">
        <v>81</v>
      </c>
      <c r="E5" s="253"/>
      <c r="F5" s="253"/>
      <c r="G5" s="253"/>
      <c r="H5" s="253"/>
      <c r="I5" s="253"/>
      <c r="J5" s="155" t="s">
        <v>0</v>
      </c>
      <c r="K5" s="253"/>
      <c r="L5" s="253"/>
      <c r="M5" s="253"/>
      <c r="N5" s="253"/>
      <c r="O5" s="155" t="s">
        <v>1</v>
      </c>
      <c r="P5" s="254"/>
      <c r="Q5" s="254"/>
      <c r="R5" s="254"/>
      <c r="S5" s="254"/>
      <c r="T5" s="155" t="s">
        <v>2</v>
      </c>
      <c r="U5" s="243">
        <v>45829</v>
      </c>
      <c r="V5" s="243"/>
      <c r="W5" s="156"/>
      <c r="X5" s="156"/>
      <c r="Y5" s="156"/>
      <c r="Z5" s="157" t="s">
        <v>15</v>
      </c>
      <c r="AA5" s="157"/>
      <c r="AB5" s="158">
        <v>5</v>
      </c>
      <c r="AH5" s="146"/>
      <c r="AI5" s="146"/>
    </row>
    <row r="6" spans="1:36" ht="13.75" customHeight="1"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9"/>
      <c r="Z6" s="8"/>
      <c r="AA6" s="8"/>
      <c r="AB6"/>
      <c r="AD6" s="4"/>
      <c r="AE6" s="4"/>
      <c r="AF6" s="4"/>
      <c r="AG6" s="93" t="s">
        <v>56</v>
      </c>
      <c r="AH6" s="93" t="s">
        <v>56</v>
      </c>
      <c r="AI6" s="93" t="s">
        <v>56</v>
      </c>
    </row>
    <row r="7" spans="1:36" s="17" customFormat="1" ht="15" customHeight="1">
      <c r="B7" s="280" t="s">
        <v>69</v>
      </c>
      <c r="C7" s="132" t="s">
        <v>3</v>
      </c>
      <c r="D7" s="133" t="s">
        <v>4</v>
      </c>
      <c r="E7" s="134" t="s">
        <v>18</v>
      </c>
      <c r="F7" s="135" t="s">
        <v>18</v>
      </c>
      <c r="G7" s="136" t="s">
        <v>5</v>
      </c>
      <c r="H7" s="136" t="s">
        <v>19</v>
      </c>
      <c r="I7" s="136" t="s">
        <v>6</v>
      </c>
      <c r="J7" s="136" t="s">
        <v>7</v>
      </c>
      <c r="K7" s="291" t="s">
        <v>8</v>
      </c>
      <c r="L7" s="292"/>
      <c r="M7" s="293"/>
      <c r="N7" s="291" t="s">
        <v>9</v>
      </c>
      <c r="O7" s="292"/>
      <c r="P7" s="293"/>
      <c r="Q7" s="294" t="s">
        <v>20</v>
      </c>
      <c r="R7" s="295"/>
      <c r="S7" s="295"/>
      <c r="T7" s="295"/>
      <c r="U7" s="137" t="s">
        <v>10</v>
      </c>
      <c r="V7" s="132" t="s">
        <v>51</v>
      </c>
      <c r="W7" s="132" t="s">
        <v>22</v>
      </c>
      <c r="X7" s="132" t="s">
        <v>23</v>
      </c>
      <c r="Y7" s="136" t="s">
        <v>46</v>
      </c>
      <c r="Z7" s="138" t="s">
        <v>24</v>
      </c>
      <c r="AA7" s="138" t="s">
        <v>25</v>
      </c>
      <c r="AB7" s="139" t="s">
        <v>26</v>
      </c>
      <c r="AD7" s="1"/>
      <c r="AE7" s="1"/>
      <c r="AF7" s="1"/>
      <c r="AG7" s="94" t="s">
        <v>57</v>
      </c>
      <c r="AH7" s="94" t="s">
        <v>57</v>
      </c>
      <c r="AI7" s="94" t="s">
        <v>57</v>
      </c>
      <c r="AJ7" s="17" t="s">
        <v>68</v>
      </c>
    </row>
    <row r="8" spans="1:36" s="17" customFormat="1" ht="15" customHeight="1">
      <c r="B8" s="281"/>
      <c r="C8" s="127" t="s">
        <v>11</v>
      </c>
      <c r="D8" s="126" t="s">
        <v>12</v>
      </c>
      <c r="E8" s="128" t="s">
        <v>27</v>
      </c>
      <c r="F8" s="122" t="s">
        <v>24</v>
      </c>
      <c r="G8" s="123" t="s">
        <v>14</v>
      </c>
      <c r="H8" s="123" t="s">
        <v>52</v>
      </c>
      <c r="I8" s="124"/>
      <c r="J8" s="124"/>
      <c r="K8" s="296" t="s">
        <v>29</v>
      </c>
      <c r="L8" s="297"/>
      <c r="M8" s="298"/>
      <c r="N8" s="296" t="s">
        <v>29</v>
      </c>
      <c r="O8" s="297"/>
      <c r="P8" s="298"/>
      <c r="Q8" s="125" t="s">
        <v>8</v>
      </c>
      <c r="R8" s="126" t="s">
        <v>9</v>
      </c>
      <c r="S8" s="127" t="s">
        <v>30</v>
      </c>
      <c r="T8" s="128" t="s">
        <v>10</v>
      </c>
      <c r="U8" s="125" t="s">
        <v>45</v>
      </c>
      <c r="V8" s="129" t="s">
        <v>10</v>
      </c>
      <c r="W8" s="129" t="s">
        <v>10</v>
      </c>
      <c r="X8" s="129" t="s">
        <v>10</v>
      </c>
      <c r="Y8" s="123" t="s">
        <v>47</v>
      </c>
      <c r="Z8" s="130" t="s">
        <v>31</v>
      </c>
      <c r="AA8" s="130"/>
      <c r="AB8" s="131"/>
      <c r="AD8" s="1" t="s">
        <v>58</v>
      </c>
      <c r="AE8" s="1" t="s">
        <v>48</v>
      </c>
      <c r="AF8" s="3" t="s">
        <v>45</v>
      </c>
      <c r="AG8" s="94" t="s">
        <v>59</v>
      </c>
      <c r="AH8" s="94" t="s">
        <v>60</v>
      </c>
      <c r="AI8" s="94" t="s">
        <v>61</v>
      </c>
      <c r="AJ8" s="17" t="s">
        <v>67</v>
      </c>
    </row>
    <row r="9" spans="1:36" s="17" customFormat="1" ht="18" customHeight="1">
      <c r="B9" s="203">
        <v>2006025</v>
      </c>
      <c r="C9" s="204" t="s">
        <v>143</v>
      </c>
      <c r="D9" s="205">
        <v>77.010000000000005</v>
      </c>
      <c r="E9" s="206" t="s">
        <v>165</v>
      </c>
      <c r="F9" s="206" t="s">
        <v>155</v>
      </c>
      <c r="G9" s="208">
        <v>39076</v>
      </c>
      <c r="H9" s="209"/>
      <c r="I9" s="210" t="s">
        <v>166</v>
      </c>
      <c r="J9" s="210" t="s">
        <v>112</v>
      </c>
      <c r="K9" s="216">
        <v>70</v>
      </c>
      <c r="L9" s="218">
        <v>75</v>
      </c>
      <c r="M9" s="218">
        <v>80</v>
      </c>
      <c r="N9" s="216">
        <v>90</v>
      </c>
      <c r="O9" s="218">
        <v>100</v>
      </c>
      <c r="P9" s="218">
        <v>105</v>
      </c>
      <c r="Q9" s="168">
        <f>IF(MAX(K9:M9)&gt;0,IF(MAX(K9:M9)&lt;0,0,TRUNC(MAX(K9:M9)/1)*1),"")</f>
        <v>80</v>
      </c>
      <c r="R9" s="169">
        <f>IF(MAX(N9:P9)&gt;0,IF(MAX(N9:P9)&lt;0,0,TRUNC(MAX(N9:P9)/1)*1),"")</f>
        <v>105</v>
      </c>
      <c r="S9" s="170">
        <f>IF(Q9="","",IF(R9="","",IF(SUM(Q9:R9)=0,"",SUM(Q9:R9))))</f>
        <v>185</v>
      </c>
      <c r="T9" s="171">
        <f>IF(S9="","",IF(E9="","",IF((AD9="k"),IF(D9&gt;153.757,S9,IF(D9&lt;28,10^(0.787004341*LOG10(28/153.757)^2)*S9,10^(0.787004341*LOG10(D9/153.757)^2)*S9)),IF(D9&gt;193.609,S9,IF(D9&lt;32,10^(0.722762521*LOG10(32/1609.609)^2)*S9,10^(0.722762521*LOG10(D9/193.609)^2)*S9)))))</f>
        <v>241.56423818063411</v>
      </c>
      <c r="U9" s="186" t="str">
        <f>IF(AF9=1,T9*AI9,"")</f>
        <v/>
      </c>
      <c r="V9" s="188">
        <f>IF('K5'!G7="","",'K5'!G7)</f>
        <v>8.76</v>
      </c>
      <c r="W9" s="172">
        <f>IF('K5'!K7="","",'K5'!K7)</f>
        <v>12.6</v>
      </c>
      <c r="X9" s="172">
        <f>IF('K5'!N7="","",'K5'!N7)</f>
        <v>6.8</v>
      </c>
      <c r="Y9" s="173"/>
      <c r="Z9" s="171"/>
      <c r="AA9" s="191"/>
      <c r="AB9" s="174"/>
      <c r="AC9" s="70">
        <f>U5</f>
        <v>45829</v>
      </c>
      <c r="AD9" s="84" t="str">
        <f>IF(ISNUMBER(FIND("M",E9)),"m",IF(ISNUMBER(FIND("K",E9)),"k"))</f>
        <v>m</v>
      </c>
      <c r="AE9" s="85">
        <f>IF(OR(G9="",AC9=""),0,(YEAR(AC9)-YEAR(G9)))</f>
        <v>19</v>
      </c>
      <c r="AF9" s="86" t="str">
        <f>IF(AE9&gt;34,1,"")</f>
        <v/>
      </c>
      <c r="AG9" s="87" t="b">
        <f>IF(AF9=1,LOOKUP(AE9,'Meltzer-Faber'!A3:A63,'Meltzer-Faber'!B3:B63))</f>
        <v>0</v>
      </c>
      <c r="AH9" s="87" t="b">
        <f>IF(AF9=1,LOOKUP(AE9,'Meltzer-Faber'!A3:A63,'Meltzer-Faber'!C3:C63))</f>
        <v>0</v>
      </c>
      <c r="AI9" s="87" t="b">
        <f>IF(AD9="m",AG9,IF(AD9="k",AH9,""))</f>
        <v>0</v>
      </c>
      <c r="AJ9" s="119">
        <f>IF(D9="","",IF(D9&gt;193.609,1,IF(D9&lt;32,10^(0.722762521*LOG10(32/193.609)^2),10^(0.722762521*LOG10(D9/193.609)^2))))</f>
        <v>1.3057526388142384</v>
      </c>
    </row>
    <row r="10" spans="1:36" s="17" customFormat="1" ht="18" customHeight="1">
      <c r="B10" s="203"/>
      <c r="C10" s="212"/>
      <c r="D10" s="213"/>
      <c r="E10" s="213"/>
      <c r="F10" s="214"/>
      <c r="G10" s="215"/>
      <c r="H10" s="216"/>
      <c r="I10" s="211"/>
      <c r="J10" s="211"/>
      <c r="K10" s="289"/>
      <c r="L10" s="289"/>
      <c r="M10" s="289"/>
      <c r="N10" s="288"/>
      <c r="O10" s="288"/>
      <c r="P10" s="288"/>
      <c r="Q10" s="102"/>
      <c r="R10" s="140"/>
      <c r="S10" s="290">
        <f>IF(T9="","",T9*1.2)</f>
        <v>289.87708581676094</v>
      </c>
      <c r="T10" s="290"/>
      <c r="U10" s="177"/>
      <c r="V10" s="189">
        <f>IF(V9="","",V9*20)</f>
        <v>175.2</v>
      </c>
      <c r="W10" s="194">
        <f>IF(W9="","",(W9*10)*AJ9)</f>
        <v>164.52483249059404</v>
      </c>
      <c r="X10" s="195">
        <f>IF(X9="","",IF((80+(8-ROUNDUP(X9,1))*40)&lt;0,0,80+(8-ROUNDUP(X9,1))*40))</f>
        <v>128</v>
      </c>
      <c r="Y10" s="195">
        <f>IF(SUM(V10,W10,X10)&gt;0,SUM(V10,W10,X10),"")</f>
        <v>467.72483249059405</v>
      </c>
      <c r="Z10" s="196">
        <f>IF(AE9&gt;34,(IF(OR(S10="",V10="",W10="",X10=""),"",SUM(S10,V10,W10,X10))*AI9),IF(OR(S10="",V10="",W10="",X10=""),"", SUM(S10,V10,W10,X10)))</f>
        <v>757.60191830735494</v>
      </c>
      <c r="AA10" s="192">
        <v>3</v>
      </c>
      <c r="AB10" s="175"/>
      <c r="AC10" s="70"/>
      <c r="AD10" s="84"/>
      <c r="AE10" s="85"/>
      <c r="AF10" s="86"/>
      <c r="AG10" s="87"/>
      <c r="AH10" s="87"/>
      <c r="AI10" s="87"/>
    </row>
    <row r="11" spans="1:36" s="17" customFormat="1" ht="18" customHeight="1">
      <c r="B11" s="203">
        <v>2006028</v>
      </c>
      <c r="C11" s="204" t="s">
        <v>145</v>
      </c>
      <c r="D11" s="205">
        <v>69.010000000000005</v>
      </c>
      <c r="E11" s="206" t="s">
        <v>165</v>
      </c>
      <c r="F11" s="206" t="s">
        <v>155</v>
      </c>
      <c r="G11" s="208">
        <v>38922</v>
      </c>
      <c r="H11" s="209"/>
      <c r="I11" s="210" t="s">
        <v>167</v>
      </c>
      <c r="J11" s="210" t="s">
        <v>112</v>
      </c>
      <c r="K11" s="216">
        <v>85</v>
      </c>
      <c r="L11" s="218">
        <v>90</v>
      </c>
      <c r="M11" s="218">
        <v>93</v>
      </c>
      <c r="N11" s="216">
        <v>-115</v>
      </c>
      <c r="O11" s="218">
        <v>115</v>
      </c>
      <c r="P11" s="218">
        <v>-119</v>
      </c>
      <c r="Q11" s="180">
        <f>IF(MAX(K11:M11)&gt;0,IF(MAX(K11:M11)&lt;0,0,TRUNC(MAX(K11:M11)/1)*1),"")</f>
        <v>93</v>
      </c>
      <c r="R11" s="181">
        <f>IF(MAX(N11:P11)&gt;0,IF(MAX(N11:P11)&lt;0,0,TRUNC(MAX(N11:P11)/1)*1),"")</f>
        <v>115</v>
      </c>
      <c r="S11" s="182">
        <f>IF(Q11="","",IF(R11="","",IF(SUM(Q11:R11)=0,"",SUM(Q11:R11))))</f>
        <v>208</v>
      </c>
      <c r="T11" s="171">
        <f>IF(S11="","",IF(E11="","",IF((AD11="k"),IF(D11&gt;153.757,S11,IF(D11&lt;28,10^(0.787004341*LOG10(28/153.757)^2)*S11,10^(0.787004341*LOG10(D11/153.757)^2)*S11)),IF(D11&gt;193.609,S11,IF(D11&lt;32,10^(0.722762521*LOG10(32/1609.609)^2)*S11,10^(0.722762521*LOG10(D11/193.609)^2)*S11)))))</f>
        <v>290.49149120151594</v>
      </c>
      <c r="U11" s="187" t="str">
        <f>IF(AF11=1,T11*AI11,"")</f>
        <v/>
      </c>
      <c r="V11" s="190">
        <f>IF('K5'!G9="","",'K5'!G9)</f>
        <v>7.75</v>
      </c>
      <c r="W11" s="184">
        <f>IF('K5'!K9="","",'K5'!K9)</f>
        <v>13</v>
      </c>
      <c r="X11" s="184">
        <f>IF('K5'!N9="","",'K5'!N9)</f>
        <v>6</v>
      </c>
      <c r="Y11" s="185"/>
      <c r="Z11" s="183"/>
      <c r="AA11" s="193"/>
      <c r="AB11" s="176"/>
      <c r="AC11" s="70">
        <f>U5</f>
        <v>45829</v>
      </c>
      <c r="AD11" s="84" t="str">
        <f t="shared" ref="AD11" si="0">IF(ISNUMBER(FIND("M",E11)),"m",IF(ISNUMBER(FIND("K",E11)),"k"))</f>
        <v>m</v>
      </c>
      <c r="AE11" s="85">
        <f t="shared" ref="AE11" si="1">IF(OR(G11="",AC11=""),0,(YEAR(AC11)-YEAR(G11)))</f>
        <v>19</v>
      </c>
      <c r="AF11" s="86" t="str">
        <f t="shared" ref="AF11:AF31" si="2">IF(AE11&gt;34,1,"")</f>
        <v/>
      </c>
      <c r="AG11" s="87" t="b">
        <f>IF(AF11=1,LOOKUP(AE11,'Meltzer-Faber'!A3:A63,'Meltzer-Faber'!B3:B63))</f>
        <v>0</v>
      </c>
      <c r="AH11" s="87" t="b">
        <f>IF(AF11=1,LOOKUP(AE11,'Meltzer-Faber'!A3:A63,'Meltzer-Faber'!C3:C63))</f>
        <v>0</v>
      </c>
      <c r="AI11" s="87" t="b">
        <f t="shared" ref="AI11" si="3">IF(AD11="m",AG11,IF(AD11="k",AH11,""))</f>
        <v>0</v>
      </c>
      <c r="AJ11" s="119">
        <f>IF(D11="","",IF(D11&gt;193.609,1,IF(D11&lt;32,10^(0.722762521*LOG10(32/193.609)^2),10^(0.722762521*LOG10(D11/193.609)^2))))</f>
        <v>1.3965937076995958</v>
      </c>
    </row>
    <row r="12" spans="1:36" s="17" customFormat="1" ht="18" customHeight="1">
      <c r="B12" s="203"/>
      <c r="C12" s="212"/>
      <c r="D12" s="213"/>
      <c r="E12" s="213"/>
      <c r="F12" s="214"/>
      <c r="G12" s="215"/>
      <c r="H12" s="216"/>
      <c r="I12" s="211"/>
      <c r="J12" s="211"/>
      <c r="K12" s="289"/>
      <c r="L12" s="289"/>
      <c r="M12" s="289"/>
      <c r="N12" s="288"/>
      <c r="O12" s="288"/>
      <c r="P12" s="288"/>
      <c r="Q12" s="102"/>
      <c r="R12" s="140"/>
      <c r="S12" s="290">
        <f>IF(T11="","",T11*1.2)</f>
        <v>348.58978944181911</v>
      </c>
      <c r="T12" s="290"/>
      <c r="U12" s="177"/>
      <c r="V12" s="189">
        <f>IF(V11="","",V11*20)</f>
        <v>155</v>
      </c>
      <c r="W12" s="194">
        <f>IF(W11="","",(W11*10)*AJ11)</f>
        <v>181.55718200094745</v>
      </c>
      <c r="X12" s="195">
        <f>IF(X11="","",IF((80+(8-ROUNDUP(X11,1))*40)&lt;0,0,80+(8-ROUNDUP(X11,1))*40))</f>
        <v>160</v>
      </c>
      <c r="Y12" s="195">
        <f>IF(SUM(V12,W12,X12)&gt;0,SUM(V12,W12,X12),"")</f>
        <v>496.55718200094748</v>
      </c>
      <c r="Z12" s="196">
        <f>IF(AE11&gt;34,(IF(OR(S12="",V12="",W12="",X12=""),"",SUM(S12,V12,W12,X12))*AI11),IF(OR(S12="",V12="",W12="",X12=""),"", SUM(S12,V12,W12,X12)))</f>
        <v>845.14697144276658</v>
      </c>
      <c r="AA12" s="192">
        <v>1</v>
      </c>
      <c r="AB12" s="175"/>
      <c r="AC12" s="70"/>
    </row>
    <row r="13" spans="1:36" s="17" customFormat="1" ht="18" customHeight="1">
      <c r="B13" s="203">
        <v>2006026</v>
      </c>
      <c r="C13" s="204" t="s">
        <v>153</v>
      </c>
      <c r="D13" s="205">
        <v>92.89</v>
      </c>
      <c r="E13" s="206" t="s">
        <v>165</v>
      </c>
      <c r="F13" s="206" t="s">
        <v>155</v>
      </c>
      <c r="G13" s="208">
        <v>38951</v>
      </c>
      <c r="H13" s="209"/>
      <c r="I13" s="210" t="s">
        <v>168</v>
      </c>
      <c r="J13" s="210" t="s">
        <v>112</v>
      </c>
      <c r="K13" s="216">
        <v>-96</v>
      </c>
      <c r="L13" s="218">
        <v>96</v>
      </c>
      <c r="M13" s="218">
        <v>101</v>
      </c>
      <c r="N13" s="216">
        <v>120</v>
      </c>
      <c r="O13" s="218">
        <v>-125</v>
      </c>
      <c r="P13" s="218">
        <v>-130</v>
      </c>
      <c r="Q13" s="180">
        <f>IF(MAX(K13:M13)&gt;0,IF(MAX(K13:M13)&lt;0,0,TRUNC(MAX(K13:M13)/1)*1),"")</f>
        <v>101</v>
      </c>
      <c r="R13" s="181">
        <f>IF(MAX(N13:P13)&gt;0,IF(MAX(N13:P13)&lt;0,0,TRUNC(MAX(N13:P13)/1)*1),"")</f>
        <v>120</v>
      </c>
      <c r="S13" s="182">
        <f>IF(Q13="","",IF(R13="","",IF(SUM(Q13:R13)=0,"",SUM(Q13:R13))))</f>
        <v>221</v>
      </c>
      <c r="T13" s="171">
        <f>IF(S13="","",IF(E13="","",IF((AD13="k"),IF(D13&gt;153.757,S13,IF(D13&lt;28,10^(0.787004341*LOG10(28/153.757)^2)*S13,10^(0.787004341*LOG10(D13/153.757)^2)*S13)),IF(D13&gt;193.609,S13,IF(D13&lt;32,10^(0.722762521*LOG10(32/1609.609)^2)*S13,10^(0.722762521*LOG10(D13/193.609)^2)*S13)))))</f>
        <v>261.77085380528854</v>
      </c>
      <c r="U13" s="187" t="str">
        <f>IF(AF13=1,T13*AI13,"")</f>
        <v/>
      </c>
      <c r="V13" s="190">
        <f>IF('K5'!G11="","",'K5'!G11)</f>
        <v>8.23</v>
      </c>
      <c r="W13" s="184">
        <f>IF('K5'!K11="","",'K5'!K11)</f>
        <v>13.35</v>
      </c>
      <c r="X13" s="184">
        <f>IF('K5'!N11="","",'K5'!N11)</f>
        <v>6.7</v>
      </c>
      <c r="Y13" s="185"/>
      <c r="Z13" s="183"/>
      <c r="AA13" s="193"/>
      <c r="AB13" s="176"/>
      <c r="AC13" s="70">
        <f>U5</f>
        <v>45829</v>
      </c>
      <c r="AD13" s="84" t="str">
        <f t="shared" ref="AD13" si="4">IF(ISNUMBER(FIND("M",E13)),"m",IF(ISNUMBER(FIND("K",E13)),"k"))</f>
        <v>m</v>
      </c>
      <c r="AE13" s="85">
        <f t="shared" ref="AE13" si="5">IF(OR(G13="",AC13=""),0,(YEAR(AC13)-YEAR(G13)))</f>
        <v>19</v>
      </c>
      <c r="AF13" s="86" t="str">
        <f t="shared" si="2"/>
        <v/>
      </c>
      <c r="AG13" s="87" t="b">
        <f>IF(AF13=1,LOOKUP(AE13,'Meltzer-Faber'!A3:A63,'Meltzer-Faber'!B3:B63))</f>
        <v>0</v>
      </c>
      <c r="AH13" s="87" t="b">
        <f>IF(AF13=1,LOOKUP(AE13,'Meltzer-Faber'!A3:A63,'Meltzer-Faber'!C3:C63))</f>
        <v>0</v>
      </c>
      <c r="AI13" s="87" t="b">
        <f t="shared" ref="AI13" si="6">IF(AD13="m",AG13,IF(AD13="k",AH13,""))</f>
        <v>0</v>
      </c>
      <c r="AJ13" s="119">
        <f>IF(D13="","",IF(D13&gt;193.609,1,IF(D13&lt;32,10^(0.722762521*LOG10(32/193.609)^2),10^(0.722762521*LOG10(D13/193.609)^2))))</f>
        <v>1.1844835013813961</v>
      </c>
    </row>
    <row r="14" spans="1:36" s="17" customFormat="1" ht="18" customHeight="1">
      <c r="B14" s="203"/>
      <c r="C14" s="212"/>
      <c r="D14" s="213"/>
      <c r="E14" s="213"/>
      <c r="F14" s="214"/>
      <c r="G14" s="215"/>
      <c r="H14" s="216"/>
      <c r="I14" s="211"/>
      <c r="J14" s="211"/>
      <c r="K14" s="289"/>
      <c r="L14" s="289"/>
      <c r="M14" s="289"/>
      <c r="N14" s="288"/>
      <c r="O14" s="288"/>
      <c r="P14" s="288"/>
      <c r="Q14" s="102"/>
      <c r="R14" s="140"/>
      <c r="S14" s="290">
        <f>IF(T13="","",T13*1.2)</f>
        <v>314.12502456634621</v>
      </c>
      <c r="T14" s="290"/>
      <c r="U14" s="177"/>
      <c r="V14" s="189">
        <f>IF(V13="","",V13*20)</f>
        <v>164.60000000000002</v>
      </c>
      <c r="W14" s="194">
        <f>IF(W13="","",(W13*10)*AJ13)</f>
        <v>158.12854743441639</v>
      </c>
      <c r="X14" s="195">
        <f>IF(X13="","",IF((80+(8-ROUNDUP(X13,1))*40)&lt;0,0,80+(8-ROUNDUP(X13,1))*40))</f>
        <v>132</v>
      </c>
      <c r="Y14" s="195">
        <f>IF(SUM(V14,W14,X14)&gt;0,SUM(V14,W14,X14),"")</f>
        <v>454.72854743441644</v>
      </c>
      <c r="Z14" s="196">
        <f>IF(AE13&gt;34,(IF(OR(S14="",V14="",W14="",X14=""),"",SUM(S14,V14,W14,X14))*AI13),IF(OR(S14="",V14="",W14="",X14=""),"", SUM(S14,V14,W14,X14)))</f>
        <v>768.8535720007626</v>
      </c>
      <c r="AA14" s="192">
        <v>2</v>
      </c>
      <c r="AB14" s="175"/>
      <c r="AC14" s="70"/>
    </row>
    <row r="15" spans="1:36" s="17" customFormat="1" ht="18" customHeight="1">
      <c r="B15" s="203">
        <v>2000010</v>
      </c>
      <c r="C15" s="220" t="s">
        <v>109</v>
      </c>
      <c r="D15" s="205">
        <v>86.33</v>
      </c>
      <c r="E15" s="206" t="s">
        <v>169</v>
      </c>
      <c r="F15" s="207" t="s">
        <v>92</v>
      </c>
      <c r="G15" s="208">
        <v>36748</v>
      </c>
      <c r="H15" s="209"/>
      <c r="I15" s="210" t="s">
        <v>170</v>
      </c>
      <c r="J15" s="211" t="s">
        <v>94</v>
      </c>
      <c r="K15" s="216">
        <v>-100</v>
      </c>
      <c r="L15" s="218">
        <v>100</v>
      </c>
      <c r="M15" s="218">
        <v>-110</v>
      </c>
      <c r="N15" s="216">
        <v>130</v>
      </c>
      <c r="O15" s="218">
        <v>136</v>
      </c>
      <c r="P15" s="218">
        <v>-142</v>
      </c>
      <c r="Q15" s="180">
        <f>IF(MAX(K15:M15)&gt;0,IF(MAX(K15:M15)&lt;0,0,TRUNC(MAX(K15:M15)/1)*1),"")</f>
        <v>100</v>
      </c>
      <c r="R15" s="181">
        <f>IF(MAX(N15:P15)&gt;0,IF(MAX(N15:P15)&lt;0,0,TRUNC(MAX(N15:P15)/1)*1),"")</f>
        <v>136</v>
      </c>
      <c r="S15" s="182">
        <f>IF(Q15="","",IF(R15="","",IF(SUM(Q15:R15)=0,"",SUM(Q15:R15))))</f>
        <v>236</v>
      </c>
      <c r="T15" s="171">
        <f>IF(S15="","",IF(E15="","",IF((AD15="k"),IF(D15&gt;153.757,S15,IF(D15&lt;28,10^(0.787004341*LOG10(28/153.757)^2)*S15,10^(0.787004341*LOG10(D15/153.757)^2)*S15)),IF(D15&gt;193.609,S15,IF(D15&lt;32,10^(0.722762521*LOG10(32/1609.609)^2)*S15,10^(0.722762521*LOG10(D15/193.609)^2)*S15)))))</f>
        <v>289.62581314477518</v>
      </c>
      <c r="U15" s="187" t="str">
        <f>IF(AF15=1,T15*AI15,"")</f>
        <v/>
      </c>
      <c r="V15" s="190">
        <f>IF('K5'!G13="","",'K5'!G13)</f>
        <v>9.44</v>
      </c>
      <c r="W15" s="184">
        <f>IF('K5'!K13="","",'K5'!K13)</f>
        <v>15.7</v>
      </c>
      <c r="X15" s="184">
        <f>IF('K5'!N13="","",'K5'!N13)</f>
        <v>6</v>
      </c>
      <c r="Y15" s="185"/>
      <c r="Z15" s="183"/>
      <c r="AA15" s="193"/>
      <c r="AB15" s="176"/>
      <c r="AC15" s="70">
        <f>U5</f>
        <v>45829</v>
      </c>
      <c r="AD15" s="84" t="str">
        <f t="shared" ref="AD15" si="7">IF(ISNUMBER(FIND("M",E15)),"m",IF(ISNUMBER(FIND("K",E15)),"k"))</f>
        <v>m</v>
      </c>
      <c r="AE15" s="85">
        <f t="shared" ref="AE15" si="8">IF(OR(G15="",AC15=""),0,(YEAR(AC15)-YEAR(G15)))</f>
        <v>25</v>
      </c>
      <c r="AF15" s="86" t="str">
        <f t="shared" si="2"/>
        <v/>
      </c>
      <c r="AG15" s="87" t="b">
        <f>IF(AF15=1,LOOKUP(AE15,'Meltzer-Faber'!A3:A63,'Meltzer-Faber'!B3:B63))</f>
        <v>0</v>
      </c>
      <c r="AH15" s="87" t="b">
        <f>IF(AF15=1,LOOKUP(AE15,'Meltzer-Faber'!A3:A63,'Meltzer-Faber'!C3:C63))</f>
        <v>0</v>
      </c>
      <c r="AI15" s="87" t="b">
        <f t="shared" ref="AI15" si="9">IF(AD15="m",AG15,IF(AD15="k",AH15,""))</f>
        <v>0</v>
      </c>
      <c r="AJ15" s="119">
        <f>IF(D15="","",IF(D15&gt;193.609,1,IF(D15&lt;32,10^(0.722762521*LOG10(32/193.609)^2),10^(0.722762521*LOG10(D15/193.609)^2))))</f>
        <v>1.2272280217998948</v>
      </c>
    </row>
    <row r="16" spans="1:36" s="17" customFormat="1" ht="18" customHeight="1">
      <c r="B16" s="203"/>
      <c r="C16" s="212"/>
      <c r="D16" s="213"/>
      <c r="E16" s="213"/>
      <c r="F16" s="214"/>
      <c r="G16" s="215"/>
      <c r="H16" s="216"/>
      <c r="I16" s="211"/>
      <c r="J16" s="211"/>
      <c r="K16" s="289"/>
      <c r="L16" s="289"/>
      <c r="M16" s="289"/>
      <c r="N16" s="288"/>
      <c r="O16" s="288"/>
      <c r="P16" s="288"/>
      <c r="Q16" s="102"/>
      <c r="R16" s="140"/>
      <c r="S16" s="290">
        <f>IF(T15="","",T15*1.2)</f>
        <v>347.55097577373022</v>
      </c>
      <c r="T16" s="290"/>
      <c r="U16" s="177"/>
      <c r="V16" s="189">
        <f>IF(V15="","",V15*20)</f>
        <v>188.79999999999998</v>
      </c>
      <c r="W16" s="194">
        <f>IF(W15="","",(W15*10)*AJ15)</f>
        <v>192.67479942258348</v>
      </c>
      <c r="X16" s="195">
        <f>IF(X15="","",IF((80+(8-ROUNDUP(X15,1))*40)&lt;0,0,80+(8-ROUNDUP(X15,1))*40))</f>
        <v>160</v>
      </c>
      <c r="Y16" s="195">
        <f>IF(SUM(V16,W16,X16)&gt;0,SUM(V16,W16,X16),"")</f>
        <v>541.47479942258349</v>
      </c>
      <c r="Z16" s="196">
        <f>IF(AE15&gt;34,(IF(OR(S16="",V16="",W16="",X16=""),"",SUM(S16,V16,W16,X16))*AI15),IF(OR(S16="",V16="",W16="",X16=""),"", SUM(S16,V16,W16,X16)))</f>
        <v>889.02577519631359</v>
      </c>
      <c r="AA16" s="192"/>
      <c r="AB16" s="175"/>
      <c r="AC16" s="70"/>
    </row>
    <row r="17" spans="2:41" s="17" customFormat="1" ht="18" customHeight="1">
      <c r="B17" s="203">
        <v>1999007</v>
      </c>
      <c r="C17" s="220" t="s">
        <v>109</v>
      </c>
      <c r="D17" s="205">
        <v>84.45</v>
      </c>
      <c r="E17" s="206" t="s">
        <v>169</v>
      </c>
      <c r="F17" s="207" t="s">
        <v>92</v>
      </c>
      <c r="G17" s="208">
        <v>36505</v>
      </c>
      <c r="H17" s="209"/>
      <c r="I17" s="210" t="s">
        <v>171</v>
      </c>
      <c r="J17" s="211" t="s">
        <v>94</v>
      </c>
      <c r="K17" s="216">
        <v>108</v>
      </c>
      <c r="L17" s="218">
        <v>112</v>
      </c>
      <c r="M17" s="218">
        <v>116</v>
      </c>
      <c r="N17" s="216">
        <v>130</v>
      </c>
      <c r="O17" s="218">
        <v>136</v>
      </c>
      <c r="P17" s="218">
        <v>142</v>
      </c>
      <c r="Q17" s="180">
        <f>IF(MAX(K17:M17)&gt;0,IF(MAX(K17:M17)&lt;0,0,TRUNC(MAX(K17:M17)/1)*1),"")</f>
        <v>116</v>
      </c>
      <c r="R17" s="181">
        <f>IF(MAX(N17:P17)&gt;0,IF(MAX(N17:P17)&lt;0,0,TRUNC(MAX(N17:P17)/1)*1),"")</f>
        <v>142</v>
      </c>
      <c r="S17" s="182">
        <f>IF(Q17="","",IF(R17="","",IF(SUM(Q17:R17)=0,"",SUM(Q17:R17))))</f>
        <v>258</v>
      </c>
      <c r="T17" s="171">
        <f>IF(S17="","",IF(E17="","",IF((AD17="k"),IF(D17&gt;153.757,S17,IF(D17&lt;28,10^(0.787004341*LOG10(28/153.757)^2)*S17,10^(0.787004341*LOG10(D17/153.757)^2)*S17)),IF(D17&gt;193.609,S17,IF(D17&lt;32,10^(0.722762521*LOG10(32/1609.609)^2)*S17,10^(0.722762521*LOG10(D17/193.609)^2)*S17)))))</f>
        <v>320.22806708147948</v>
      </c>
      <c r="U17" s="187" t="str">
        <f>IF(AF17=1,T17*AI17,"")</f>
        <v/>
      </c>
      <c r="V17" s="190">
        <f>IF('K5'!G15="","",'K5'!G15)</f>
        <v>9.2899999999999991</v>
      </c>
      <c r="W17" s="184">
        <f>IF('K5'!K15="","",'K5'!K15)</f>
        <v>15.6</v>
      </c>
      <c r="X17" s="184">
        <f>IF('K5'!N15="","",'K5'!N15)</f>
        <v>6.5</v>
      </c>
      <c r="Y17" s="185"/>
      <c r="Z17" s="183"/>
      <c r="AA17" s="193"/>
      <c r="AB17" s="176"/>
      <c r="AC17" s="70">
        <f>U5</f>
        <v>45829</v>
      </c>
      <c r="AD17" s="84" t="str">
        <f t="shared" ref="AD17" si="10">IF(ISNUMBER(FIND("M",E17)),"m",IF(ISNUMBER(FIND("K",E17)),"k"))</f>
        <v>m</v>
      </c>
      <c r="AE17" s="85">
        <f t="shared" ref="AE17" si="11">IF(OR(G17="",AC17=""),0,(YEAR(AC17)-YEAR(G17)))</f>
        <v>26</v>
      </c>
      <c r="AF17" s="86" t="str">
        <f t="shared" si="2"/>
        <v/>
      </c>
      <c r="AG17" s="87" t="b">
        <f>IF(AF17=1,LOOKUP(AE17,'Meltzer-Faber'!A3:A63,'Meltzer-Faber'!B3:B63))</f>
        <v>0</v>
      </c>
      <c r="AH17" s="87" t="b">
        <f>IF(AF17=1,LOOKUP(AE17,'Meltzer-Faber'!A3:A63,'Meltzer-Faber'!C3:C63))</f>
        <v>0</v>
      </c>
      <c r="AI17" s="87" t="b">
        <f t="shared" ref="AI17" si="12">IF(AD17="m",AG17,IF(AD17="k",AH17,""))</f>
        <v>0</v>
      </c>
      <c r="AJ17" s="119">
        <f>IF(D17="","",IF(D17&gt;193.609,1,IF(D17&lt;32,10^(0.722762521*LOG10(32/193.609)^2),10^(0.722762521*LOG10(D17/193.609)^2))))</f>
        <v>1.2411940584553469</v>
      </c>
      <c r="AO17" s="119"/>
    </row>
    <row r="18" spans="2:41" s="17" customFormat="1" ht="18" customHeight="1">
      <c r="B18" s="203"/>
      <c r="C18" s="212"/>
      <c r="D18" s="213"/>
      <c r="E18" s="213"/>
      <c r="F18" s="214"/>
      <c r="G18" s="215"/>
      <c r="H18" s="216"/>
      <c r="I18" s="211"/>
      <c r="J18" s="211"/>
      <c r="K18" s="289"/>
      <c r="L18" s="289"/>
      <c r="M18" s="289"/>
      <c r="N18" s="288"/>
      <c r="O18" s="288"/>
      <c r="P18" s="288"/>
      <c r="Q18" s="102"/>
      <c r="R18" s="140"/>
      <c r="S18" s="290">
        <f>IF(T17="","",T17*1.2)</f>
        <v>384.27368049777539</v>
      </c>
      <c r="T18" s="290"/>
      <c r="U18" s="177"/>
      <c r="V18" s="189">
        <f>IF(V17="","",V17*20)</f>
        <v>185.79999999999998</v>
      </c>
      <c r="W18" s="194">
        <f>IF(W17="","",(W17*10)*AJ17)</f>
        <v>193.62627311903412</v>
      </c>
      <c r="X18" s="195">
        <f>IF(X17="","",IF((80+(8-ROUNDUP(X17,1))*40)&lt;0,0,80+(8-ROUNDUP(X17,1))*40))</f>
        <v>140</v>
      </c>
      <c r="Y18" s="195">
        <f>IF(SUM(V18,W18,X18)&gt;0,SUM(V18,W18,X18),"")</f>
        <v>519.42627311903414</v>
      </c>
      <c r="Z18" s="196">
        <f>IF(AE17&gt;34,(IF(OR(S18="",V18="",W18="",X18=""),"",SUM(S18,V18,W18,X18))*AI17),IF(OR(S18="",V18="",W18="",X18=""),"", SUM(S18,V18,W18,X18)))</f>
        <v>903.69995361680958</v>
      </c>
      <c r="AA18" s="192"/>
      <c r="AB18" s="175"/>
      <c r="AC18" s="70"/>
    </row>
    <row r="19" spans="2:41" s="17" customFormat="1" ht="18" customHeight="1">
      <c r="B19" s="203">
        <v>1994027</v>
      </c>
      <c r="C19" s="204" t="s">
        <v>106</v>
      </c>
      <c r="D19" s="205">
        <v>94.63</v>
      </c>
      <c r="E19" s="206" t="s">
        <v>169</v>
      </c>
      <c r="F19" s="206" t="s">
        <v>92</v>
      </c>
      <c r="G19" s="217">
        <v>34617</v>
      </c>
      <c r="H19" s="209"/>
      <c r="I19" s="211" t="s">
        <v>172</v>
      </c>
      <c r="J19" s="211" t="s">
        <v>94</v>
      </c>
      <c r="K19" s="216">
        <v>-103</v>
      </c>
      <c r="L19" s="218">
        <v>-103</v>
      </c>
      <c r="M19" s="218">
        <v>-103</v>
      </c>
      <c r="N19" s="216">
        <v>115</v>
      </c>
      <c r="O19" s="218">
        <v>120</v>
      </c>
      <c r="P19" s="218">
        <v>128</v>
      </c>
      <c r="Q19" s="180" t="str">
        <f>IF(MAX(K19:M19)&gt;0,IF(MAX(K19:M19)&lt;0,0,TRUNC(MAX(K19:M19)/1)*1),"")</f>
        <v/>
      </c>
      <c r="R19" s="181">
        <f>IF(MAX(N19:P19)&gt;0,IF(MAX(N19:P19)&lt;0,0,TRUNC(MAX(N19:P19)/1)*1),"")</f>
        <v>128</v>
      </c>
      <c r="S19" s="182" t="str">
        <f>IF(Q19="","",IF(R19="","",IF(SUM(Q19:R19)=0,"",SUM(Q19:R19))))</f>
        <v/>
      </c>
      <c r="T19" s="171" t="str">
        <f>IF(S19="","",IF(E19="","",IF((AD19="k"),IF(D19&gt;153.757,S19,IF(D19&lt;28,10^(0.787004341*LOG10(28/153.757)^2)*S19,10^(0.787004341*LOG10(D19/153.757)^2)*S19)),IF(D19&gt;193.609,S19,IF(D19&lt;32,10^(0.722762521*LOG10(32/1609.609)^2)*S19,10^(0.722762521*LOG10(D19/193.609)^2)*S19)))))</f>
        <v/>
      </c>
      <c r="U19" s="187" t="str">
        <f>IF(AF19=1,T19*AI19,"")</f>
        <v/>
      </c>
      <c r="V19" s="190" t="str">
        <f>IF('K5'!G17="","",'K5'!G17)</f>
        <v/>
      </c>
      <c r="W19" s="184" t="str">
        <f>IF('K5'!K17="","",'K5'!K17)</f>
        <v/>
      </c>
      <c r="X19" s="184" t="str">
        <f>IF('K5'!N17="","",'K5'!N17)</f>
        <v/>
      </c>
      <c r="Y19" s="185"/>
      <c r="Z19" s="183"/>
      <c r="AA19" s="193"/>
      <c r="AB19" s="176"/>
      <c r="AC19" s="70">
        <f>U5</f>
        <v>45829</v>
      </c>
      <c r="AD19" s="84" t="str">
        <f t="shared" ref="AD19" si="13">IF(ISNUMBER(FIND("M",E19)),"m",IF(ISNUMBER(FIND("K",E19)),"k"))</f>
        <v>m</v>
      </c>
      <c r="AE19" s="85">
        <f t="shared" ref="AE19" si="14">IF(OR(G19="",AC19=""),0,(YEAR(AC19)-YEAR(G19)))</f>
        <v>31</v>
      </c>
      <c r="AF19" s="86" t="str">
        <f t="shared" si="2"/>
        <v/>
      </c>
      <c r="AG19" s="87" t="b">
        <f>IF(AF19=1,LOOKUP(AE19,'Meltzer-Faber'!A3:A63,'Meltzer-Faber'!B3:B63))</f>
        <v>0</v>
      </c>
      <c r="AH19" s="87" t="b">
        <f>IF(AF19=1,LOOKUP(AE19,'Meltzer-Faber'!A3:A63,'Meltzer-Faber'!C3:C63))</f>
        <v>0</v>
      </c>
      <c r="AI19" s="87" t="b">
        <f t="shared" ref="AI19" si="15">IF(AD19="m",AG19,IF(AD19="k",AH19,""))</f>
        <v>0</v>
      </c>
      <c r="AJ19" s="119">
        <f>IF(D19="","",IF(D19&gt;193.609,1,IF(D19&lt;32,10^(0.722762521*LOG10(32/193.609)^2),10^(0.722762521*LOG10(D19/193.609)^2))))</f>
        <v>1.1745185570904435</v>
      </c>
    </row>
    <row r="20" spans="2:41" s="17" customFormat="1" ht="18" customHeight="1">
      <c r="B20" s="203"/>
      <c r="C20" s="212"/>
      <c r="D20" s="213"/>
      <c r="E20" s="213"/>
      <c r="F20" s="214"/>
      <c r="G20" s="215"/>
      <c r="H20" s="216"/>
      <c r="I20" s="211"/>
      <c r="J20" s="211"/>
      <c r="K20" s="289"/>
      <c r="L20" s="289"/>
      <c r="M20" s="289"/>
      <c r="N20" s="288"/>
      <c r="O20" s="288"/>
      <c r="P20" s="288"/>
      <c r="Q20" s="102"/>
      <c r="R20" s="140"/>
      <c r="S20" s="290" t="str">
        <f>IF(T19="","",T19*1.2)</f>
        <v/>
      </c>
      <c r="T20" s="290"/>
      <c r="U20" s="177"/>
      <c r="V20" s="189" t="str">
        <f>IF(V19="","",V19*20)</f>
        <v/>
      </c>
      <c r="W20" s="194" t="str">
        <f>IF(W19="","",(W19*10)*AJ19)</f>
        <v/>
      </c>
      <c r="X20" s="195" t="str">
        <f>IF(X19="","",IF((80+(8-ROUNDUP(X19,1))*40)&lt;0,0,80+(8-ROUNDUP(X19,1))*40))</f>
        <v/>
      </c>
      <c r="Y20" s="195" t="str">
        <f>IF(SUM(V20,W20,X20)&gt;0,SUM(V20,W20,X20),"")</f>
        <v/>
      </c>
      <c r="Z20" s="196" t="str">
        <f>IF(AE19&gt;34,(IF(OR(S20="",V20="",W20="",X20=""),"",SUM(S20,V20,W20,X20))*AI19),IF(OR(S20="",V20="",W20="",X20=""),"", SUM(S20,V20,W20,X20)))</f>
        <v/>
      </c>
      <c r="AA20" s="192" t="s">
        <v>13</v>
      </c>
      <c r="AB20" s="175"/>
      <c r="AC20" s="70"/>
    </row>
    <row r="21" spans="2:41" s="17" customFormat="1" ht="18" customHeight="1">
      <c r="B21" s="203">
        <v>1993010</v>
      </c>
      <c r="C21" s="204" t="s">
        <v>153</v>
      </c>
      <c r="D21" s="205">
        <v>89.95</v>
      </c>
      <c r="E21" s="206" t="s">
        <v>169</v>
      </c>
      <c r="F21" s="206" t="s">
        <v>92</v>
      </c>
      <c r="G21" s="217">
        <v>34035</v>
      </c>
      <c r="H21" s="209"/>
      <c r="I21" s="211" t="s">
        <v>173</v>
      </c>
      <c r="J21" s="211" t="s">
        <v>94</v>
      </c>
      <c r="K21" s="216">
        <v>90</v>
      </c>
      <c r="L21" s="218">
        <v>100</v>
      </c>
      <c r="M21" s="218">
        <v>106</v>
      </c>
      <c r="N21" s="216">
        <v>120</v>
      </c>
      <c r="O21" s="218">
        <v>130</v>
      </c>
      <c r="P21" s="218">
        <v>140</v>
      </c>
      <c r="Q21" s="180">
        <f>IF(MAX(K21:M21)&gt;0,IF(MAX(K21:M21)&lt;0,0,TRUNC(MAX(K21:M21)/1)*1),"")</f>
        <v>106</v>
      </c>
      <c r="R21" s="181">
        <f>IF(MAX(N21:P21)&gt;0,IF(MAX(N21:P21)&lt;0,0,TRUNC(MAX(N21:P21)/1)*1),"")</f>
        <v>140</v>
      </c>
      <c r="S21" s="182">
        <f>IF(Q21="","",IF(R21="","",IF(SUM(Q21:R21)=0,"",SUM(Q21:R21))))</f>
        <v>246</v>
      </c>
      <c r="T21" s="171">
        <f>IF(S21="","",IF(E21="","",IF((AD21="k"),IF(D21&gt;153.757,S21,IF(D21&lt;28,10^(0.787004341*LOG10(28/153.757)^2)*S21,10^(0.787004341*LOG10(D21/153.757)^2)*S21)),IF(D21&gt;193.609,S21,IF(D21&lt;32,10^(0.722762521*LOG10(32/1609.609)^2)*S21,10^(0.722762521*LOG10(D21/193.609)^2)*S21)))))</f>
        <v>295.83198062230611</v>
      </c>
      <c r="U21" s="187" t="str">
        <f>IF(AF21=1,T21*AI21,"")</f>
        <v/>
      </c>
      <c r="V21" s="190">
        <f>IF('K5'!G19="","",'K5'!G19)</f>
        <v>8.7100000000000009</v>
      </c>
      <c r="W21" s="184">
        <f>IF('K5'!K19="","",'K5'!K19)</f>
        <v>12.6</v>
      </c>
      <c r="X21" s="184">
        <f>IF('K5'!N19="","",'K5'!N19)</f>
        <v>6.3</v>
      </c>
      <c r="Y21" s="185"/>
      <c r="Z21" s="183"/>
      <c r="AA21" s="193"/>
      <c r="AB21" s="176"/>
      <c r="AC21" s="70">
        <f>U5</f>
        <v>45829</v>
      </c>
      <c r="AD21" s="84" t="str">
        <f t="shared" ref="AD21" si="16">IF(ISNUMBER(FIND("M",E21)),"m",IF(ISNUMBER(FIND("K",E21)),"k"))</f>
        <v>m</v>
      </c>
      <c r="AE21" s="85">
        <f t="shared" ref="AE21" si="17">IF(OR(G21="",AC21=""),0,(YEAR(AC21)-YEAR(G21)))</f>
        <v>32</v>
      </c>
      <c r="AF21" s="86" t="str">
        <f t="shared" si="2"/>
        <v/>
      </c>
      <c r="AG21" s="87" t="b">
        <f>IF(AF21=1,LOOKUP(AE21,'Meltzer-Faber'!A3:A63,'Meltzer-Faber'!B3:B63))</f>
        <v>0</v>
      </c>
      <c r="AH21" s="87" t="b">
        <f>IF(AF21=1,LOOKUP(AE21,'Meltzer-Faber'!A3:A63,'Meltzer-Faber'!C3:C63))</f>
        <v>0</v>
      </c>
      <c r="AI21" s="87" t="b">
        <f t="shared" ref="AI21" si="18">IF(AD21="m",AG21,IF(AD21="k",AH21,""))</f>
        <v>0</v>
      </c>
      <c r="AJ21" s="119">
        <f>IF(D21="","",IF(D21&gt;193.609,1,IF(D21&lt;32,10^(0.722762521*LOG10(32/193.609)^2),10^(0.722762521*LOG10(D21/193.609)^2))))</f>
        <v>1.2025690269199436</v>
      </c>
    </row>
    <row r="22" spans="2:41" s="17" customFormat="1" ht="18" customHeight="1">
      <c r="B22" s="203"/>
      <c r="C22" s="212"/>
      <c r="D22" s="213"/>
      <c r="E22" s="213"/>
      <c r="F22" s="214"/>
      <c r="G22" s="215"/>
      <c r="H22" s="216"/>
      <c r="I22" s="211"/>
      <c r="J22" s="211"/>
      <c r="K22" s="289"/>
      <c r="L22" s="289"/>
      <c r="M22" s="289"/>
      <c r="N22" s="288"/>
      <c r="O22" s="288"/>
      <c r="P22" s="288"/>
      <c r="Q22" s="102"/>
      <c r="R22" s="140"/>
      <c r="S22" s="290">
        <f>IF(T21="","",T21*1.2)</f>
        <v>354.99837674676729</v>
      </c>
      <c r="T22" s="290"/>
      <c r="U22" s="177"/>
      <c r="V22" s="189">
        <f>IF(V21="","",V21*20)</f>
        <v>174.20000000000002</v>
      </c>
      <c r="W22" s="194">
        <f>IF(W21="","",(W21*10)*AJ21)</f>
        <v>151.52369739191289</v>
      </c>
      <c r="X22" s="195">
        <f>IF(X21="","",IF((80+(8-ROUNDUP(X21,1))*40)&lt;0,0,80+(8-ROUNDUP(X21,1))*40))</f>
        <v>148</v>
      </c>
      <c r="Y22" s="195">
        <f>IF(SUM(V22,W22,X22)&gt;0,SUM(V22,W22,X22),"")</f>
        <v>473.72369739191288</v>
      </c>
      <c r="Z22" s="196">
        <f>IF(AE21&gt;34,(IF(OR(S22="",V22="",W22="",X22=""),"",SUM(S22,V22,W22,X22))*AI21),IF(OR(S22="",V22="",W22="",X22=""),"", SUM(S22,V22,W22,X22)))</f>
        <v>828.72207413868023</v>
      </c>
      <c r="AA22" s="192"/>
      <c r="AB22" s="175"/>
      <c r="AC22" s="70"/>
    </row>
    <row r="23" spans="2:41" s="17" customFormat="1" ht="18" customHeight="1">
      <c r="B23" s="203"/>
      <c r="C23" s="204"/>
      <c r="D23" s="205"/>
      <c r="E23" s="206"/>
      <c r="F23" s="206"/>
      <c r="G23" s="217"/>
      <c r="H23" s="209"/>
      <c r="I23" s="211"/>
      <c r="J23" s="211"/>
      <c r="K23" s="216"/>
      <c r="L23" s="218"/>
      <c r="M23" s="218"/>
      <c r="N23" s="216"/>
      <c r="O23" s="218"/>
      <c r="P23" s="218"/>
      <c r="Q23" s="180" t="str">
        <f>IF(MAX(K23:M23)&gt;0,IF(MAX(K23:M23)&lt;0,0,TRUNC(MAX(K23:M23)/1)*1),"")</f>
        <v/>
      </c>
      <c r="R23" s="181" t="str">
        <f>IF(MAX(N23:P23)&gt;0,IF(MAX(N23:P23)&lt;0,0,TRUNC(MAX(N23:P23)/1)*1),"")</f>
        <v/>
      </c>
      <c r="S23" s="182" t="str">
        <f>IF(Q23="","",IF(R23="","",IF(SUM(Q23:R23)=0,"",SUM(Q23:R23))))</f>
        <v/>
      </c>
      <c r="T23" s="171" t="str">
        <f>IF(S23="","",IF(E23="","",IF((AD23="k"),IF(D23&gt;153.757,S23,IF(D23&lt;28,10^(0.787004341*LOG10(28/153.757)^2)*S23,10^(0.787004341*LOG10(D23/153.757)^2)*S23)),IF(D23&gt;193.609,S23,IF(D23&lt;32,10^(0.722762521*LOG10(32/1609.609)^2)*S23,10^(0.722762521*LOG10(D23/193.609)^2)*S23)))))</f>
        <v/>
      </c>
      <c r="U23" s="187" t="str">
        <f>IF(AF23=1,T23*AI23,"")</f>
        <v/>
      </c>
      <c r="V23" s="190" t="str">
        <f>IF('K5'!G21="","",'K5'!G21)</f>
        <v/>
      </c>
      <c r="W23" s="184" t="str">
        <f>IF('K5'!K21="","",'K5'!K21)</f>
        <v/>
      </c>
      <c r="X23" s="184" t="str">
        <f>IF('K5'!N21="","",'K5'!N21)</f>
        <v/>
      </c>
      <c r="Y23" s="185"/>
      <c r="Z23" s="183"/>
      <c r="AA23" s="193"/>
      <c r="AB23" s="176"/>
      <c r="AC23" s="70">
        <f>U5</f>
        <v>45829</v>
      </c>
      <c r="AD23" s="84" t="b">
        <f t="shared" ref="AD23" si="19">IF(ISNUMBER(FIND("M",E23)),"m",IF(ISNUMBER(FIND("K",E23)),"k"))</f>
        <v>0</v>
      </c>
      <c r="AE23" s="85">
        <f t="shared" ref="AE23" si="20">IF(OR(G23="",AC23=""),0,(YEAR(AC23)-YEAR(G23)))</f>
        <v>0</v>
      </c>
      <c r="AF23" s="86" t="str">
        <f t="shared" si="2"/>
        <v/>
      </c>
      <c r="AG23" s="87" t="b">
        <f>IF(AF23=1,LOOKUP(AE23,'Meltzer-Faber'!A3:A63,'Meltzer-Faber'!B3:B63))</f>
        <v>0</v>
      </c>
      <c r="AH23" s="87" t="b">
        <f>IF(AF23=1,LOOKUP(AE23,'Meltzer-Faber'!A3:A63,'Meltzer-Faber'!C3:C63))</f>
        <v>0</v>
      </c>
      <c r="AI23" s="87" t="str">
        <f t="shared" ref="AI23" si="21">IF(AD23="m",AG23,IF(AD23="k",AH23,""))</f>
        <v/>
      </c>
      <c r="AJ23" s="119" t="str">
        <f>IF(D23="","",IF(D23&gt;193.609,1,IF(D23&lt;32,10^(0.722762521*LOG10(32/193.609)^2),10^(0.722762521*LOG10(D23/193.609)^2))))</f>
        <v/>
      </c>
    </row>
    <row r="24" spans="2:41" s="17" customFormat="1" ht="18" customHeight="1">
      <c r="B24" s="203"/>
      <c r="C24" s="212"/>
      <c r="D24" s="213"/>
      <c r="E24" s="213"/>
      <c r="F24" s="214"/>
      <c r="G24" s="215"/>
      <c r="H24" s="216"/>
      <c r="I24" s="211"/>
      <c r="J24" s="211"/>
      <c r="K24" s="289"/>
      <c r="L24" s="289"/>
      <c r="M24" s="289"/>
      <c r="N24" s="288"/>
      <c r="O24" s="288"/>
      <c r="P24" s="288"/>
      <c r="Q24" s="102"/>
      <c r="R24" s="140"/>
      <c r="S24" s="290" t="str">
        <f>IF(T23="","",T23*1.2)</f>
        <v/>
      </c>
      <c r="T24" s="290"/>
      <c r="U24" s="177"/>
      <c r="V24" s="189" t="str">
        <f>IF(V23="","",V23*20)</f>
        <v/>
      </c>
      <c r="W24" s="194" t="str">
        <f>IF(W23="","",(W23*10)*AJ23)</f>
        <v/>
      </c>
      <c r="X24" s="195" t="str">
        <f>IF(X23="","",IF((80+(8-ROUNDUP(X23,1))*40)&lt;0,0,80+(8-ROUNDUP(X23,1))*40))</f>
        <v/>
      </c>
      <c r="Y24" s="195" t="str">
        <f>IF(SUM(V24,W24,X24)&gt;0,SUM(V24,W24,X24),"")</f>
        <v/>
      </c>
      <c r="Z24" s="196" t="str">
        <f>IF(AE23&gt;34,(IF(OR(S24="",V24="",W24="",X24=""),"",SUM(S24,V24,W24,X24))*AI23),IF(OR(S24="",V24="",W24="",X24=""),"", SUM(S24,V24,W24,X24)))</f>
        <v/>
      </c>
      <c r="AA24" s="192" t="s">
        <v>13</v>
      </c>
      <c r="AB24" s="175"/>
      <c r="AC24" s="70"/>
    </row>
    <row r="25" spans="2:41" s="17" customFormat="1" ht="18" customHeight="1">
      <c r="B25" s="203"/>
      <c r="C25" s="204"/>
      <c r="D25" s="205"/>
      <c r="E25" s="206"/>
      <c r="F25" s="206"/>
      <c r="G25" s="217"/>
      <c r="H25" s="209"/>
      <c r="I25" s="211"/>
      <c r="J25" s="211"/>
      <c r="K25" s="216"/>
      <c r="L25" s="218"/>
      <c r="M25" s="218"/>
      <c r="N25" s="216"/>
      <c r="O25" s="218"/>
      <c r="P25" s="218"/>
      <c r="Q25" s="180" t="str">
        <f>IF(MAX(K25:M25)&gt;0,IF(MAX(K25:M25)&lt;0,0,TRUNC(MAX(K25:M25)/1)*1),"")</f>
        <v/>
      </c>
      <c r="R25" s="181" t="str">
        <f>IF(MAX(N25:P25)&gt;0,IF(MAX(N25:P25)&lt;0,0,TRUNC(MAX(N25:P25)/1)*1),"")</f>
        <v/>
      </c>
      <c r="S25" s="182" t="str">
        <f>IF(Q25="","",IF(R25="","",IF(SUM(Q25:R25)=0,"",SUM(Q25:R25))))</f>
        <v/>
      </c>
      <c r="T25" s="171" t="str">
        <f>IF(S25="","",IF(E25="","",IF((AD25="k"),IF(D25&gt;153.757,S25,IF(D25&lt;28,10^(0.787004341*LOG10(28/153.757)^2)*S25,10^(0.787004341*LOG10(D25/153.757)^2)*S25)),IF(D25&gt;193.609,S25,IF(D25&lt;32,10^(0.722762521*LOG10(32/1609.609)^2)*S25,10^(0.722762521*LOG10(D25/193.609)^2)*S25)))))</f>
        <v/>
      </c>
      <c r="U25" s="187" t="str">
        <f>IF(AF25=1,T25*AI25,"")</f>
        <v/>
      </c>
      <c r="V25" s="190" t="str">
        <f>IF('K5'!G23="","",'K5'!G23)</f>
        <v/>
      </c>
      <c r="W25" s="184" t="str">
        <f>IF('K5'!K23="","",'K5'!K23)</f>
        <v/>
      </c>
      <c r="X25" s="184" t="str">
        <f>IF('K5'!N23="","",'K5'!N23)</f>
        <v/>
      </c>
      <c r="Y25" s="185"/>
      <c r="Z25" s="183"/>
      <c r="AA25" s="193"/>
      <c r="AB25" s="176"/>
      <c r="AC25" s="70">
        <f>U5</f>
        <v>45829</v>
      </c>
      <c r="AD25" s="84" t="b">
        <f t="shared" ref="AD25" si="22">IF(ISNUMBER(FIND("M",E25)),"m",IF(ISNUMBER(FIND("K",E25)),"k"))</f>
        <v>0</v>
      </c>
      <c r="AE25" s="85">
        <f t="shared" ref="AE25" si="23">IF(OR(G25="",AC25=""),0,(YEAR(AC25)-YEAR(G25)))</f>
        <v>0</v>
      </c>
      <c r="AF25" s="86" t="str">
        <f t="shared" si="2"/>
        <v/>
      </c>
      <c r="AG25" s="87" t="b">
        <f>IF(AF25=1,LOOKUP(AE25,'Meltzer-Faber'!A3:A63,'Meltzer-Faber'!B3:B63))</f>
        <v>0</v>
      </c>
      <c r="AH25" s="87" t="b">
        <f>IF(AF25=1,LOOKUP(AE25,'Meltzer-Faber'!A3:A63,'Meltzer-Faber'!C3:C63))</f>
        <v>0</v>
      </c>
      <c r="AI25" s="87" t="str">
        <f t="shared" ref="AI25" si="24">IF(AD25="m",AG25,IF(AD25="k",AH25,""))</f>
        <v/>
      </c>
      <c r="AJ25" s="119" t="str">
        <f>IF(D25="","",IF(D25&gt;193.609,1,IF(D25&lt;32,10^(0.722762521*LOG10(32/193.609)^2),10^(0.722762521*LOG10(D25/193.609)^2))))</f>
        <v/>
      </c>
    </row>
    <row r="26" spans="2:41" s="17" customFormat="1" ht="18" customHeight="1">
      <c r="B26" s="203"/>
      <c r="C26" s="212"/>
      <c r="D26" s="213"/>
      <c r="E26" s="213"/>
      <c r="F26" s="214"/>
      <c r="G26" s="215"/>
      <c r="H26" s="216"/>
      <c r="I26" s="211"/>
      <c r="J26" s="211"/>
      <c r="K26" s="289"/>
      <c r="L26" s="289"/>
      <c r="M26" s="289"/>
      <c r="N26" s="288"/>
      <c r="O26" s="288"/>
      <c r="P26" s="288"/>
      <c r="Q26" s="102"/>
      <c r="R26" s="140"/>
      <c r="S26" s="290" t="str">
        <f>IF(T25="","",T25*1.2)</f>
        <v/>
      </c>
      <c r="T26" s="290"/>
      <c r="U26" s="177"/>
      <c r="V26" s="189" t="str">
        <f>IF(V25="","",V25*20)</f>
        <v/>
      </c>
      <c r="W26" s="194" t="str">
        <f>IF(W25="","",(W25*10)*AJ25)</f>
        <v/>
      </c>
      <c r="X26" s="195" t="str">
        <f>IF(X25="","",IF((80+(8-ROUNDUP(X25,1))*40)&lt;0,0,80+(8-ROUNDUP(X25,1))*40))</f>
        <v/>
      </c>
      <c r="Y26" s="195" t="str">
        <f>IF(SUM(V26,W26,X26)&gt;0,SUM(V26,W26,X26),"")</f>
        <v/>
      </c>
      <c r="Z26" s="196" t="str">
        <f>IF(AE25&gt;34,(IF(OR(S26="",V26="",W26="",X26=""),"",SUM(S26,V26,W26,X26))*AI25),IF(OR(S26="",V26="",W26="",X26=""),"", SUM(S26,V26,W26,X26)))</f>
        <v/>
      </c>
      <c r="AA26" s="192"/>
      <c r="AB26" s="175"/>
      <c r="AC26" s="70"/>
    </row>
    <row r="27" spans="2:41" s="17" customFormat="1" ht="18" customHeight="1">
      <c r="B27" s="159"/>
      <c r="C27" s="164"/>
      <c r="D27" s="165"/>
      <c r="E27" s="166"/>
      <c r="F27" s="167"/>
      <c r="G27" s="166"/>
      <c r="H27" s="166"/>
      <c r="I27" s="163"/>
      <c r="J27" s="163"/>
      <c r="K27" s="178"/>
      <c r="L27" s="179"/>
      <c r="M27" s="179"/>
      <c r="N27" s="179"/>
      <c r="O27" s="179"/>
      <c r="P27" s="179"/>
      <c r="Q27" s="180" t="str">
        <f>IF(MAX(K27:M27)&gt;0,IF(MAX(K27:M27)&lt;0,0,TRUNC(MAX(K27:M27)/1)*1),"")</f>
        <v/>
      </c>
      <c r="R27" s="181" t="str">
        <f>IF(MAX(N27:P27)&gt;0,IF(MAX(N27:P27)&lt;0,0,TRUNC(MAX(N27:P27)/1)*1),"")</f>
        <v/>
      </c>
      <c r="S27" s="182" t="str">
        <f>IF(Q27="","",IF(R27="","",IF(SUM(Q27:R27)=0,"",SUM(Q27:R27))))</f>
        <v/>
      </c>
      <c r="T27" s="183" t="str">
        <f>IF(S27="","",IF(E27="","",IF((AD27="k"),IF(D27&gt;153.655,S27,IF(D27&lt;28,10^(0.783497476*LOG10(28/153.655)^2)*S27,10^(0.783497476*LOG10(D27/153.655)^2)*S27)),IF(D27&gt;175.508,S27,IF(D27&lt;32,10^(0.75194503*LOG10(32/175.508)^2)*S27,10^(0.75194503*LOG10(D27/175.508)^2)*S27)))))</f>
        <v/>
      </c>
      <c r="U27" s="187" t="str">
        <f>IF(AF27=1,T27*AI27,"")</f>
        <v/>
      </c>
      <c r="V27" s="190" t="str">
        <f>IF('K5'!G25="","",'K5'!G25)</f>
        <v/>
      </c>
      <c r="W27" s="184" t="str">
        <f>IF('K5'!K25="","",'K5'!K25)</f>
        <v/>
      </c>
      <c r="X27" s="184" t="str">
        <f>IF('K5'!N25="","",'K5'!N25)</f>
        <v/>
      </c>
      <c r="Y27" s="185"/>
      <c r="Z27" s="183"/>
      <c r="AA27" s="193"/>
      <c r="AB27" s="176"/>
      <c r="AC27" s="70">
        <f>U5</f>
        <v>45829</v>
      </c>
      <c r="AD27" s="84" t="b">
        <f t="shared" ref="AD27" si="25">IF(ISNUMBER(FIND("M",E27)),"m",IF(ISNUMBER(FIND("K",E27)),"k"))</f>
        <v>0</v>
      </c>
      <c r="AE27" s="85">
        <f t="shared" ref="AE27" si="26">IF(OR(G27="",AC27=""),0,(YEAR(AC27)-YEAR(G27)))</f>
        <v>0</v>
      </c>
      <c r="AF27" s="86" t="str">
        <f t="shared" si="2"/>
        <v/>
      </c>
      <c r="AG27" s="87" t="b">
        <f>IF(AF27=1,LOOKUP(AE27,'Meltzer-Faber'!A3:A63,'Meltzer-Faber'!B3:B63))</f>
        <v>0</v>
      </c>
      <c r="AH27" s="87" t="b">
        <f>IF(AF27=1,LOOKUP(AE27,'Meltzer-Faber'!A3:A63,'Meltzer-Faber'!C3:C63))</f>
        <v>0</v>
      </c>
      <c r="AI27" s="87" t="str">
        <f t="shared" ref="AI27" si="27">IF(AD27="m",AG27,IF(AD27="k",AH27,""))</f>
        <v/>
      </c>
      <c r="AJ27" s="119" t="str">
        <f>IF(D27="","",IF(D27&gt;193.609,1,IF(D27&lt;32,10^(0.722762521*LOG10(32/193.609)^2),10^(0.722762521*LOG10(D27/193.609)^2))))</f>
        <v/>
      </c>
    </row>
    <row r="28" spans="2:41" s="17" customFormat="1" ht="18" customHeight="1">
      <c r="B28" s="159"/>
      <c r="C28" s="160"/>
      <c r="D28" s="160"/>
      <c r="E28" s="160"/>
      <c r="F28" s="161"/>
      <c r="G28" s="162"/>
      <c r="H28" s="162"/>
      <c r="I28" s="163"/>
      <c r="J28" s="163"/>
      <c r="K28" s="303"/>
      <c r="L28" s="303"/>
      <c r="M28" s="304"/>
      <c r="N28" s="305"/>
      <c r="O28" s="303"/>
      <c r="P28" s="304"/>
      <c r="Q28" s="102"/>
      <c r="R28" s="140"/>
      <c r="S28" s="290" t="str">
        <f>IF(T27="","",T27*1.2)</f>
        <v/>
      </c>
      <c r="T28" s="290"/>
      <c r="U28" s="177"/>
      <c r="V28" s="189" t="str">
        <f>IF(V27="","",V27*20)</f>
        <v/>
      </c>
      <c r="W28" s="194" t="str">
        <f>IF(W27="","",(W27*10)*AJ27)</f>
        <v/>
      </c>
      <c r="X28" s="195" t="str">
        <f>IF(X27="","",IF((80+(8-ROUNDUP(X27,1))*40)&lt;0,0,80+(8-ROUNDUP(X27,1))*40))</f>
        <v/>
      </c>
      <c r="Y28" s="195" t="str">
        <f>IF(SUM(V28,W28,X28)&gt;0,SUM(V28,W28,X28),"")</f>
        <v/>
      </c>
      <c r="Z28" s="196" t="str">
        <f>IF(AE27&gt;34,(IF(OR(S28="",V28="",W28="",X28=""),"",SUM(S28,V28,W28,X28))*AI27),IF(OR(S28="",V28="",W28="",X28=""),"", SUM(S28,V28,W28,X28)))</f>
        <v/>
      </c>
      <c r="AA28" s="192"/>
      <c r="AB28" s="175"/>
      <c r="AC28" s="70"/>
    </row>
    <row r="29" spans="2:41" s="17" customFormat="1" ht="18" customHeight="1">
      <c r="B29" s="159"/>
      <c r="C29" s="164"/>
      <c r="D29" s="165"/>
      <c r="E29" s="166"/>
      <c r="F29" s="167"/>
      <c r="G29" s="166"/>
      <c r="H29" s="166"/>
      <c r="I29" s="163"/>
      <c r="J29" s="163"/>
      <c r="K29" s="178"/>
      <c r="L29" s="179"/>
      <c r="M29" s="179"/>
      <c r="N29" s="179"/>
      <c r="O29" s="179"/>
      <c r="P29" s="179"/>
      <c r="Q29" s="180" t="str">
        <f>IF(MAX(K29:M29)&gt;0,IF(MAX(K29:M29)&lt;0,0,TRUNC(MAX(K29:M29)/1)*1),"")</f>
        <v/>
      </c>
      <c r="R29" s="181" t="str">
        <f>IF(MAX(N29:P29)&gt;0,IF(MAX(N29:P29)&lt;0,0,TRUNC(MAX(N29:P29)/1)*1),"")</f>
        <v/>
      </c>
      <c r="S29" s="182" t="str">
        <f>IF(Q29="","",IF(R29="","",IF(SUM(Q29:R29)=0,"",SUM(Q29:R29))))</f>
        <v/>
      </c>
      <c r="T29" s="183" t="str">
        <f>IF(S29="","",IF(E29="","",IF((AD29="k"),IF(D29&gt;153.655,S29,IF(D29&lt;28,10^(0.783497476*LOG10(28/153.655)^2)*S29,10^(0.783497476*LOG10(D29/153.655)^2)*S29)),IF(D29&gt;175.508,S29,IF(D29&lt;32,10^(0.75194503*LOG10(32/175.508)^2)*S29,10^(0.75194503*LOG10(D29/175.508)^2)*S29)))))</f>
        <v/>
      </c>
      <c r="U29" s="187" t="str">
        <f>IF(AF29=1,T29*AI29,"")</f>
        <v/>
      </c>
      <c r="V29" s="190" t="str">
        <f>IF('K5'!G27="","",'K5'!G27)</f>
        <v/>
      </c>
      <c r="W29" s="184" t="str">
        <f>IF('K5'!K27="","",'K5'!K27)</f>
        <v/>
      </c>
      <c r="X29" s="184" t="str">
        <f>IF('K5'!N27="","",'K5'!N27)</f>
        <v/>
      </c>
      <c r="Y29" s="185"/>
      <c r="Z29" s="183"/>
      <c r="AA29" s="193"/>
      <c r="AB29" s="176"/>
      <c r="AC29" s="70">
        <f>U5</f>
        <v>45829</v>
      </c>
      <c r="AD29" s="84" t="b">
        <f t="shared" ref="AD29" si="28">IF(ISNUMBER(FIND("M",E29)),"m",IF(ISNUMBER(FIND("K",E29)),"k"))</f>
        <v>0</v>
      </c>
      <c r="AE29" s="85">
        <f t="shared" ref="AE29" si="29">IF(OR(G29="",AC29=""),0,(YEAR(AC29)-YEAR(G29)))</f>
        <v>0</v>
      </c>
      <c r="AF29" s="86" t="str">
        <f t="shared" si="2"/>
        <v/>
      </c>
      <c r="AG29" s="87" t="b">
        <f>IF(AF29=1,LOOKUP(AE29,'Meltzer-Faber'!A3:A63,'Meltzer-Faber'!B3:B63))</f>
        <v>0</v>
      </c>
      <c r="AH29" s="87" t="b">
        <f>IF(AF29=1,LOOKUP(AE29,'Meltzer-Faber'!A3:A63,'Meltzer-Faber'!C3:C63))</f>
        <v>0</v>
      </c>
      <c r="AI29" s="87" t="str">
        <f t="shared" ref="AI29" si="30">IF(AD29="m",AG29,IF(AD29="k",AH29,""))</f>
        <v/>
      </c>
      <c r="AJ29" s="119" t="str">
        <f>IF(D29="","",IF(D29&gt;193.609,1,IF(D29&lt;32,10^(0.722762521*LOG10(32/193.609)^2),10^(0.722762521*LOG10(D29/193.609)^2))))</f>
        <v/>
      </c>
    </row>
    <row r="30" spans="2:41" s="17" customFormat="1" ht="18" customHeight="1">
      <c r="B30" s="159"/>
      <c r="C30" s="160"/>
      <c r="D30" s="160"/>
      <c r="E30" s="160"/>
      <c r="F30" s="161"/>
      <c r="G30" s="162"/>
      <c r="H30" s="162"/>
      <c r="I30" s="163"/>
      <c r="J30" s="163"/>
      <c r="K30" s="303"/>
      <c r="L30" s="303"/>
      <c r="M30" s="304"/>
      <c r="N30" s="305"/>
      <c r="O30" s="303"/>
      <c r="P30" s="304"/>
      <c r="Q30" s="102"/>
      <c r="R30" s="140"/>
      <c r="S30" s="290" t="str">
        <f>IF(T29="","",T29*1.2)</f>
        <v/>
      </c>
      <c r="T30" s="290"/>
      <c r="U30" s="177"/>
      <c r="V30" s="189" t="str">
        <f>IF(V29="","",V29*20)</f>
        <v/>
      </c>
      <c r="W30" s="194" t="str">
        <f>IF(W29="","",(W29*10)*AJ29)</f>
        <v/>
      </c>
      <c r="X30" s="195" t="str">
        <f>IF(X29="","",IF((80+(8-ROUNDUP(X29,1))*40)&lt;0,0,80+(8-ROUNDUP(X29,1))*40))</f>
        <v/>
      </c>
      <c r="Y30" s="195" t="str">
        <f>IF(SUM(V30,W30,X30)&gt;0,SUM(V30,W30,X30),"")</f>
        <v/>
      </c>
      <c r="Z30" s="196" t="str">
        <f>IF(AE29&gt;34,(IF(OR(S30="",V30="",W30="",X30=""),"",SUM(S30,V30,W30,X30))*AI29),IF(OR(S30="",V30="",W30="",X30=""),"", SUM(S30,V30,W30,X30)))</f>
        <v/>
      </c>
      <c r="AA30" s="192"/>
      <c r="AB30" s="175"/>
      <c r="AC30" s="70"/>
    </row>
    <row r="31" spans="2:41" s="17" customFormat="1" ht="18" customHeight="1">
      <c r="B31" s="159"/>
      <c r="C31" s="164"/>
      <c r="D31" s="165"/>
      <c r="E31" s="166"/>
      <c r="F31" s="167"/>
      <c r="G31" s="166"/>
      <c r="H31" s="166"/>
      <c r="I31" s="163"/>
      <c r="J31" s="163"/>
      <c r="K31" s="178"/>
      <c r="L31" s="179"/>
      <c r="M31" s="179"/>
      <c r="N31" s="179"/>
      <c r="O31" s="179"/>
      <c r="P31" s="179"/>
      <c r="Q31" s="180" t="str">
        <f>IF(MAX(K31:M31)&gt;0,IF(MAX(K31:M31)&lt;0,0,TRUNC(MAX(K31:M31)/1)*1),"")</f>
        <v/>
      </c>
      <c r="R31" s="181" t="str">
        <f>IF(MAX(N31:P31)&gt;0,IF(MAX(N31:P31)&lt;0,0,TRUNC(MAX(N31:P31)/1)*1),"")</f>
        <v/>
      </c>
      <c r="S31" s="182" t="str">
        <f>IF(Q31="","",IF(R31="","",IF(SUM(Q31:R31)=0,"",SUM(Q31:R31))))</f>
        <v/>
      </c>
      <c r="T31" s="183" t="str">
        <f>IF(S31="","",IF(E31="","",IF((AD31="k"),IF(D31&gt;153.655,S31,IF(D31&lt;28,10^(0.783497476*LOG10(28/153.655)^2)*S31,10^(0.783497476*LOG10(D31/153.655)^2)*S31)),IF(D31&gt;175.508,S31,IF(D31&lt;32,10^(0.75194503*LOG10(32/175.508)^2)*S31,10^(0.75194503*LOG10(D31/175.508)^2)*S31)))))</f>
        <v/>
      </c>
      <c r="U31" s="187" t="str">
        <f>IF(AF31=1,T31*AI31,"")</f>
        <v/>
      </c>
      <c r="V31" s="190" t="str">
        <f>IF('K5'!G29="","",'K5'!G29)</f>
        <v/>
      </c>
      <c r="W31" s="184" t="str">
        <f>IF('K5'!K29="","",'K5'!K29)</f>
        <v/>
      </c>
      <c r="X31" s="184" t="str">
        <f>IF('K5'!N29="","",'K5'!N29)</f>
        <v/>
      </c>
      <c r="Y31" s="185" t="s">
        <v>13</v>
      </c>
      <c r="Z31" s="183"/>
      <c r="AA31" s="193"/>
      <c r="AB31" s="176"/>
      <c r="AC31" s="70">
        <f>U5</f>
        <v>45829</v>
      </c>
      <c r="AD31" s="84" t="b">
        <f t="shared" ref="AD31" si="31">IF(ISNUMBER(FIND("M",E31)),"m",IF(ISNUMBER(FIND("K",E31)),"k"))</f>
        <v>0</v>
      </c>
      <c r="AE31" s="85">
        <f t="shared" ref="AE31" si="32">IF(OR(G31="",AC31=""),0,(YEAR(AC31)-YEAR(G31)))</f>
        <v>0</v>
      </c>
      <c r="AF31" s="86" t="str">
        <f t="shared" si="2"/>
        <v/>
      </c>
      <c r="AG31" s="87" t="b">
        <f>IF(AF31=1,LOOKUP(AE31,'Meltzer-Faber'!A3:A63,'Meltzer-Faber'!B3:B63))</f>
        <v>0</v>
      </c>
      <c r="AH31" s="87" t="b">
        <f>IF(AF31=1,LOOKUP(AE31,'Meltzer-Faber'!A3:A63,'Meltzer-Faber'!C3:C63))</f>
        <v>0</v>
      </c>
      <c r="AI31" s="87" t="str">
        <f t="shared" ref="AI31" si="33">IF(AD31="m",AG31,IF(AD31="k",AH31,""))</f>
        <v/>
      </c>
      <c r="AJ31" s="119" t="str">
        <f>IF(D31="","",IF(D31&gt;193.609,1,IF(D31&lt;32,10^(0.722762521*LOG10(32/193.609)^2),10^(0.722762521*LOG10(D31/193.609)^2))))</f>
        <v/>
      </c>
    </row>
    <row r="32" spans="2:41" s="17" customFormat="1" ht="18" customHeight="1">
      <c r="B32" s="159"/>
      <c r="C32" s="160"/>
      <c r="D32" s="160"/>
      <c r="E32" s="160"/>
      <c r="F32" s="161"/>
      <c r="G32" s="162"/>
      <c r="H32" s="162"/>
      <c r="I32" s="163"/>
      <c r="J32" s="163"/>
      <c r="K32" s="299"/>
      <c r="L32" s="300"/>
      <c r="M32" s="301"/>
      <c r="N32" s="302"/>
      <c r="O32" s="300"/>
      <c r="P32" s="301"/>
      <c r="Q32" s="199"/>
      <c r="R32" s="198"/>
      <c r="S32" s="287" t="str">
        <f>IF(T31="","",T31*1.2)</f>
        <v/>
      </c>
      <c r="T32" s="287"/>
      <c r="U32" s="200"/>
      <c r="V32" s="197" t="str">
        <f>IF(V31="","",V31*20)</f>
        <v/>
      </c>
      <c r="W32" s="160" t="str">
        <f>IF(W31="","",(W31*10)*AJ31)</f>
        <v/>
      </c>
      <c r="X32" s="201" t="str">
        <f>IF(X31="","",IF((80+(8-ROUNDUP(X31,1))*40)&lt;0,0,80+(8-ROUNDUP(X31,1))*40))</f>
        <v/>
      </c>
      <c r="Y32" s="201" t="str">
        <f>IF(SUM(V32,W32,X32)&gt;0,SUM(V32,W32,X32),"")</f>
        <v/>
      </c>
      <c r="Z32" s="183" t="str">
        <f>IF(AE31&gt;34,(IF(OR(S32="",V32="",W32="",X32=""),"",SUM(S32,V32,W32,X32))*AI31),IF(OR(S32="",V32="",W32="",X32=""),"", SUM(S32,V32,W32,X32)))</f>
        <v/>
      </c>
      <c r="AA32" s="202"/>
      <c r="AB32" s="175"/>
      <c r="AC32" s="70"/>
    </row>
    <row r="33" spans="2:35" s="17" customFormat="1" ht="19" customHeight="1">
      <c r="C33" s="71"/>
      <c r="D33" s="71"/>
      <c r="E33" s="71"/>
      <c r="F33" s="72"/>
      <c r="G33" s="73"/>
      <c r="H33" s="73"/>
      <c r="I33" s="74"/>
      <c r="J33" s="74"/>
      <c r="K33" s="75"/>
      <c r="L33" s="75"/>
      <c r="M33" s="75"/>
      <c r="N33" s="75"/>
      <c r="O33" s="75"/>
      <c r="P33" s="75"/>
      <c r="Q33" s="71"/>
      <c r="R33" s="71"/>
      <c r="S33" s="71"/>
      <c r="T33" s="71"/>
      <c r="U33" s="71"/>
      <c r="V33" s="75"/>
      <c r="W33" s="75"/>
      <c r="X33" s="76"/>
      <c r="Y33" s="76"/>
      <c r="Z33" s="77"/>
      <c r="AA33" s="78"/>
      <c r="AB33" s="79"/>
    </row>
    <row r="34" spans="2:35" s="17" customFormat="1" ht="21" customHeight="1">
      <c r="C34" s="71"/>
      <c r="D34" s="71"/>
      <c r="E34" s="71"/>
      <c r="F34" s="72"/>
      <c r="G34" s="73"/>
      <c r="H34" s="73"/>
      <c r="I34" s="74"/>
      <c r="J34" s="74"/>
      <c r="K34" s="75"/>
      <c r="L34" s="75"/>
      <c r="M34" s="75"/>
      <c r="N34" s="75"/>
      <c r="O34" s="75"/>
      <c r="P34" s="75"/>
      <c r="Q34" s="71"/>
      <c r="R34" s="71"/>
      <c r="S34" s="71"/>
      <c r="T34" s="71"/>
      <c r="U34" s="71"/>
      <c r="V34" s="75"/>
      <c r="W34" s="75"/>
      <c r="X34" s="76"/>
      <c r="Y34" s="76"/>
      <c r="Z34" s="77"/>
      <c r="AA34" s="78"/>
      <c r="AB34" s="79"/>
    </row>
    <row r="35" spans="2:35" ht="23" customHeight="1">
      <c r="B35" s="282" t="s">
        <v>70</v>
      </c>
      <c r="C35" s="283"/>
      <c r="D35" s="141" t="s">
        <v>69</v>
      </c>
      <c r="E35" s="282" t="s">
        <v>6</v>
      </c>
      <c r="F35" s="284"/>
      <c r="G35" s="284"/>
      <c r="H35" s="283"/>
      <c r="I35" s="142" t="s">
        <v>28</v>
      </c>
      <c r="J35" s="80"/>
      <c r="K35" s="282" t="s">
        <v>70</v>
      </c>
      <c r="L35" s="284"/>
      <c r="M35" s="283"/>
      <c r="N35" s="143" t="s">
        <v>69</v>
      </c>
      <c r="O35" s="270" t="s">
        <v>6</v>
      </c>
      <c r="P35" s="285"/>
      <c r="Q35" s="285"/>
      <c r="R35" s="271"/>
      <c r="S35" s="270" t="s">
        <v>28</v>
      </c>
      <c r="T35" s="271"/>
      <c r="AC35" s="4"/>
      <c r="AD35" s="4"/>
      <c r="AE35" s="4"/>
      <c r="AF35" s="1"/>
      <c r="AH35" s="121"/>
      <c r="AI35" s="121"/>
    </row>
    <row r="36" spans="2:35" s="6" customFormat="1" ht="20" customHeight="1">
      <c r="B36" s="272" t="s">
        <v>71</v>
      </c>
      <c r="C36" s="273"/>
      <c r="D36" s="144"/>
      <c r="E36" s="274"/>
      <c r="F36" s="275"/>
      <c r="G36" s="275"/>
      <c r="H36" s="273"/>
      <c r="I36" s="145"/>
      <c r="J36" s="5"/>
      <c r="K36" s="272" t="s">
        <v>72</v>
      </c>
      <c r="L36" s="275"/>
      <c r="M36" s="273"/>
      <c r="N36" s="149">
        <v>2001014</v>
      </c>
      <c r="O36" s="266" t="s">
        <v>176</v>
      </c>
      <c r="P36" s="267"/>
      <c r="Q36" s="267"/>
      <c r="R36" s="268"/>
      <c r="S36" s="266" t="s">
        <v>94</v>
      </c>
      <c r="T36" s="269"/>
      <c r="AF36" s="1"/>
      <c r="AH36" s="146"/>
      <c r="AI36" s="146"/>
    </row>
    <row r="37" spans="2:35" s="6" customFormat="1" ht="21" customHeight="1">
      <c r="B37" s="262" t="s">
        <v>73</v>
      </c>
      <c r="C37" s="263"/>
      <c r="D37" s="147">
        <v>1992011</v>
      </c>
      <c r="E37" s="264" t="s">
        <v>96</v>
      </c>
      <c r="F37" s="265"/>
      <c r="G37" s="265"/>
      <c r="H37" s="263"/>
      <c r="I37" s="148" t="s">
        <v>94</v>
      </c>
      <c r="J37" s="5"/>
      <c r="K37" s="262" t="s">
        <v>74</v>
      </c>
      <c r="L37" s="265"/>
      <c r="M37" s="263"/>
      <c r="N37" s="149"/>
      <c r="O37" s="266"/>
      <c r="P37" s="267"/>
      <c r="Q37" s="267"/>
      <c r="R37" s="268"/>
      <c r="S37" s="266"/>
      <c r="T37" s="269"/>
      <c r="AH37" s="146"/>
      <c r="AI37" s="146"/>
    </row>
    <row r="38" spans="2:35" s="6" customFormat="1" ht="19" customHeight="1">
      <c r="B38" s="262" t="s">
        <v>73</v>
      </c>
      <c r="C38" s="263"/>
      <c r="D38" s="147">
        <v>1992004</v>
      </c>
      <c r="E38" s="264" t="s">
        <v>180</v>
      </c>
      <c r="F38" s="265"/>
      <c r="G38" s="265"/>
      <c r="H38" s="263"/>
      <c r="I38" s="148" t="s">
        <v>112</v>
      </c>
      <c r="J38" s="5"/>
      <c r="K38" s="262" t="s">
        <v>75</v>
      </c>
      <c r="L38" s="265"/>
      <c r="M38" s="263"/>
      <c r="N38" s="149"/>
      <c r="O38" s="266"/>
      <c r="P38" s="267"/>
      <c r="Q38" s="267"/>
      <c r="R38" s="268"/>
      <c r="S38" s="266"/>
      <c r="T38" s="269"/>
      <c r="V38" s="6" t="s">
        <v>76</v>
      </c>
      <c r="AH38" s="146"/>
      <c r="AI38" s="146"/>
    </row>
    <row r="39" spans="2:35" s="6" customFormat="1" ht="21" customHeight="1">
      <c r="B39" s="262" t="s">
        <v>73</v>
      </c>
      <c r="C39" s="263"/>
      <c r="D39" s="147">
        <v>1995018</v>
      </c>
      <c r="E39" s="264" t="s">
        <v>181</v>
      </c>
      <c r="F39" s="265"/>
      <c r="G39" s="265"/>
      <c r="H39" s="263"/>
      <c r="I39" s="148" t="s">
        <v>94</v>
      </c>
      <c r="J39" s="5"/>
      <c r="K39" s="262" t="s">
        <v>77</v>
      </c>
      <c r="L39" s="265"/>
      <c r="M39" s="263"/>
      <c r="N39" s="149"/>
      <c r="O39" s="266"/>
      <c r="P39" s="267"/>
      <c r="Q39" s="267"/>
      <c r="R39" s="268"/>
      <c r="S39" s="266"/>
      <c r="T39" s="269"/>
      <c r="AD39" s="6" t="s">
        <v>13</v>
      </c>
      <c r="AH39" s="146"/>
      <c r="AI39" s="146"/>
    </row>
    <row r="40" spans="2:35" s="6" customFormat="1" ht="20" customHeight="1">
      <c r="B40" s="262" t="s">
        <v>73</v>
      </c>
      <c r="C40" s="263"/>
      <c r="D40" s="147"/>
      <c r="E40" s="264"/>
      <c r="F40" s="265"/>
      <c r="G40" s="265"/>
      <c r="H40" s="263"/>
      <c r="I40" s="148"/>
      <c r="J40" s="5"/>
      <c r="K40" s="262" t="s">
        <v>77</v>
      </c>
      <c r="L40" s="265"/>
      <c r="M40" s="263"/>
      <c r="N40" s="149"/>
      <c r="O40" s="266"/>
      <c r="P40" s="267"/>
      <c r="Q40" s="267"/>
      <c r="R40" s="268"/>
      <c r="S40" s="266"/>
      <c r="T40" s="269"/>
      <c r="AH40" s="146"/>
      <c r="AI40" s="146"/>
    </row>
    <row r="41" spans="2:35" s="4" customFormat="1" ht="19" customHeight="1">
      <c r="B41" s="262" t="s">
        <v>73</v>
      </c>
      <c r="C41" s="263"/>
      <c r="D41" s="147"/>
      <c r="E41" s="264"/>
      <c r="F41" s="265"/>
      <c r="G41" s="265"/>
      <c r="H41" s="263"/>
      <c r="I41" s="148"/>
      <c r="K41" s="262" t="s">
        <v>77</v>
      </c>
      <c r="L41" s="265"/>
      <c r="M41" s="263"/>
      <c r="N41" s="149"/>
      <c r="O41" s="266"/>
      <c r="P41" s="267"/>
      <c r="Q41" s="267"/>
      <c r="R41" s="268"/>
      <c r="S41" s="266"/>
      <c r="T41" s="269"/>
      <c r="AH41" s="3"/>
      <c r="AI41" s="3"/>
    </row>
    <row r="42" spans="2:35" s="4" customFormat="1" ht="20" customHeight="1">
      <c r="B42" s="262" t="s">
        <v>78</v>
      </c>
      <c r="C42" s="263"/>
      <c r="D42" s="147">
        <v>2001014</v>
      </c>
      <c r="E42" s="264" t="s">
        <v>176</v>
      </c>
      <c r="F42" s="265"/>
      <c r="G42" s="265"/>
      <c r="H42" s="263"/>
      <c r="I42" s="148" t="s">
        <v>94</v>
      </c>
      <c r="K42" s="262" t="s">
        <v>79</v>
      </c>
      <c r="L42" s="265"/>
      <c r="M42" s="263"/>
      <c r="N42" s="149">
        <v>1996021</v>
      </c>
      <c r="O42" s="266" t="s">
        <v>95</v>
      </c>
      <c r="P42" s="267"/>
      <c r="Q42" s="267"/>
      <c r="R42" s="268"/>
      <c r="S42" s="266" t="s">
        <v>94</v>
      </c>
      <c r="T42" s="269"/>
      <c r="AH42" s="3"/>
      <c r="AI42" s="3"/>
    </row>
    <row r="43" spans="2:35" s="4" customFormat="1" ht="20" customHeight="1">
      <c r="B43" s="248"/>
      <c r="C43" s="256"/>
      <c r="D43" s="150"/>
      <c r="E43" s="257"/>
      <c r="F43" s="249"/>
      <c r="G43" s="249"/>
      <c r="H43" s="256"/>
      <c r="I43" s="151"/>
      <c r="K43" s="248"/>
      <c r="L43" s="249"/>
      <c r="M43" s="256"/>
      <c r="N43" s="152"/>
      <c r="O43" s="258"/>
      <c r="P43" s="259"/>
      <c r="Q43" s="259"/>
      <c r="R43" s="260"/>
      <c r="S43" s="258"/>
      <c r="T43" s="261"/>
      <c r="AH43" s="3"/>
      <c r="AI43" s="3"/>
    </row>
    <row r="44" spans="2:35" s="4" customFormat="1" ht="19" customHeight="1">
      <c r="B44" s="255"/>
      <c r="C44" s="255"/>
      <c r="D44" s="244"/>
      <c r="E44" s="244"/>
      <c r="F44" s="153"/>
      <c r="G44" s="244"/>
      <c r="H44" s="244"/>
      <c r="I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AH44" s="3"/>
      <c r="AI44" s="3"/>
    </row>
    <row r="45" spans="2:35" s="4" customFormat="1" ht="18" customHeight="1">
      <c r="B45" s="245" t="s">
        <v>80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7"/>
      <c r="AH45" s="3"/>
      <c r="AI45" s="3"/>
    </row>
    <row r="46" spans="2:35" s="4" customFormat="1" ht="18" customHeight="1">
      <c r="B46" s="248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50"/>
      <c r="AH46" s="3"/>
      <c r="AI46" s="3"/>
    </row>
    <row r="47" spans="2:35" s="4" customFormat="1">
      <c r="C47" s="1"/>
      <c r="D47" s="1"/>
      <c r="E47" s="2"/>
      <c r="F47" s="3"/>
      <c r="G47" s="3"/>
      <c r="H47" s="3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</row>
    <row r="48" spans="2:35">
      <c r="M48" s="81"/>
    </row>
    <row r="49" spans="13:13">
      <c r="M49" s="1"/>
    </row>
    <row r="50" spans="13:13">
      <c r="M50" s="1"/>
    </row>
    <row r="51" spans="13:13">
      <c r="M51" s="1"/>
    </row>
  </sheetData>
  <mergeCells count="102">
    <mergeCell ref="K7:M7"/>
    <mergeCell ref="N7:P7"/>
    <mergeCell ref="Q7:T7"/>
    <mergeCell ref="U5:V5"/>
    <mergeCell ref="K10:M10"/>
    <mergeCell ref="N10:P10"/>
    <mergeCell ref="S10:T10"/>
    <mergeCell ref="K8:M8"/>
    <mergeCell ref="N8:P8"/>
    <mergeCell ref="S12:T12"/>
    <mergeCell ref="K14:M14"/>
    <mergeCell ref="N14:P14"/>
    <mergeCell ref="S14:T14"/>
    <mergeCell ref="K16:M16"/>
    <mergeCell ref="N16:P16"/>
    <mergeCell ref="S16:T16"/>
    <mergeCell ref="K12:M12"/>
    <mergeCell ref="N12:P1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B7:B8"/>
    <mergeCell ref="G2:R2"/>
    <mergeCell ref="G3:R3"/>
    <mergeCell ref="D5:I5"/>
    <mergeCell ref="K5:N5"/>
    <mergeCell ref="P5:S5"/>
    <mergeCell ref="K47:AB47"/>
    <mergeCell ref="P44:T44"/>
    <mergeCell ref="B45:T45"/>
    <mergeCell ref="B46:T46"/>
    <mergeCell ref="K26:M26"/>
    <mergeCell ref="N26:P26"/>
    <mergeCell ref="S26:T26"/>
    <mergeCell ref="K28:M28"/>
    <mergeCell ref="N28:P28"/>
    <mergeCell ref="S28:T28"/>
    <mergeCell ref="K30:M30"/>
    <mergeCell ref="N30:P30"/>
    <mergeCell ref="S30:T30"/>
    <mergeCell ref="K32:M32"/>
    <mergeCell ref="N32:P32"/>
    <mergeCell ref="S32:T32"/>
    <mergeCell ref="K22:M22"/>
    <mergeCell ref="N22:P22"/>
    <mergeCell ref="B36:C36"/>
    <mergeCell ref="E36:H36"/>
    <mergeCell ref="K36:M36"/>
    <mergeCell ref="O36:R36"/>
    <mergeCell ref="S36:T36"/>
    <mergeCell ref="B35:C35"/>
    <mergeCell ref="E35:H35"/>
    <mergeCell ref="K35:M35"/>
    <mergeCell ref="O35:R35"/>
    <mergeCell ref="S35:T35"/>
    <mergeCell ref="B38:C38"/>
    <mergeCell ref="E38:H38"/>
    <mergeCell ref="K38:M38"/>
    <mergeCell ref="O38:R38"/>
    <mergeCell ref="S38:T38"/>
    <mergeCell ref="B37:C37"/>
    <mergeCell ref="E37:H37"/>
    <mergeCell ref="K37:M37"/>
    <mergeCell ref="O37:R37"/>
    <mergeCell ref="S37:T37"/>
    <mergeCell ref="B40:C40"/>
    <mergeCell ref="E40:H40"/>
    <mergeCell ref="K40:M40"/>
    <mergeCell ref="O40:R40"/>
    <mergeCell ref="S40:T40"/>
    <mergeCell ref="B39:C39"/>
    <mergeCell ref="E39:H39"/>
    <mergeCell ref="K39:M39"/>
    <mergeCell ref="O39:R39"/>
    <mergeCell ref="S39:T39"/>
    <mergeCell ref="S43:T43"/>
    <mergeCell ref="B42:C42"/>
    <mergeCell ref="E42:H42"/>
    <mergeCell ref="K42:M42"/>
    <mergeCell ref="O42:R42"/>
    <mergeCell ref="S42:T42"/>
    <mergeCell ref="B41:C41"/>
    <mergeCell ref="E41:H41"/>
    <mergeCell ref="K41:M41"/>
    <mergeCell ref="O41:R41"/>
    <mergeCell ref="S41:T41"/>
    <mergeCell ref="B44:C44"/>
    <mergeCell ref="D44:E44"/>
    <mergeCell ref="G44:I44"/>
    <mergeCell ref="K44:M44"/>
    <mergeCell ref="N44:O44"/>
    <mergeCell ref="B43:C43"/>
    <mergeCell ref="E43:H43"/>
    <mergeCell ref="K43:M43"/>
    <mergeCell ref="O43:R43"/>
  </mergeCells>
  <conditionalFormatting sqref="K9:P9">
    <cfRule type="cellIs" dxfId="23" priority="7" stopIfTrue="1" operator="between">
      <formula>1</formula>
      <formula>300</formula>
    </cfRule>
    <cfRule type="cellIs" dxfId="22" priority="8" stopIfTrue="1" operator="lessThanOrEqual">
      <formula>0</formula>
    </cfRule>
  </conditionalFormatting>
  <conditionalFormatting sqref="K11:P11">
    <cfRule type="cellIs" dxfId="21" priority="2" stopIfTrue="1" operator="lessThanOrEqual">
      <formula>0</formula>
    </cfRule>
    <cfRule type="cellIs" dxfId="20" priority="1" stopIfTrue="1" operator="between">
      <formula>1</formula>
      <formula>300</formula>
    </cfRule>
  </conditionalFormatting>
  <conditionalFormatting sqref="K13:P13">
    <cfRule type="cellIs" dxfId="19" priority="3" stopIfTrue="1" operator="between">
      <formula>1</formula>
      <formula>300</formula>
    </cfRule>
    <cfRule type="cellIs" dxfId="18" priority="4" stopIfTrue="1" operator="lessThanOrEqual">
      <formula>0</formula>
    </cfRule>
  </conditionalFormatting>
  <conditionalFormatting sqref="K15:P15">
    <cfRule type="cellIs" dxfId="17" priority="13" stopIfTrue="1" operator="between">
      <formula>1</formula>
      <formula>300</formula>
    </cfRule>
    <cfRule type="cellIs" dxfId="16" priority="14" stopIfTrue="1" operator="lessThanOrEqual">
      <formula>0</formula>
    </cfRule>
  </conditionalFormatting>
  <conditionalFormatting sqref="K17:P17">
    <cfRule type="cellIs" dxfId="15" priority="11" stopIfTrue="1" operator="between">
      <formula>1</formula>
      <formula>300</formula>
    </cfRule>
    <cfRule type="cellIs" dxfId="14" priority="12" stopIfTrue="1" operator="lessThanOrEqual">
      <formula>0</formula>
    </cfRule>
  </conditionalFormatting>
  <conditionalFormatting sqref="K19:P19">
    <cfRule type="cellIs" dxfId="13" priority="6" stopIfTrue="1" operator="lessThanOrEqual">
      <formula>0</formula>
    </cfRule>
    <cfRule type="cellIs" dxfId="12" priority="5" stopIfTrue="1" operator="between">
      <formula>1</formula>
      <formula>300</formula>
    </cfRule>
  </conditionalFormatting>
  <conditionalFormatting sqref="K21:P21">
    <cfRule type="cellIs" dxfId="11" priority="9" stopIfTrue="1" operator="between">
      <formula>1</formula>
      <formula>300</formula>
    </cfRule>
    <cfRule type="cellIs" dxfId="10" priority="10" stopIfTrue="1" operator="lessThanOrEqual">
      <formula>0</formula>
    </cfRule>
  </conditionalFormatting>
  <conditionalFormatting sqref="K23:P23">
    <cfRule type="cellIs" dxfId="9" priority="27" stopIfTrue="1" operator="between">
      <formula>1</formula>
      <formula>300</formula>
    </cfRule>
    <cfRule type="cellIs" dxfId="8" priority="28" stopIfTrue="1" operator="lessThanOrEqual">
      <formula>0</formula>
    </cfRule>
  </conditionalFormatting>
  <conditionalFormatting sqref="K25:P25">
    <cfRule type="cellIs" dxfId="7" priority="15" stopIfTrue="1" operator="between">
      <formula>1</formula>
      <formula>300</formula>
    </cfRule>
    <cfRule type="cellIs" dxfId="6" priority="16" stopIfTrue="1" operator="lessThanOrEqual">
      <formula>0</formula>
    </cfRule>
  </conditionalFormatting>
  <conditionalFormatting sqref="K27:P27">
    <cfRule type="cellIs" dxfId="5" priority="41" stopIfTrue="1" operator="between">
      <formula>1</formula>
      <formula>300</formula>
    </cfRule>
    <cfRule type="cellIs" dxfId="4" priority="42" stopIfTrue="1" operator="lessThanOrEqual">
      <formula>0</formula>
    </cfRule>
  </conditionalFormatting>
  <conditionalFormatting sqref="K29:P29">
    <cfRule type="cellIs" dxfId="3" priority="39" stopIfTrue="1" operator="between">
      <formula>1</formula>
      <formula>300</formula>
    </cfRule>
    <cfRule type="cellIs" dxfId="2" priority="40" stopIfTrue="1" operator="lessThanOrEqual">
      <formula>0</formula>
    </cfRule>
  </conditionalFormatting>
  <conditionalFormatting sqref="K31:P31">
    <cfRule type="cellIs" dxfId="1" priority="37" stopIfTrue="1" operator="between">
      <formula>1</formula>
      <formula>300</formula>
    </cfRule>
    <cfRule type="cellIs" dxfId="0" priority="38" stopIfTrue="1" operator="lessThanOrEqual">
      <formula>0</formula>
    </cfRule>
  </conditionalFormatting>
  <dataValidations count="5">
    <dataValidation type="list" allowBlank="1" showInputMessage="1" showErrorMessage="1" sqref="C27 C29 C25 C23 C31 C9 C11 C15 C17 C19 C13 C21" xr:uid="{3C8CE5AD-09F7-A34D-B568-2163DDFDF093}">
      <formula1>"44,48,53,56,58,60,63,65,69,71,77,'+77,79,86,'+86,88,94,'+94,110,'+110"</formula1>
    </dataValidation>
    <dataValidation type="list" allowBlank="1" showInputMessage="1" showErrorMessage="1" sqref="E23 E29 E27 E25 E31 E21 E19 E13 E17 E11 E15 E9" xr:uid="{D9C7A5FD-C24B-1A45-8C10-A93955B13265}">
      <formula1>"UM,JM,SM,UK,JK,SK,M35,M40,M45,M50,M55,M60,M65,M70,M75,M80,M85,M90,K35,K40,K45,K50,K55,K60,K65,K70,K75,K80,K85,K90"</formula1>
    </dataValidation>
    <dataValidation type="list" allowBlank="1" showInputMessage="1" showErrorMessage="1" errorTitle="Feil_i_kat. 5-kamp" error="Feil verdi i kategori 5-kamp" sqref="F27 F29 F31 F23 F25 F9 F19 F11 F13 F15 F17 F21" xr:uid="{4B27A9CF-6683-7E41-AB66-CEB7511F80EF}">
      <formula1>"11-12,13-14,15-16,17-18,19-23,24-34,+35"</formula1>
    </dataValidation>
    <dataValidation type="list" allowBlank="1" showInputMessage="1" showErrorMessage="1" sqref="D5:I5" xr:uid="{70180D02-CBF6-244D-82D6-25A7F942D16B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3455E089-A281-7547-8B4A-CDF4FE1474D4}">
      <formula1>"Dommer,Stevnets leder,Jury,Sekretær,Speaker,Teknisk kontrollør, Chief Marshall,Tidtaker"</formula1>
    </dataValidation>
  </dataValidations>
  <pageMargins left="0.27559055118110198" right="0.27559055118110198" top="0.27559055118110198" bottom="0.27559055118110198" header="0.511811023622047" footer="0.511811023622047"/>
  <pageSetup paperSize="9" scale="58" orientation="landscape" horizontalDpi="300" verticalDpi="300" copies="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C831B-7043-D647-848D-52799367EC6C}">
  <sheetPr>
    <pageSetUpPr fitToPage="1"/>
  </sheetPr>
  <dimension ref="A1:M64"/>
  <sheetViews>
    <sheetView zoomScale="120" zoomScaleNormal="120" zoomScalePageLayoutView="120" workbookViewId="0">
      <selection activeCell="A6" sqref="A6"/>
    </sheetView>
  </sheetViews>
  <sheetFormatPr baseColWidth="10" defaultColWidth="8.796875" defaultRowHeight="13"/>
  <cols>
    <col min="1" max="1" width="5.3984375" customWidth="1"/>
    <col min="2" max="3" width="7.59765625" customWidth="1"/>
    <col min="4" max="4" width="7.19921875" customWidth="1"/>
    <col min="5" max="5" width="10.3984375" customWidth="1"/>
    <col min="6" max="6" width="27.59765625" customWidth="1"/>
    <col min="7" max="7" width="20.59765625" customWidth="1"/>
    <col min="8" max="9" width="6.796875" customWidth="1"/>
    <col min="10" max="11" width="8.59765625" customWidth="1"/>
    <col min="12" max="12" width="9.59765625" customWidth="1"/>
    <col min="13" max="13" width="9.3984375" bestFit="1" customWidth="1"/>
  </cols>
  <sheetData>
    <row r="1" spans="1:13" ht="31" thickBot="1">
      <c r="A1" s="309" t="s">
        <v>84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</row>
    <row r="2" spans="1:13" s="64" customFormat="1" ht="24" customHeight="1" thickBot="1">
      <c r="A2" s="312" t="str">
        <f>IF('Pulje 1'!K5&gt;0,'Pulje 1'!K5,"")</f>
        <v>AK Bjørgvn</v>
      </c>
      <c r="B2" s="313"/>
      <c r="C2" s="313"/>
      <c r="D2" s="313"/>
      <c r="E2" s="313"/>
      <c r="F2" s="314" t="str">
        <f>IF('Pulje 1'!R5&gt;0,'Pulje 1'!R5,"")</f>
        <v/>
      </c>
      <c r="G2" s="313"/>
      <c r="H2" s="313"/>
      <c r="I2" s="313"/>
      <c r="J2" s="315" t="str">
        <f>IF('Pulje 1'!X5&gt;0,'Pulje 1'!X5,"")</f>
        <v/>
      </c>
      <c r="K2" s="316"/>
      <c r="L2" s="316"/>
      <c r="M2" s="316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17" t="s">
        <v>32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</row>
    <row r="5" spans="1:13" ht="8" customHeight="1"/>
    <row r="6" spans="1:13" s="10" customFormat="1" ht="16">
      <c r="A6" s="111">
        <v>1</v>
      </c>
      <c r="B6" s="117">
        <f>IF('Pulje 2'!D13="","",'Pulje 2'!D13)</f>
        <v>42.03</v>
      </c>
      <c r="C6" s="112" t="str">
        <f>IF('Pulje 2'!E13="","",'Pulje 2'!E13)</f>
        <v>UK</v>
      </c>
      <c r="D6" s="112" t="str">
        <f>IF('Pulje 2'!F13="","",'Pulje 2'!F13)</f>
        <v>11-12</v>
      </c>
      <c r="E6" s="113">
        <f>IF('Pulje 2'!G13="","",'Pulje 2'!G13)</f>
        <v>41765</v>
      </c>
      <c r="F6" s="114" t="str">
        <f>IF('Pulje 2'!I13="","",'Pulje 2'!I13)</f>
        <v>Miriam Mella</v>
      </c>
      <c r="G6" s="114" t="str">
        <f>IF('Pulje 2'!J13="","",'Pulje 2'!J13)</f>
        <v>AK Bjørgvin</v>
      </c>
      <c r="H6" s="116">
        <f>IF('Pulje 2'!Q13="","",'Pulje 2'!Q13)</f>
        <v>31</v>
      </c>
      <c r="I6" s="116">
        <f>IF('Pulje 2'!R13="","",'Pulje 2'!R13)</f>
        <v>37</v>
      </c>
      <c r="J6" s="117">
        <f>IF('Pulje 2'!V13="","",'Pulje 2'!V13)</f>
        <v>5.88</v>
      </c>
      <c r="K6" s="117">
        <f>IF('Pulje 2'!W13="","",'Pulje 2'!W13)</f>
        <v>5.55</v>
      </c>
      <c r="L6" s="117">
        <f>IF('Pulje 2'!X13="","",'Pulje 2'!X13)</f>
        <v>8.4</v>
      </c>
      <c r="M6" s="117">
        <f>IF('Pulje 2'!Z14="","",'Pulje 2'!Z14)</f>
        <v>442.04524596057109</v>
      </c>
    </row>
    <row r="7" spans="1:13" s="10" customFormat="1" ht="16">
      <c r="A7" s="111">
        <v>2</v>
      </c>
      <c r="B7" s="117">
        <f>IF('Pulje 2'!D9="","",'Pulje 2'!D9)</f>
        <v>44.23</v>
      </c>
      <c r="C7" s="112" t="str">
        <f>IF('Pulje 2'!E9="","",'Pulje 2'!E9)</f>
        <v>UK</v>
      </c>
      <c r="D7" s="112" t="str">
        <f>IF('Pulje 2'!F9="","",'Pulje 2'!F9)</f>
        <v>11-12</v>
      </c>
      <c r="E7" s="113">
        <f>IF('Pulje 2'!G9="","",'Pulje 2'!G9)</f>
        <v>41367</v>
      </c>
      <c r="F7" s="114" t="str">
        <f>IF('Pulje 2'!I9="","",'Pulje 2'!I9)</f>
        <v>Othilie Løvik</v>
      </c>
      <c r="G7" s="114" t="str">
        <f>IF('Pulje 2'!J9="","",'Pulje 2'!J9)</f>
        <v>AK Bjørgvin</v>
      </c>
      <c r="H7" s="116">
        <f>IF('Pulje 2'!Q9="","",'Pulje 2'!Q9)</f>
        <v>19</v>
      </c>
      <c r="I7" s="116">
        <f>IF('Pulje 2'!R9="","",'Pulje 2'!R9)</f>
        <v>21</v>
      </c>
      <c r="J7" s="117">
        <f>IF('Pulje 2'!V9="","",'Pulje 2'!V9)</f>
        <v>5.59</v>
      </c>
      <c r="K7" s="117">
        <f>IF('Pulje 2'!W9="","",'Pulje 2'!W9)</f>
        <v>7.04</v>
      </c>
      <c r="L7" s="117">
        <f>IF('Pulje 2'!X9="","",'Pulje 2'!X9)</f>
        <v>7.7</v>
      </c>
      <c r="M7" s="117">
        <f>IF('Pulje 2'!Z10="","",'Pulje 2'!Z10)</f>
        <v>424.9504133711597</v>
      </c>
    </row>
    <row r="8" spans="1:13" s="10" customFormat="1" ht="16">
      <c r="A8" s="111"/>
      <c r="B8" s="117"/>
      <c r="C8" s="112"/>
      <c r="D8" s="112"/>
      <c r="E8" s="113"/>
      <c r="F8" s="114"/>
      <c r="G8" s="114"/>
      <c r="H8" s="116"/>
      <c r="I8" s="116"/>
      <c r="J8" s="117"/>
      <c r="K8" s="117"/>
      <c r="L8" s="117"/>
      <c r="M8" s="117"/>
    </row>
    <row r="9" spans="1:13" s="10" customFormat="1" ht="16">
      <c r="A9" s="111">
        <v>1</v>
      </c>
      <c r="B9" s="117">
        <f>IF('Pulje 2'!D17="","",'Pulje 2'!D17)</f>
        <v>42.15</v>
      </c>
      <c r="C9" s="112" t="str">
        <f>IF('Pulje 2'!E17="","",'Pulje 2'!E17)</f>
        <v>UK</v>
      </c>
      <c r="D9" s="112" t="str">
        <f>IF('Pulje 2'!F17="","",'Pulje 2'!F17)</f>
        <v>13-14</v>
      </c>
      <c r="E9" s="113">
        <f>IF('Pulje 2'!G17="","",'Pulje 2'!G17)</f>
        <v>40848</v>
      </c>
      <c r="F9" s="114" t="str">
        <f>IF('Pulje 2'!I17="","",'Pulje 2'!I17)</f>
        <v>Ingrid Skag Skjefstad</v>
      </c>
      <c r="G9" s="114" t="str">
        <f>IF('Pulje 2'!J17="","",'Pulje 2'!J17)</f>
        <v>AK Bjørgvin</v>
      </c>
      <c r="H9" s="116">
        <f>IF('Pulje 2'!Q17="","",'Pulje 2'!Q17)</f>
        <v>42</v>
      </c>
      <c r="I9" s="116">
        <f>IF('Pulje 2'!R17="","",'Pulje 2'!R17)</f>
        <v>53</v>
      </c>
      <c r="J9" s="117">
        <f>IF('Pulje 2'!V17="","",'Pulje 2'!V17)</f>
        <v>5.9</v>
      </c>
      <c r="K9" s="117">
        <f>IF('Pulje 2'!W17="","",'Pulje 2'!W17)</f>
        <v>7.5</v>
      </c>
      <c r="L9" s="117">
        <f>IF('Pulje 2'!X17="","",'Pulje 2'!X17)</f>
        <v>7.9</v>
      </c>
      <c r="M9" s="117">
        <f>IF('Pulje 2'!Z18="","",'Pulje 2'!Z18)</f>
        <v>559.64459031189062</v>
      </c>
    </row>
    <row r="10" spans="1:13" s="10" customFormat="1" ht="16">
      <c r="A10" s="111">
        <v>2</v>
      </c>
      <c r="B10" s="117">
        <f>IF('Pulje 2'!D19="","",'Pulje 2'!D19)</f>
        <v>46.06</v>
      </c>
      <c r="C10" s="112" t="str">
        <f>IF('Pulje 2'!E19="","",'Pulje 2'!E19)</f>
        <v>UK</v>
      </c>
      <c r="D10" s="112" t="str">
        <f>IF('Pulje 2'!F19="","",'Pulje 2'!F19)</f>
        <v>13-14</v>
      </c>
      <c r="E10" s="113">
        <f>IF('Pulje 2'!G19="","",'Pulje 2'!G19)</f>
        <v>41227</v>
      </c>
      <c r="F10" s="114" t="str">
        <f>IF('Pulje 2'!I19="","",'Pulje 2'!I19)</f>
        <v>Lisa Nøstdal Lending</v>
      </c>
      <c r="G10" s="114" t="str">
        <f>IF('Pulje 2'!J19="","",'Pulje 2'!J19)</f>
        <v>Tambarskjelvar IL</v>
      </c>
      <c r="H10" s="116">
        <f>IF('Pulje 2'!Q19="","",'Pulje 2'!Q19)</f>
        <v>31</v>
      </c>
      <c r="I10" s="116">
        <f>IF('Pulje 2'!R19="","",'Pulje 2'!R19)</f>
        <v>37</v>
      </c>
      <c r="J10" s="117">
        <f>IF('Pulje 2'!V19="","",'Pulje 2'!V19)</f>
        <v>5.93</v>
      </c>
      <c r="K10" s="117">
        <f>IF('Pulje 2'!W19="","",'Pulje 2'!W19)</f>
        <v>6.08</v>
      </c>
      <c r="L10" s="117">
        <f>IF('Pulje 2'!X19="","",'Pulje 2'!X19)</f>
        <v>7.4</v>
      </c>
      <c r="M10" s="117">
        <f>IF('Pulje 2'!Z20="","",'Pulje 2'!Z20)</f>
        <v>472.82181731859112</v>
      </c>
    </row>
    <row r="11" spans="1:13" s="10" customFormat="1" ht="16">
      <c r="A11" s="111">
        <v>3</v>
      </c>
      <c r="B11" s="117">
        <f>IF('Pulje 2'!D15="","",'Pulje 2'!D15)</f>
        <v>43.99</v>
      </c>
      <c r="C11" s="112" t="str">
        <f>IF('Pulje 2'!E15="","",'Pulje 2'!E15)</f>
        <v>UK</v>
      </c>
      <c r="D11" s="112" t="str">
        <f>IF('Pulje 2'!F15="","",'Pulje 2'!F15)</f>
        <v>13-14</v>
      </c>
      <c r="E11" s="113">
        <f>IF('Pulje 2'!G15="","",'Pulje 2'!G15)</f>
        <v>41022</v>
      </c>
      <c r="F11" s="114" t="str">
        <f>IF('Pulje 2'!I15="","",'Pulje 2'!I15)</f>
        <v>Oline Mella</v>
      </c>
      <c r="G11" s="114" t="str">
        <f>IF('Pulje 2'!J15="","",'Pulje 2'!J15)</f>
        <v>AK Bjørgvin</v>
      </c>
      <c r="H11" s="116">
        <f>IF('Pulje 2'!Q15="","",'Pulje 2'!Q15)</f>
        <v>28</v>
      </c>
      <c r="I11" s="116">
        <f>IF('Pulje 2'!R15="","",'Pulje 2'!R15)</f>
        <v>33</v>
      </c>
      <c r="J11" s="117">
        <f>IF('Pulje 2'!V15="","",'Pulje 2'!V15)</f>
        <v>5.37</v>
      </c>
      <c r="K11" s="117">
        <f>IF('Pulje 2'!W15="","",'Pulje 2'!W15)</f>
        <v>5.92</v>
      </c>
      <c r="L11" s="117">
        <f>IF('Pulje 2'!X15="","",'Pulje 2'!X15)</f>
        <v>7.8</v>
      </c>
      <c r="M11" s="117">
        <f>IF('Pulje 2'!Z16="","",'Pulje 2'!Z16)</f>
        <v>438.36195651852933</v>
      </c>
    </row>
    <row r="12" spans="1:13" s="10" customFormat="1" ht="16">
      <c r="A12" s="111">
        <v>4</v>
      </c>
      <c r="B12" s="117">
        <f>IF('Pulje 2'!D21="","",'Pulje 2'!D21)</f>
        <v>49.27</v>
      </c>
      <c r="C12" s="112" t="str">
        <f>IF('Pulje 2'!E21="","",'Pulje 2'!E21)</f>
        <v>UK</v>
      </c>
      <c r="D12" s="112" t="str">
        <f>IF('Pulje 2'!F21="","",'Pulje 2'!F21)</f>
        <v>13-14</v>
      </c>
      <c r="E12" s="113">
        <f>IF('Pulje 2'!G21="","",'Pulje 2'!G21)</f>
        <v>41064</v>
      </c>
      <c r="F12" s="114" t="str">
        <f>IF('Pulje 2'!I21="","",'Pulje 2'!I21)</f>
        <v>Isabel Jensen Fauske</v>
      </c>
      <c r="G12" s="114" t="str">
        <f>IF('Pulje 2'!J21="","",'Pulje 2'!J21)</f>
        <v>Tambarskjelvar IL</v>
      </c>
      <c r="H12" s="116">
        <f>IF('Pulje 2'!Q21="","",'Pulje 2'!Q21)</f>
        <v>22</v>
      </c>
      <c r="I12" s="116">
        <f>IF('Pulje 2'!R21="","",'Pulje 2'!R21)</f>
        <v>28</v>
      </c>
      <c r="J12" s="117">
        <f>IF('Pulje 2'!V21="","",'Pulje 2'!V21)</f>
        <v>5.37</v>
      </c>
      <c r="K12" s="117">
        <f>IF('Pulje 2'!W21="","",'Pulje 2'!W21)</f>
        <v>5.15</v>
      </c>
      <c r="L12" s="117">
        <f>IF('Pulje 2'!X21="","",'Pulje 2'!X21)</f>
        <v>8.6</v>
      </c>
      <c r="M12" s="117">
        <f>IF('Pulje 2'!Z22="","",'Pulje 2'!Z22)</f>
        <v>349.5207426147831</v>
      </c>
    </row>
    <row r="13" spans="1:13" s="10" customFormat="1" ht="16">
      <c r="A13" s="111"/>
      <c r="B13" s="117"/>
      <c r="C13" s="112"/>
      <c r="D13" s="112"/>
      <c r="E13" s="113"/>
      <c r="F13" s="114"/>
      <c r="G13" s="114"/>
      <c r="H13" s="116"/>
      <c r="I13" s="116"/>
      <c r="J13" s="117"/>
      <c r="K13" s="117"/>
      <c r="L13" s="117"/>
      <c r="M13" s="117"/>
    </row>
    <row r="14" spans="1:13" s="10" customFormat="1" ht="16">
      <c r="A14" s="111">
        <v>1</v>
      </c>
      <c r="B14" s="117">
        <f>IF('Pulje 2'!D23="","",'Pulje 2'!D23)</f>
        <v>51.79</v>
      </c>
      <c r="C14" s="112" t="str">
        <f>IF('Pulje 2'!E23="","",'Pulje 2'!E23)</f>
        <v>UK</v>
      </c>
      <c r="D14" s="112" t="str">
        <f>IF('Pulje 2'!F23="","",'Pulje 2'!F23)</f>
        <v>15-16</v>
      </c>
      <c r="E14" s="113">
        <f>IF('Pulje 2'!G23="","",'Pulje 2'!G23)</f>
        <v>40008</v>
      </c>
      <c r="F14" s="114" t="str">
        <f>IF('Pulje 2'!I23="","",'Pulje 2'!I23)</f>
        <v>Heidi Nævdal</v>
      </c>
      <c r="G14" s="114" t="str">
        <f>IF('Pulje 2'!J23="","",'Pulje 2'!J23)</f>
        <v>AK Bjørgvin</v>
      </c>
      <c r="H14" s="116">
        <f>IF('Pulje 2'!Q23="","",'Pulje 2'!Q23)</f>
        <v>56</v>
      </c>
      <c r="I14" s="116">
        <f>IF('Pulje 2'!R23="","",'Pulje 2'!R23)</f>
        <v>66</v>
      </c>
      <c r="J14" s="117">
        <f>IF('Pulje 2'!V23="","",'Pulje 2'!V23)</f>
        <v>6.67</v>
      </c>
      <c r="K14" s="117">
        <f>IF('Pulje 2'!W23="","",'Pulje 2'!W23)</f>
        <v>8.59</v>
      </c>
      <c r="L14" s="117">
        <f>IF('Pulje 2'!X23="","",'Pulje 2'!X23)</f>
        <v>7.4</v>
      </c>
      <c r="M14" s="117">
        <f>IF('Pulje 2'!Z24="","",'Pulje 2'!Z24)</f>
        <v>605.10018371908552</v>
      </c>
    </row>
    <row r="15" spans="1:13" s="10" customFormat="1" ht="16">
      <c r="A15" s="111">
        <v>2</v>
      </c>
      <c r="B15" s="117">
        <f>IF('Pulje 2'!D25="","",'Pulje 2'!D25)</f>
        <v>62.45</v>
      </c>
      <c r="C15" s="112" t="str">
        <f>IF('Pulje 2'!E25="","",'Pulje 2'!E25)</f>
        <v>UK</v>
      </c>
      <c r="D15" s="112" t="str">
        <f>IF('Pulje 2'!F25="","",'Pulje 2'!F25)</f>
        <v>15-16</v>
      </c>
      <c r="E15" s="113">
        <f>IF('Pulje 2'!G25="","",'Pulje 2'!G25)</f>
        <v>40263</v>
      </c>
      <c r="F15" s="114" t="str">
        <f>IF('Pulje 2'!I25="","",'Pulje 2'!I25)</f>
        <v>Sandra Viktoria N. Amundsen</v>
      </c>
      <c r="G15" s="114" t="str">
        <f>IF('Pulje 2'!J25="","",'Pulje 2'!J25)</f>
        <v>AK Bjørgvin</v>
      </c>
      <c r="H15" s="116">
        <f>IF('Pulje 2'!Q25="","",'Pulje 2'!Q25)</f>
        <v>66</v>
      </c>
      <c r="I15" s="116">
        <f>IF('Pulje 2'!R25="","",'Pulje 2'!R25)</f>
        <v>81</v>
      </c>
      <c r="J15" s="117">
        <f>IF('Pulje 2'!V25="","",'Pulje 2'!V25)</f>
        <v>5.84</v>
      </c>
      <c r="K15" s="117">
        <f>IF('Pulje 2'!W25="","",'Pulje 2'!W25)</f>
        <v>7.84</v>
      </c>
      <c r="L15" s="117">
        <f>IF('Pulje 2'!X25="","",'Pulje 2'!X25)</f>
        <v>7.5</v>
      </c>
      <c r="M15" s="117">
        <f>IF('Pulje 2'!Z26="","",'Pulje 2'!Z26)</f>
        <v>566.78685074618807</v>
      </c>
    </row>
    <row r="16" spans="1:13" s="10" customFormat="1" ht="16">
      <c r="A16" s="111">
        <v>3</v>
      </c>
      <c r="B16" s="117">
        <f>IF('Pulje 2'!D27="","",'Pulje 2'!D27)</f>
        <v>78.03</v>
      </c>
      <c r="C16" s="112" t="str">
        <f>IF('Pulje 2'!E27="","",'Pulje 2'!E27)</f>
        <v>UK</v>
      </c>
      <c r="D16" s="112" t="str">
        <f>IF('Pulje 2'!F27="","",'Pulje 2'!F27)</f>
        <v>15-16</v>
      </c>
      <c r="E16" s="113">
        <f>IF('Pulje 2'!G27="","",'Pulje 2'!G27)</f>
        <v>40071</v>
      </c>
      <c r="F16" s="114" t="str">
        <f>IF('Pulje 2'!I27="","",'Pulje 2'!I27)</f>
        <v>Kristina Haugsbø Smådal</v>
      </c>
      <c r="G16" s="114" t="str">
        <f>IF('Pulje 2'!J27="","",'Pulje 2'!J27)</f>
        <v>Tambarskjelvar IL</v>
      </c>
      <c r="H16" s="116">
        <f>IF('Pulje 2'!Q27="","",'Pulje 2'!Q27)</f>
        <v>50</v>
      </c>
      <c r="I16" s="116">
        <f>IF('Pulje 2'!R27="","",'Pulje 2'!R27)</f>
        <v>57</v>
      </c>
      <c r="J16" s="117">
        <f>IF('Pulje 2'!V27="","",'Pulje 2'!V27)</f>
        <v>5.44</v>
      </c>
      <c r="K16" s="117">
        <f>IF('Pulje 2'!W27="","",'Pulje 2'!W27)</f>
        <v>7.5</v>
      </c>
      <c r="L16" s="117">
        <f>IF('Pulje 2'!X27="","",'Pulje 2'!X27)</f>
        <v>7.8</v>
      </c>
      <c r="M16" s="117">
        <f>IF('Pulje 2'!Z28="","",'Pulje 2'!Z28)</f>
        <v>444.25817569334509</v>
      </c>
    </row>
    <row r="17" spans="1:13" s="10" customFormat="1" ht="16">
      <c r="A17" s="111">
        <v>4</v>
      </c>
      <c r="B17" s="117">
        <f>IF('Pulje 2'!D29="","",'Pulje 2'!D29)</f>
        <v>81.91</v>
      </c>
      <c r="C17" s="112" t="str">
        <f>IF('Pulje 2'!E29="","",'Pulje 2'!E29)</f>
        <v>UK</v>
      </c>
      <c r="D17" s="112" t="str">
        <f>IF('Pulje 2'!F29="","",'Pulje 2'!F29)</f>
        <v>15-16</v>
      </c>
      <c r="E17" s="113">
        <f>IF('Pulje 2'!G29="","",'Pulje 2'!G29)</f>
        <v>40113</v>
      </c>
      <c r="F17" s="114" t="str">
        <f>IF('Pulje 2'!I29="","",'Pulje 2'!I29)</f>
        <v>Madeleine Indrebø</v>
      </c>
      <c r="G17" s="114" t="str">
        <f>IF('Pulje 2'!J29="","",'Pulje 2'!J29)</f>
        <v>Tambarskjelvar IL</v>
      </c>
      <c r="H17" s="116">
        <f>IF('Pulje 2'!Q29="","",'Pulje 2'!Q29)</f>
        <v>35</v>
      </c>
      <c r="I17" s="116">
        <f>IF('Pulje 2'!R29="","",'Pulje 2'!R29)</f>
        <v>46</v>
      </c>
      <c r="J17" s="117">
        <f>IF('Pulje 2'!V29="","",'Pulje 2'!V29)</f>
        <v>5.61</v>
      </c>
      <c r="K17" s="117">
        <f>IF('Pulje 2'!W29="","",'Pulje 2'!W29)</f>
        <v>6.3</v>
      </c>
      <c r="L17" s="117">
        <f>IF('Pulje 2'!X29="","",'Pulje 2'!X29)</f>
        <v>8.3000000000000007</v>
      </c>
      <c r="M17" s="117">
        <f>IF('Pulje 2'!Z30="","",'Pulje 2'!Z30)</f>
        <v>370.98246126752622</v>
      </c>
    </row>
    <row r="18" spans="1:13" s="10" customFormat="1" ht="16">
      <c r="A18" s="111"/>
      <c r="B18" s="117"/>
      <c r="C18" s="112"/>
      <c r="D18" s="112"/>
      <c r="E18" s="113"/>
      <c r="F18" s="114"/>
      <c r="G18" s="114"/>
      <c r="H18" s="116"/>
      <c r="I18" s="116"/>
      <c r="J18" s="117"/>
      <c r="K18" s="117"/>
      <c r="L18" s="117"/>
      <c r="M18" s="117"/>
    </row>
    <row r="19" spans="1:13" ht="16">
      <c r="A19" s="111">
        <v>1</v>
      </c>
      <c r="B19" s="117">
        <f>IF('Pulje 4'!D13="","",'Pulje 4'!D13)</f>
        <v>70.94</v>
      </c>
      <c r="C19" s="112" t="str">
        <f>IF('Pulje 4'!E13="","",'Pulje 4'!E13)</f>
        <v>SK</v>
      </c>
      <c r="D19" s="112" t="str">
        <f>IF('Pulje 4'!F13="","",'Pulje 4'!F13)</f>
        <v>19-23</v>
      </c>
      <c r="E19" s="113">
        <f>IF('Pulje 4'!G13="","",'Pulje 4'!G13)</f>
        <v>37315</v>
      </c>
      <c r="F19" s="114" t="str">
        <f>IF('Pulje 4'!I13="","",'Pulje 4'!I13)</f>
        <v>Julia Jordanger Loen</v>
      </c>
      <c r="G19" s="114" t="str">
        <f>IF('Pulje 4'!J13="","",'Pulje 4'!J13)</f>
        <v>Breimsbygda IL</v>
      </c>
      <c r="H19" s="116">
        <f>IF('Pulje 4'!Q13="","",'Pulje 4'!Q13)</f>
        <v>90</v>
      </c>
      <c r="I19" s="116">
        <f>IF('Pulje 4'!R13="","",'Pulje 4'!R13)</f>
        <v>111</v>
      </c>
      <c r="J19" s="117">
        <f>IF('Pulje 4'!V13="","",'Pulje 4'!V13)</f>
        <v>7.6</v>
      </c>
      <c r="K19" s="117">
        <f>IF('Pulje 4'!W13="","",'Pulje 4'!W13)</f>
        <v>14.5</v>
      </c>
      <c r="L19" s="117">
        <f>IF('Pulje 4'!X13="","",'Pulje 4'!X13)</f>
        <v>7</v>
      </c>
      <c r="M19" s="117">
        <f>IF('Pulje 4'!Z14="","",'Pulje 4'!Z14)</f>
        <v>766.90389219131589</v>
      </c>
    </row>
    <row r="20" spans="1:13" ht="16">
      <c r="A20" s="111">
        <v>2</v>
      </c>
      <c r="B20" s="117">
        <f>IF('Pulje 4'!D11="","",'Pulje 4'!D11)</f>
        <v>72.27</v>
      </c>
      <c r="C20" s="112" t="str">
        <f>IF('Pulje 4'!E11="","",'Pulje 4'!E11)</f>
        <v>SK</v>
      </c>
      <c r="D20" s="112" t="str">
        <f>IF('Pulje 4'!F11="","",'Pulje 4'!F11)</f>
        <v>19-23</v>
      </c>
      <c r="E20" s="113">
        <f>IF('Pulje 4'!G11="","",'Pulje 4'!G11)</f>
        <v>37318</v>
      </c>
      <c r="F20" s="114" t="str">
        <f>IF('Pulje 4'!I11="","",'Pulje 4'!I11)</f>
        <v>Emelia Tveitå</v>
      </c>
      <c r="G20" s="114" t="str">
        <f>IF('Pulje 4'!J11="","",'Pulje 4'!J11)</f>
        <v>AK Bjørgvin</v>
      </c>
      <c r="H20" s="116">
        <f>IF('Pulje 4'!Q11="","",'Pulje 4'!Q11)</f>
        <v>53</v>
      </c>
      <c r="I20" s="116">
        <f>IF('Pulje 4'!R11="","",'Pulje 4'!R11)</f>
        <v>68</v>
      </c>
      <c r="J20" s="117">
        <f>IF('Pulje 4'!V11="","",'Pulje 4'!V11)</f>
        <v>7.85</v>
      </c>
      <c r="K20" s="117">
        <f>IF('Pulje 4'!W11="","",'Pulje 4'!W11)</f>
        <v>16.399999999999999</v>
      </c>
      <c r="L20" s="117">
        <f>IF('Pulje 4'!X11="","",'Pulje 4'!X11)</f>
        <v>6.6</v>
      </c>
      <c r="M20" s="117">
        <f>IF('Pulje 4'!Z12="","",'Pulje 4'!Z12)</f>
        <v>691.87467511060629</v>
      </c>
    </row>
    <row r="21" spans="1:13" ht="16">
      <c r="A21" s="111">
        <v>3</v>
      </c>
      <c r="B21" s="117">
        <f>IF('Pulje 4'!D15="","",'Pulje 4'!D15)</f>
        <v>72.55</v>
      </c>
      <c r="C21" s="112" t="str">
        <f>IF('Pulje 4'!E15="","",'Pulje 4'!E15)</f>
        <v>SK</v>
      </c>
      <c r="D21" s="112" t="str">
        <f>IF('Pulje 4'!F15="","",'Pulje 4'!F15)</f>
        <v>19-23</v>
      </c>
      <c r="E21" s="113">
        <f>IF('Pulje 4'!G15="","",'Pulje 4'!G15)</f>
        <v>38134</v>
      </c>
      <c r="F21" s="114" t="str">
        <f>IF('Pulje 4'!I15="","",'Pulje 4'!I15)</f>
        <v>Laila Therese K. Bjørnarheim</v>
      </c>
      <c r="G21" s="114" t="str">
        <f>IF('Pulje 4'!J15="","",'Pulje 4'!J15)</f>
        <v>Breimsbygda IL</v>
      </c>
      <c r="H21" s="116">
        <f>IF('Pulje 4'!Q15="","",'Pulje 4'!Q15)</f>
        <v>73</v>
      </c>
      <c r="I21" s="116">
        <f>IF('Pulje 4'!R15="","",'Pulje 4'!R15)</f>
        <v>90</v>
      </c>
      <c r="J21" s="117">
        <f>IF('Pulje 4'!V15="","",'Pulje 4'!V15)</f>
        <v>6.9</v>
      </c>
      <c r="K21" s="117">
        <f>IF('Pulje 4'!W15="","",'Pulje 4'!W15)</f>
        <v>11.5</v>
      </c>
      <c r="L21" s="117">
        <f>IF('Pulje 4'!X15="","",'Pulje 4'!X15)</f>
        <v>7.6</v>
      </c>
      <c r="M21" s="117">
        <f>IF('Pulje 4'!Z16="","",'Pulje 4'!Z16)</f>
        <v>626.8080511511007</v>
      </c>
    </row>
    <row r="22" spans="1:13" ht="16">
      <c r="A22" s="111">
        <v>4</v>
      </c>
      <c r="B22" s="117">
        <f>IF('Pulje 4'!D17="","",'Pulje 4'!D17)</f>
        <v>75.45</v>
      </c>
      <c r="C22" s="112" t="str">
        <f>IF('Pulje 4'!E17="","",'Pulje 4'!E17)</f>
        <v>JK</v>
      </c>
      <c r="D22" s="112" t="str">
        <f>IF('Pulje 4'!F17="","",'Pulje 4'!F17)</f>
        <v>19-23</v>
      </c>
      <c r="E22" s="113">
        <f>IF('Pulje 4'!G17="","",'Pulje 4'!G17)</f>
        <v>38610</v>
      </c>
      <c r="F22" s="114" t="str">
        <f>IF('Pulje 4'!I17="","",'Pulje 4'!I17)</f>
        <v>Trine Endestad Hellevang</v>
      </c>
      <c r="G22" s="114" t="str">
        <f>IF('Pulje 4'!J17="","",'Pulje 4'!J17)</f>
        <v>Tambarskjelvar IL</v>
      </c>
      <c r="H22" s="116">
        <f>IF('Pulje 4'!Q17="","",'Pulje 4'!Q17)</f>
        <v>70</v>
      </c>
      <c r="I22" s="116">
        <f>IF('Pulje 4'!R17="","",'Pulje 4'!R17)</f>
        <v>90</v>
      </c>
      <c r="J22" s="117">
        <f>IF('Pulje 4'!V17="","",'Pulje 4'!V17)</f>
        <v>6.75</v>
      </c>
      <c r="K22" s="117">
        <f>IF('Pulje 4'!W17="","",'Pulje 4'!W17)</f>
        <v>12.5</v>
      </c>
      <c r="L22" s="117">
        <f>IF('Pulje 4'!X17="","",'Pulje 4'!X17)</f>
        <v>7.8</v>
      </c>
      <c r="M22" s="117">
        <f>IF('Pulje 4'!Z18="","",'Pulje 4'!Z18)</f>
        <v>616.49851054177986</v>
      </c>
    </row>
    <row r="23" spans="1:13" ht="16">
      <c r="A23" s="111">
        <v>5</v>
      </c>
      <c r="B23" s="117">
        <f>IF('Pulje 4'!D25="","",'Pulje 4'!D25)</f>
        <v>78.73</v>
      </c>
      <c r="C23" s="112" t="str">
        <f>IF('Pulje 4'!E25="","",'Pulje 4'!E25)</f>
        <v>JK</v>
      </c>
      <c r="D23" s="112" t="str">
        <f>IF('Pulje 4'!F25="","",'Pulje 4'!F25)</f>
        <v>19-23</v>
      </c>
      <c r="E23" s="113">
        <f>IF('Pulje 4'!G25="","",'Pulje 4'!G25)</f>
        <v>38599</v>
      </c>
      <c r="F23" s="114" t="str">
        <f>IF('Pulje 4'!I25="","",'Pulje 4'!I25)</f>
        <v>Malin Amundsen</v>
      </c>
      <c r="G23" s="114" t="str">
        <f>IF('Pulje 4'!J25="","",'Pulje 4'!J25)</f>
        <v>AK Bjørgvin</v>
      </c>
      <c r="H23" s="116">
        <f>IF('Pulje 4'!Q25="","",'Pulje 4'!Q25)</f>
        <v>82</v>
      </c>
      <c r="I23" s="116">
        <f>IF('Pulje 4'!R25="","",'Pulje 4'!R25)</f>
        <v>104</v>
      </c>
      <c r="J23" s="117">
        <f>IF('Pulje 4'!V25="","",'Pulje 4'!V25)</f>
        <v>5.9</v>
      </c>
      <c r="K23" s="117">
        <f>IF('Pulje 4'!W25="","",'Pulje 4'!W25)</f>
        <v>11.3</v>
      </c>
      <c r="L23" s="117">
        <f>IF('Pulje 4'!X25="","",'Pulje 4'!X25)</f>
        <v>8.1999999999999993</v>
      </c>
      <c r="M23" s="117">
        <f>IF('Pulje 4'!Z26="","",'Pulje 4'!Z26)</f>
        <v>595.83301936392161</v>
      </c>
    </row>
    <row r="24" spans="1:13" ht="16">
      <c r="A24" s="111">
        <v>6</v>
      </c>
      <c r="B24" s="117">
        <f>IF('Pulje 4'!D19="","",'Pulje 4'!D19)</f>
        <v>74.55</v>
      </c>
      <c r="C24" s="112" t="str">
        <f>IF('Pulje 4'!E19="","",'Pulje 4'!E19)</f>
        <v>JK</v>
      </c>
      <c r="D24" s="112" t="str">
        <f>IF('Pulje 4'!F19="","",'Pulje 4'!F19)</f>
        <v>19-23</v>
      </c>
      <c r="E24" s="113">
        <f>IF('Pulje 4'!G19="","",'Pulje 4'!G19)</f>
        <v>38534</v>
      </c>
      <c r="F24" s="114" t="str">
        <f>IF('Pulje 4'!I19="","",'Pulje 4'!I19)</f>
        <v>Mathilde Loy Enger</v>
      </c>
      <c r="G24" s="114" t="str">
        <f>IF('Pulje 4'!J19="","",'Pulje 4'!J19)</f>
        <v>AK Bjørgvin</v>
      </c>
      <c r="H24" s="116">
        <f>IF('Pulje 4'!Q19="","",'Pulje 4'!Q19)</f>
        <v>74</v>
      </c>
      <c r="I24" s="116">
        <f>IF('Pulje 4'!R19="","",'Pulje 4'!R19)</f>
        <v>95</v>
      </c>
      <c r="J24" s="117">
        <f>IF('Pulje 4'!V19="","",'Pulje 4'!V19)</f>
        <v>6</v>
      </c>
      <c r="K24" s="117">
        <f>IF('Pulje 4'!W19="","",'Pulje 4'!W19)</f>
        <v>9</v>
      </c>
      <c r="L24" s="117">
        <f>IF('Pulje 4'!X19="","",'Pulje 4'!X19)</f>
        <v>7.8</v>
      </c>
      <c r="M24" s="117">
        <f>IF('Pulje 4'!Z20="","",'Pulje 4'!Z20)</f>
        <v>570.36630635899701</v>
      </c>
    </row>
    <row r="25" spans="1:13" ht="16">
      <c r="A25" s="111">
        <v>7</v>
      </c>
      <c r="B25" s="117">
        <f>IF('Pulje 4'!D9="","",'Pulje 4'!D9)</f>
        <v>51.87</v>
      </c>
      <c r="C25" s="112" t="str">
        <f>IF('Pulje 4'!E9="","",'Pulje 4'!E9)</f>
        <v>SK</v>
      </c>
      <c r="D25" s="112" t="str">
        <f>IF('Pulje 4'!F9="","",'Pulje 4'!F9)</f>
        <v>19-23</v>
      </c>
      <c r="E25" s="113">
        <f>IF('Pulje 4'!G9="","",'Pulje 4'!G9)</f>
        <v>37301</v>
      </c>
      <c r="F25" s="114" t="str">
        <f>IF('Pulje 4'!I9="","",'Pulje 4'!I9)</f>
        <v>Maria Sæterstøl</v>
      </c>
      <c r="G25" s="114" t="str">
        <f>IF('Pulje 4'!J9="","",'Pulje 4'!J9)</f>
        <v>AK Bjørgvin</v>
      </c>
      <c r="H25" s="116">
        <f>IF('Pulje 4'!Q9="","",'Pulje 4'!Q9)</f>
        <v>40</v>
      </c>
      <c r="I25" s="116">
        <f>IF('Pulje 4'!R9="","",'Pulje 4'!R9)</f>
        <v>53</v>
      </c>
      <c r="J25" s="117">
        <f>IF('Pulje 4'!V9="","",'Pulje 4'!V9)</f>
        <v>6.1</v>
      </c>
      <c r="K25" s="117">
        <f>IF('Pulje 4'!W9="","",'Pulje 4'!W9)</f>
        <v>8.9</v>
      </c>
      <c r="L25" s="117">
        <f>IF('Pulje 4'!X9="","",'Pulje 4'!X9)</f>
        <v>7.3</v>
      </c>
      <c r="M25" s="117">
        <f>IF('Pulje 4'!Z10="","",'Pulje 4'!Z10)</f>
        <v>550.50152574536014</v>
      </c>
    </row>
    <row r="26" spans="1:13" ht="16">
      <c r="A26" s="111" t="s">
        <v>13</v>
      </c>
      <c r="B26" s="117">
        <f>IF('Pulje 4'!D21="","",'Pulje 4'!D21)</f>
        <v>74.47</v>
      </c>
      <c r="C26" s="112" t="str">
        <f>IF('Pulje 4'!E21="","",'Pulje 4'!E21)</f>
        <v>SK</v>
      </c>
      <c r="D26" s="112" t="str">
        <f>IF('Pulje 4'!F21="","",'Pulje 4'!F21)</f>
        <v>19-23</v>
      </c>
      <c r="E26" s="113">
        <f>IF('Pulje 4'!G21="","",'Pulje 4'!G21)</f>
        <v>38060</v>
      </c>
      <c r="F26" s="114" t="str">
        <f>IF('Pulje 4'!I21="","",'Pulje 4'!I21)</f>
        <v>Tine Rognaldsen Pedersen</v>
      </c>
      <c r="G26" s="114" t="str">
        <f>IF('Pulje 4'!J21="","",'Pulje 4'!J21)</f>
        <v>Tambarskjelvar IL</v>
      </c>
      <c r="H26" s="116">
        <f>IF('Pulje 4'!Q21="","",'Pulje 4'!Q21)</f>
        <v>84</v>
      </c>
      <c r="I26" s="116">
        <f>IF('Pulje 4'!R21="","",'Pulje 4'!R21)</f>
        <v>108</v>
      </c>
      <c r="J26" s="117" t="str">
        <f>IF('Pulje 4'!V21="","",'Pulje 4'!V21)</f>
        <v/>
      </c>
      <c r="K26" s="117" t="str">
        <f>IF('Pulje 4'!W21="","",'Pulje 4'!W21)</f>
        <v/>
      </c>
      <c r="L26" s="117" t="str">
        <f>IF('Pulje 4'!X21="","",'Pulje 4'!X21)</f>
        <v/>
      </c>
      <c r="M26" s="117" t="str">
        <f>IF('Pulje 4'!Z22="","",'Pulje 4'!Z22)</f>
        <v/>
      </c>
    </row>
    <row r="27" spans="1:13" s="10" customFormat="1" ht="16">
      <c r="A27" s="111"/>
      <c r="B27" s="117"/>
      <c r="C27" s="112"/>
      <c r="D27" s="112"/>
      <c r="E27" s="113"/>
      <c r="F27" s="114"/>
      <c r="G27" s="114"/>
      <c r="H27" s="116"/>
      <c r="I27" s="116"/>
      <c r="J27" s="117"/>
      <c r="K27" s="117"/>
      <c r="L27" s="117"/>
      <c r="M27" s="117"/>
    </row>
    <row r="28" spans="1:13" s="10" customFormat="1" ht="16">
      <c r="A28" s="111">
        <v>1</v>
      </c>
      <c r="B28" s="117">
        <f>IF('Pulje 1'!D13="","",'Pulje 1'!D13)</f>
        <v>69.069999999999993</v>
      </c>
      <c r="C28" s="112" t="str">
        <f>IF('Pulje 1'!E13="","",'Pulje 1'!E13)</f>
        <v>SK</v>
      </c>
      <c r="D28" s="112" t="str">
        <f>IF('Pulje 1'!F13="","",'Pulje 1'!F13)</f>
        <v>24-34</v>
      </c>
      <c r="E28" s="113">
        <f>IF('Pulje 1'!G13="","",'Pulje 1'!G13)</f>
        <v>33707</v>
      </c>
      <c r="F28" s="114" t="str">
        <f>IF('Pulje 1'!I13="","",'Pulje 1'!I13)</f>
        <v>Caroline Røsbø</v>
      </c>
      <c r="G28" s="114" t="str">
        <f>IF('Pulje 1'!J13="","",'Pulje 1'!J13)</f>
        <v>AK Bjørgvin</v>
      </c>
      <c r="H28" s="116">
        <f>IF('Pulje 1'!Q13="","",'Pulje 1'!Q13)</f>
        <v>69</v>
      </c>
      <c r="I28" s="116">
        <f>IF('Pulje 1'!R13="","",'Pulje 1'!R13)</f>
        <v>85</v>
      </c>
      <c r="J28" s="117">
        <f>IF('Pulje 1'!V13="","",'Pulje 1'!V13)</f>
        <v>7.07</v>
      </c>
      <c r="K28" s="117">
        <f>IF('Pulje 1'!W13="","",'Pulje 1'!W13)</f>
        <v>11.9</v>
      </c>
      <c r="L28" s="117">
        <f>IF('Pulje 1'!X13="","",'Pulje 1'!X13)</f>
        <v>7.2</v>
      </c>
      <c r="M28" s="117">
        <f>IF('Pulje 1'!Z14="","",'Pulje 1'!Z14)</f>
        <v>649.51954684719567</v>
      </c>
    </row>
    <row r="29" spans="1:13" s="10" customFormat="1" ht="16">
      <c r="A29" s="111">
        <v>2</v>
      </c>
      <c r="B29" s="117">
        <f>IF('Pulje 1'!D9="","",'Pulje 1'!D9)</f>
        <v>70.91</v>
      </c>
      <c r="C29" s="112" t="str">
        <f>IF('Pulje 1'!E9="","",'Pulje 1'!E9)</f>
        <v>SK</v>
      </c>
      <c r="D29" s="112" t="str">
        <f>IF('Pulje 1'!F9="","",'Pulje 1'!F9)</f>
        <v>24-34</v>
      </c>
      <c r="E29" s="113">
        <f>IF('Pulje 1'!G9="","",'Pulje 1'!G9)</f>
        <v>36614</v>
      </c>
      <c r="F29" s="114" t="str">
        <f>IF('Pulje 1'!I9="","",'Pulje 1'!I9)</f>
        <v>Lilly Småland</v>
      </c>
      <c r="G29" s="114" t="str">
        <f>IF('Pulje 1'!J9="","",'Pulje 1'!J9)</f>
        <v>AK Bjørgvin</v>
      </c>
      <c r="H29" s="116">
        <f>IF('Pulje 1'!Q9="","",'Pulje 1'!Q9)</f>
        <v>69</v>
      </c>
      <c r="I29" s="116">
        <f>IF('Pulje 1'!R9="","",'Pulje 1'!R9)</f>
        <v>88</v>
      </c>
      <c r="J29" s="117">
        <f>IF('Pulje 1'!V9="","",'Pulje 1'!V9)</f>
        <v>6.75</v>
      </c>
      <c r="K29" s="117">
        <f>IF('Pulje 1'!W9="","",'Pulje 1'!W9)</f>
        <v>11.6</v>
      </c>
      <c r="L29" s="117">
        <f>IF('Pulje 1'!X9="","",'Pulje 1'!X9)</f>
        <v>7.5</v>
      </c>
      <c r="M29" s="117">
        <f>IF('Pulje 1'!Z10="","",'Pulje 1'!Z10)</f>
        <v>625.42248375123791</v>
      </c>
    </row>
    <row r="30" spans="1:13" s="10" customFormat="1" ht="16">
      <c r="A30" s="111">
        <v>3</v>
      </c>
      <c r="B30" s="117">
        <f>IF('Pulje 1'!D11="","",'Pulje 1'!D11)</f>
        <v>76.25</v>
      </c>
      <c r="C30" s="112" t="str">
        <f>IF('Pulje 1'!E11="","",'Pulje 1'!E11)</f>
        <v>SK</v>
      </c>
      <c r="D30" s="112" t="str">
        <f>IF('Pulje 1'!F11="","",'Pulje 1'!F11)</f>
        <v>24-34</v>
      </c>
      <c r="E30" s="113">
        <f>IF('Pulje 1'!G11="","",'Pulje 1'!G11)</f>
        <v>35145</v>
      </c>
      <c r="F30" s="114" t="str">
        <f>IF('Pulje 1'!I11="","",'Pulje 1'!I11)</f>
        <v>Kaia Arnøy Høyheim</v>
      </c>
      <c r="G30" s="114" t="str">
        <f>IF('Pulje 1'!J11="","",'Pulje 1'!J11)</f>
        <v>AK Bjørgvin</v>
      </c>
      <c r="H30" s="116">
        <f>IF('Pulje 1'!Q11="","",'Pulje 1'!Q11)</f>
        <v>64</v>
      </c>
      <c r="I30" s="116">
        <f>IF('Pulje 1'!R11="","",'Pulje 1'!R11)</f>
        <v>82</v>
      </c>
      <c r="J30" s="117">
        <f>IF('Pulje 1'!V11="","",'Pulje 1'!V11)</f>
        <v>6.68</v>
      </c>
      <c r="K30" s="117">
        <f>IF('Pulje 1'!W11="","",'Pulje 1'!W11)</f>
        <v>11.6</v>
      </c>
      <c r="L30" s="117">
        <f>IF('Pulje 1'!X11="","",'Pulje 1'!X11)</f>
        <v>7.7</v>
      </c>
      <c r="M30" s="117">
        <f>IF('Pulje 1'!Z12="","",'Pulje 1'!Z12)</f>
        <v>585.22083705070395</v>
      </c>
    </row>
    <row r="31" spans="1:13" s="10" customFormat="1" ht="16">
      <c r="A31" s="111"/>
      <c r="B31" s="117"/>
      <c r="C31" s="112"/>
      <c r="D31" s="112"/>
      <c r="E31" s="113"/>
      <c r="F31" s="114"/>
      <c r="G31" s="114"/>
      <c r="H31" s="116"/>
      <c r="I31" s="116"/>
      <c r="J31" s="117"/>
      <c r="K31" s="117"/>
      <c r="L31" s="117"/>
      <c r="M31" s="117"/>
    </row>
    <row r="32" spans="1:13" s="10" customFormat="1" ht="16">
      <c r="A32" s="111">
        <v>1</v>
      </c>
      <c r="B32" s="117">
        <f>IF('Pulje 1'!D15="","",'Pulje 1'!D15)</f>
        <v>63.91</v>
      </c>
      <c r="C32" s="112" t="str">
        <f>IF('Pulje 1'!E15="","",'Pulje 1'!E15)</f>
        <v>K35</v>
      </c>
      <c r="D32" s="112" t="str">
        <f>IF('Pulje 1'!F15="","",'Pulje 1'!F15)</f>
        <v>+35</v>
      </c>
      <c r="E32" s="113">
        <f>IF('Pulje 1'!G15="","",'Pulje 1'!G15)</f>
        <v>33166</v>
      </c>
      <c r="F32" s="114" t="str">
        <f>IF('Pulje 1'!I15="","",'Pulje 1'!I15)</f>
        <v>Iselin Hatlenes</v>
      </c>
      <c r="G32" s="114" t="str">
        <f>IF('Pulje 1'!J15="","",'Pulje 1'!J15)</f>
        <v>AK Bjørgvin</v>
      </c>
      <c r="H32" s="116">
        <f>IF('Pulje 1'!Q15="","",'Pulje 1'!Q15)</f>
        <v>70</v>
      </c>
      <c r="I32" s="116">
        <f>IF('Pulje 1'!R15="","",'Pulje 1'!R15)</f>
        <v>84</v>
      </c>
      <c r="J32" s="117">
        <f>IF('Pulje 1'!V15="","",'Pulje 1'!V15)</f>
        <v>6.77</v>
      </c>
      <c r="K32" s="117">
        <f>IF('Pulje 1'!W15="","",'Pulje 1'!W15)</f>
        <v>12.7</v>
      </c>
      <c r="L32" s="117">
        <f>IF('Pulje 1'!X15="","",'Pulje 1'!X15)</f>
        <v>7.1</v>
      </c>
      <c r="M32" s="117">
        <f>IF('Pulje 1'!Z16="","",'Pulje 1'!Z16)</f>
        <v>727.51092274275629</v>
      </c>
    </row>
    <row r="33" spans="1:13" s="10" customFormat="1" ht="16">
      <c r="A33" s="111"/>
      <c r="B33" s="117">
        <f>IF('Pulje 1'!D17="","",'Pulje 1'!D17)</f>
        <v>82.35</v>
      </c>
      <c r="C33" s="112" t="str">
        <f>IF('Pulje 1'!E17="","",'Pulje 1'!E17)</f>
        <v>K45</v>
      </c>
      <c r="D33" s="112" t="str">
        <f>IF('Pulje 1'!F17="","",'Pulje 1'!F17)</f>
        <v>+35</v>
      </c>
      <c r="E33" s="113">
        <f>IF('Pulje 1'!G17="","",'Pulje 1'!G17)</f>
        <v>29367</v>
      </c>
      <c r="F33" s="114" t="str">
        <f>IF('Pulje 1'!I17="","",'Pulje 1'!I17)</f>
        <v>Ingeborg Endresen</v>
      </c>
      <c r="G33" s="114" t="str">
        <f>IF('Pulje 1'!J17="","",'Pulje 1'!J17)</f>
        <v>AK Bjørgvin</v>
      </c>
      <c r="H33" s="116">
        <f>IF('Pulje 1'!Q17="","",'Pulje 1'!Q17)</f>
        <v>50</v>
      </c>
      <c r="I33" s="116">
        <f>IF('Pulje 1'!R17="","",'Pulje 1'!R17)</f>
        <v>61</v>
      </c>
      <c r="J33" s="117" t="str">
        <f>IF('Pulje 1'!V17="","",'Pulje 1'!V17)</f>
        <v/>
      </c>
      <c r="K33" s="117" t="str">
        <f>IF('Pulje 1'!W17="","",'Pulje 1'!W17)</f>
        <v/>
      </c>
      <c r="L33" s="117" t="str">
        <f>IF('Pulje 1'!X17="","",'Pulje 1'!X17)</f>
        <v/>
      </c>
      <c r="M33" s="117" t="e">
        <f>IF('Pulje 1'!Z18="","",'Pulje 1'!Z18)</f>
        <v>#VALUE!</v>
      </c>
    </row>
    <row r="34" spans="1:13" s="10" customFormat="1" ht="16">
      <c r="A34" s="111"/>
      <c r="B34" s="117">
        <f>IF('Pulje 1'!D19="","",'Pulje 1'!D19)</f>
        <v>63.69</v>
      </c>
      <c r="C34" s="112" t="str">
        <f>IF('Pulje 1'!E19="","",'Pulje 1'!E19)</f>
        <v>K55</v>
      </c>
      <c r="D34" s="112" t="str">
        <f>IF('Pulje 1'!F19="","",'Pulje 1'!F19)</f>
        <v>+35</v>
      </c>
      <c r="E34" s="113">
        <f>IF('Pulje 1'!G19="","",'Pulje 1'!G19)</f>
        <v>25929</v>
      </c>
      <c r="F34" s="114" t="str">
        <f>IF('Pulje 1'!I19="","",'Pulje 1'!I19)</f>
        <v>Line Søfteland</v>
      </c>
      <c r="G34" s="114" t="str">
        <f>IF('Pulje 1'!J19="","",'Pulje 1'!J19)</f>
        <v>AK Bjørgvin</v>
      </c>
      <c r="H34" s="116">
        <f>IF('Pulje 1'!Q19="","",'Pulje 1'!Q19)</f>
        <v>43</v>
      </c>
      <c r="I34" s="116">
        <f>IF('Pulje 1'!R19="","",'Pulje 1'!R19)</f>
        <v>56</v>
      </c>
      <c r="J34" s="117" t="str">
        <f>IF('Pulje 1'!V19="","",'Pulje 1'!V19)</f>
        <v/>
      </c>
      <c r="K34" s="117" t="str">
        <f>IF('Pulje 1'!W19="","",'Pulje 1'!W19)</f>
        <v/>
      </c>
      <c r="L34" s="117" t="str">
        <f>IF('Pulje 1'!X19="","",'Pulje 1'!X19)</f>
        <v/>
      </c>
      <c r="M34" s="117" t="e">
        <f>IF('Pulje 1'!Z20="","",'Pulje 1'!Z20)</f>
        <v>#VALUE!</v>
      </c>
    </row>
    <row r="35" spans="1:13" s="10" customFormat="1" ht="16">
      <c r="A35" s="111"/>
      <c r="B35" s="117" t="str">
        <f>IF('Pulje 1'!D31="","",'Pulje 1'!D31)</f>
        <v/>
      </c>
      <c r="C35" s="112" t="str">
        <f>IF('Pulje 1'!E31="","",'Pulje 1'!E31)</f>
        <v/>
      </c>
      <c r="D35" s="112" t="str">
        <f>IF('Pulje 1'!F31="","",'Pulje 1'!F31)</f>
        <v/>
      </c>
      <c r="E35" s="113" t="str">
        <f>IF('Pulje 1'!G31="","",'Pulje 1'!G31)</f>
        <v/>
      </c>
      <c r="F35" s="114" t="str">
        <f>IF('Pulje 1'!I31="","",'Pulje 1'!I31)</f>
        <v/>
      </c>
      <c r="G35" s="114" t="str">
        <f>IF('Pulje 1'!J31="","",'Pulje 1'!J31)</f>
        <v/>
      </c>
      <c r="H35" s="116" t="str">
        <f>IF('Pulje 1'!Q31="","",'Pulje 1'!Q31)</f>
        <v/>
      </c>
      <c r="I35" s="116" t="str">
        <f>IF('Pulje 1'!R31="","",'Pulje 1'!R31)</f>
        <v/>
      </c>
      <c r="J35" s="117" t="str">
        <f>IF('Pulje 1'!V31="","",'Pulje 1'!V31)</f>
        <v/>
      </c>
      <c r="K35" s="117" t="str">
        <f>IF('Pulje 1'!W31="","",'Pulje 1'!W31)</f>
        <v/>
      </c>
      <c r="L35" s="117" t="str">
        <f>IF('Pulje 1'!X31="","",'Pulje 1'!X31)</f>
        <v/>
      </c>
      <c r="M35" s="117" t="str">
        <f>IF('Pulje 1'!Z32="","",'Pulje 1'!Z32)</f>
        <v/>
      </c>
    </row>
    <row r="36" spans="1:13" ht="8" customHeight="1"/>
    <row r="37" spans="1:13" ht="21" thickBot="1">
      <c r="A37" s="306" t="s">
        <v>40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8"/>
    </row>
    <row r="38" spans="1:13" ht="8" customHeight="1"/>
    <row r="39" spans="1:13" ht="16">
      <c r="A39" s="111">
        <v>1</v>
      </c>
      <c r="B39" s="117">
        <f>IF('Pulje 3'!D11="","",'Pulje 3'!D11)</f>
        <v>51.35</v>
      </c>
      <c r="C39" s="112" t="str">
        <f>IF('Pulje 3'!E11="","",'Pulje 3'!E11)</f>
        <v>UM</v>
      </c>
      <c r="D39" s="112" t="str">
        <f>IF('Pulje 3'!F11="","",'Pulje 3'!F11)</f>
        <v>11-12</v>
      </c>
      <c r="E39" s="113">
        <f>IF('Pulje 3'!G11="","",'Pulje 3'!G11)</f>
        <v>41616</v>
      </c>
      <c r="F39" s="114" t="str">
        <f>IF('Pulje 3'!I11="","",'Pulje 3'!I11)</f>
        <v>Ådne Rydland Kalstveit</v>
      </c>
      <c r="G39" s="114" t="str">
        <f>IF('Pulje 3'!J11="","",'Pulje 3'!J11)</f>
        <v>AK Bjørgvin</v>
      </c>
      <c r="H39" s="116">
        <f>IF('Pulje 3'!Q11="","",'Pulje 3'!Q11)</f>
        <v>14</v>
      </c>
      <c r="I39" s="116">
        <f>IF('Pulje 3'!R11="","",'Pulje 3'!R11)</f>
        <v>19</v>
      </c>
      <c r="J39" s="117">
        <f>IF('Pulje 3'!V11="","",'Pulje 3'!V11)</f>
        <v>4.63</v>
      </c>
      <c r="K39" s="117">
        <f>IF('Pulje 3'!W11="","",'Pulje 3'!W11)</f>
        <v>6.24</v>
      </c>
      <c r="L39" s="117">
        <f>IF('Pulje 3'!X11="","",'Pulje 3'!X11)</f>
        <v>8.9</v>
      </c>
      <c r="M39" s="117">
        <f>IF('Pulje 3'!Z12="","",'Pulje 3'!Z12)</f>
        <v>313.90303711253517</v>
      </c>
    </row>
    <row r="40" spans="1:13" ht="16">
      <c r="A40" s="111"/>
      <c r="B40" s="117">
        <f>IF('Pulje 3'!D13="","",'Pulje 3'!D13)</f>
        <v>53.4</v>
      </c>
      <c r="C40" s="112" t="str">
        <f>IF('Pulje 3'!E13="","",'Pulje 3'!E13)</f>
        <v>UM</v>
      </c>
      <c r="D40" s="112" t="str">
        <f>IF('Pulje 3'!F13="","",'Pulje 3'!F13)</f>
        <v>11-12</v>
      </c>
      <c r="E40" s="113">
        <f>IF('Pulje 3'!G13="","",'Pulje 3'!G13)</f>
        <v>41632</v>
      </c>
      <c r="F40" s="114" t="str">
        <f>IF('Pulje 3'!I13="","",'Pulje 3'!I13)</f>
        <v>Gard Røsjø-Magnusson</v>
      </c>
      <c r="G40" s="114" t="str">
        <f>IF('Pulje 3'!J13="","",'Pulje 3'!J13)</f>
        <v>AK Bjørgvin</v>
      </c>
      <c r="H40" s="116">
        <f>IF('Pulje 3'!Q13="","",'Pulje 3'!Q13)</f>
        <v>16</v>
      </c>
      <c r="I40" s="116">
        <f>IF('Pulje 3'!R13="","",'Pulje 3'!R13)</f>
        <v>20</v>
      </c>
      <c r="J40" s="117" t="str">
        <f>IF('Pulje 3'!V13="","",'Pulje 3'!V13)</f>
        <v/>
      </c>
      <c r="K40" s="117" t="str">
        <f>IF('Pulje 3'!W13="","",'Pulje 3'!W13)</f>
        <v/>
      </c>
      <c r="L40" s="117" t="str">
        <f>IF('Pulje 3'!X13="","",'Pulje 3'!X13)</f>
        <v/>
      </c>
      <c r="M40" s="117" t="str">
        <f>IF('Pulje 3'!Z14="","",'Pulje 3'!Z14)</f>
        <v/>
      </c>
    </row>
    <row r="41" spans="1:13" ht="16">
      <c r="A41" s="111"/>
      <c r="B41" s="117"/>
      <c r="C41" s="112"/>
      <c r="D41" s="112"/>
      <c r="E41" s="113"/>
      <c r="F41" s="114"/>
      <c r="G41" s="114"/>
      <c r="H41" s="116"/>
      <c r="I41" s="116"/>
      <c r="J41" s="117"/>
      <c r="K41" s="117"/>
      <c r="L41" s="117"/>
      <c r="M41" s="117"/>
    </row>
    <row r="42" spans="1:13" ht="16">
      <c r="A42" s="111">
        <v>1</v>
      </c>
      <c r="B42" s="117">
        <f>IF('Pulje 3'!D19="","",'Pulje 3'!D19)</f>
        <v>54.14</v>
      </c>
      <c r="C42" s="112" t="str">
        <f>IF('Pulje 3'!E19="","",'Pulje 3'!E19)</f>
        <v>UM</v>
      </c>
      <c r="D42" s="112" t="str">
        <f>IF('Pulje 3'!F19="","",'Pulje 3'!F19)</f>
        <v>13-14</v>
      </c>
      <c r="E42" s="113">
        <f>IF('Pulje 3'!G19="","",'Pulje 3'!G19)</f>
        <v>40634</v>
      </c>
      <c r="F42" s="114" t="str">
        <f>IF('Pulje 3'!I19="","",'Pulje 3'!I19)</f>
        <v>Jardar Øvrebø-Feldt</v>
      </c>
      <c r="G42" s="114" t="str">
        <f>IF('Pulje 3'!J19="","",'Pulje 3'!J19)</f>
        <v>Breimsbygda IL</v>
      </c>
      <c r="H42" s="116">
        <f>IF('Pulje 3'!Q19="","",'Pulje 3'!Q19)</f>
        <v>38</v>
      </c>
      <c r="I42" s="116">
        <f>IF('Pulje 3'!R19="","",'Pulje 3'!R19)</f>
        <v>42</v>
      </c>
      <c r="J42" s="117">
        <f>IF('Pulje 3'!V19="","",'Pulje 3'!V19)</f>
        <v>6.71</v>
      </c>
      <c r="K42" s="117">
        <f>IF('Pulje 3'!W19="","",'Pulje 3'!W19)</f>
        <v>9.25</v>
      </c>
      <c r="L42" s="117">
        <f>IF('Pulje 3'!X19="","",'Pulje 3'!X19)</f>
        <v>7.5</v>
      </c>
      <c r="M42" s="117">
        <f>IF('Pulje 3'!Z20="","",'Pulje 3'!Z20)</f>
        <v>548.00823492228574</v>
      </c>
    </row>
    <row r="43" spans="1:13" ht="16">
      <c r="A43" s="111">
        <v>2</v>
      </c>
      <c r="B43" s="117">
        <f>IF('Pulje 3'!D17="","",'Pulje 3'!D17)</f>
        <v>57.7</v>
      </c>
      <c r="C43" s="112" t="str">
        <f>IF('Pulje 3'!E17="","",'Pulje 3'!E17)</f>
        <v>UM</v>
      </c>
      <c r="D43" s="112" t="str">
        <f>IF('Pulje 3'!F17="","",'Pulje 3'!F17)</f>
        <v>13-14</v>
      </c>
      <c r="E43" s="113">
        <f>IF('Pulje 3'!G17="","",'Pulje 3'!G17)</f>
        <v>41187</v>
      </c>
      <c r="F43" s="114" t="str">
        <f>IF('Pulje 3'!I17="","",'Pulje 3'!I17)</f>
        <v>Anton Rivera</v>
      </c>
      <c r="G43" s="114" t="str">
        <f>IF('Pulje 3'!J17="","",'Pulje 3'!J17)</f>
        <v>AK Bjørgvin</v>
      </c>
      <c r="H43" s="116">
        <f>IF('Pulje 3'!Q17="","",'Pulje 3'!Q17)</f>
        <v>24</v>
      </c>
      <c r="I43" s="116">
        <f>IF('Pulje 3'!R17="","",'Pulje 3'!R17)</f>
        <v>36</v>
      </c>
      <c r="J43" s="117">
        <f>IF('Pulje 3'!V17="","",'Pulje 3'!V17)</f>
        <v>6.15</v>
      </c>
      <c r="K43" s="117">
        <f>IF('Pulje 3'!W17="","",'Pulje 3'!W17)</f>
        <v>6.94</v>
      </c>
      <c r="L43" s="117">
        <f>IF('Pulje 3'!X17="","",'Pulje 3'!X17)</f>
        <v>7.9</v>
      </c>
      <c r="M43" s="117">
        <f>IF('Pulje 3'!Z18="","",'Pulje 3'!Z18)</f>
        <v>430.99081251286873</v>
      </c>
    </row>
    <row r="44" spans="1:13" ht="16">
      <c r="A44" s="111">
        <v>3</v>
      </c>
      <c r="B44" s="117">
        <f>IF('Pulje 3'!D15="","",'Pulje 3'!D15)</f>
        <v>38.04</v>
      </c>
      <c r="C44" s="112" t="str">
        <f>IF('Pulje 3'!E15="","",'Pulje 3'!E15)</f>
        <v>UM</v>
      </c>
      <c r="D44" s="112" t="str">
        <f>IF('Pulje 3'!F15="","",'Pulje 3'!F15)</f>
        <v>13-14</v>
      </c>
      <c r="E44" s="113">
        <f>IF('Pulje 3'!G15="","",'Pulje 3'!G15)</f>
        <v>41265</v>
      </c>
      <c r="F44" s="114" t="str">
        <f>IF('Pulje 3'!I15="","",'Pulje 3'!I15)</f>
        <v>Vinjar Kronen</v>
      </c>
      <c r="G44" s="114" t="str">
        <f>IF('Pulje 3'!J15="","",'Pulje 3'!J15)</f>
        <v>AK Bjørgvin</v>
      </c>
      <c r="H44" s="116">
        <f>IF('Pulje 3'!Q15="","",'Pulje 3'!Q15)</f>
        <v>16</v>
      </c>
      <c r="I44" s="116">
        <f>IF('Pulje 3'!R15="","",'Pulje 3'!R15)</f>
        <v>20</v>
      </c>
      <c r="J44" s="117">
        <f>IF('Pulje 3'!V15="","",'Pulje 3'!V15)</f>
        <v>5.0999999999999996</v>
      </c>
      <c r="K44" s="117">
        <f>IF('Pulje 3'!W15="","",'Pulje 3'!W15)</f>
        <v>4.5199999999999996</v>
      </c>
      <c r="L44" s="117">
        <f>IF('Pulje 3'!X15="","",'Pulje 3'!X15)</f>
        <v>9</v>
      </c>
      <c r="M44" s="117">
        <f>IF('Pulje 3'!Z16="","",'Pulje 3'!Z16)</f>
        <v>344.95631487700626</v>
      </c>
    </row>
    <row r="45" spans="1:13" ht="16">
      <c r="A45" s="111"/>
      <c r="B45" s="117"/>
      <c r="C45" s="112"/>
      <c r="D45" s="112"/>
      <c r="E45" s="113"/>
      <c r="F45" s="114"/>
      <c r="G45" s="114"/>
      <c r="H45" s="116"/>
      <c r="I45" s="116"/>
      <c r="J45" s="117"/>
      <c r="K45" s="117"/>
      <c r="L45" s="117"/>
      <c r="M45" s="117"/>
    </row>
    <row r="46" spans="1:13" ht="16">
      <c r="A46" s="111">
        <v>1</v>
      </c>
      <c r="B46" s="117">
        <f>IF('Pulje 3'!D25="","",'Pulje 3'!D25)</f>
        <v>152</v>
      </c>
      <c r="C46" s="112" t="str">
        <f>IF('Pulje 3'!E25="","",'Pulje 3'!E25)</f>
        <v>UM</v>
      </c>
      <c r="D46" s="112" t="str">
        <f>IF('Pulje 3'!F25="","",'Pulje 3'!F25)</f>
        <v>15-16</v>
      </c>
      <c r="E46" s="113">
        <f>IF('Pulje 3'!G25="","",'Pulje 3'!G25)</f>
        <v>40418</v>
      </c>
      <c r="F46" s="114" t="str">
        <f>IF('Pulje 3'!I25="","",'Pulje 3'!I25)</f>
        <v>Albert Jonas Midtbø-Figueroa</v>
      </c>
      <c r="G46" s="114" t="str">
        <f>IF('Pulje 3'!J25="","",'Pulje 3'!J25)</f>
        <v>Tambarskjelvar IL</v>
      </c>
      <c r="H46" s="116">
        <f>IF('Pulje 3'!Q25="","",'Pulje 3'!Q25)</f>
        <v>80</v>
      </c>
      <c r="I46" s="116">
        <f>IF('Pulje 3'!R25="","",'Pulje 3'!R25)</f>
        <v>100</v>
      </c>
      <c r="J46" s="117">
        <f>IF('Pulje 3'!V25="","",'Pulje 3'!V25)</f>
        <v>5.82</v>
      </c>
      <c r="K46" s="117">
        <f>IF('Pulje 3'!W25="","",'Pulje 3'!W25)</f>
        <v>12.11</v>
      </c>
      <c r="L46" s="117">
        <f>IF('Pulje 3'!X25="","",'Pulje 3'!X25)</f>
        <v>18.8</v>
      </c>
      <c r="M46" s="117">
        <f>IF('Pulje 3'!Z26="","",'Pulje 3'!Z26)</f>
        <v>459.75205665992735</v>
      </c>
    </row>
    <row r="47" spans="1:13" ht="16">
      <c r="A47" s="111"/>
      <c r="B47" s="117">
        <f>IF('Pulje 3'!D21="","",'Pulje 3'!D21)</f>
        <v>78.05</v>
      </c>
      <c r="C47" s="112" t="str">
        <f>IF('Pulje 3'!E21="","",'Pulje 3'!E21)</f>
        <v>UM</v>
      </c>
      <c r="D47" s="112" t="str">
        <f>IF('Pulje 3'!F21="","",'Pulje 3'!F21)</f>
        <v>15-16</v>
      </c>
      <c r="E47" s="113">
        <f>IF('Pulje 3'!G21="","",'Pulje 3'!G21)</f>
        <v>40263</v>
      </c>
      <c r="F47" s="114" t="str">
        <f>IF('Pulje 3'!I21="","",'Pulje 3'!I21)</f>
        <v>Lyder Slagstad Aamot</v>
      </c>
      <c r="G47" s="114" t="str">
        <f>IF('Pulje 3'!J21="","",'Pulje 3'!J21)</f>
        <v>Tambarskjelvar IL</v>
      </c>
      <c r="H47" s="116">
        <f>IF('Pulje 3'!Q21="","",'Pulje 3'!Q21)</f>
        <v>65</v>
      </c>
      <c r="I47" s="116" t="str">
        <f>IF('Pulje 3'!R21="","",'Pulje 3'!R21)</f>
        <v/>
      </c>
      <c r="J47" s="117">
        <f>IF('Pulje 3'!V21="","",'Pulje 3'!V21)</f>
        <v>7.84</v>
      </c>
      <c r="K47" s="117">
        <f>IF('Pulje 3'!W21="","",'Pulje 3'!W21)</f>
        <v>10</v>
      </c>
      <c r="L47" s="117">
        <f>IF('Pulje 3'!X21="","",'Pulje 3'!X21)</f>
        <v>6.9</v>
      </c>
      <c r="M47" s="117" t="str">
        <f>IF('Pulje 3'!Z22="","",'Pulje 3'!Z22)</f>
        <v/>
      </c>
    </row>
    <row r="48" spans="1:13" ht="16">
      <c r="A48" s="111"/>
      <c r="B48" s="117">
        <f>IF('Pulje 3'!D23="","",'Pulje 3'!D23)</f>
        <v>65.81</v>
      </c>
      <c r="C48" s="112" t="str">
        <f>IF('Pulje 3'!E23="","",'Pulje 3'!E23)</f>
        <v>UM</v>
      </c>
      <c r="D48" s="112" t="str">
        <f>IF('Pulje 3'!F23="","",'Pulje 3'!F23)</f>
        <v>15-16</v>
      </c>
      <c r="E48" s="113">
        <f>IF('Pulje 3'!G23="","",'Pulje 3'!G23)</f>
        <v>39932</v>
      </c>
      <c r="F48" s="114" t="str">
        <f>IF('Pulje 3'!I23="","",'Pulje 3'!I23)</f>
        <v>Andreas Kvame</v>
      </c>
      <c r="G48" s="114" t="str">
        <f>IF('Pulje 3'!J23="","",'Pulje 3'!J23)</f>
        <v>Tambarskjelvar IL</v>
      </c>
      <c r="H48" s="116">
        <f>IF('Pulje 3'!Q23="","",'Pulje 3'!Q23)</f>
        <v>60</v>
      </c>
      <c r="I48" s="116" t="str">
        <f>IF('Pulje 3'!R23="","",'Pulje 3'!R23)</f>
        <v/>
      </c>
      <c r="J48" s="117">
        <f>IF('Pulje 3'!V23="","",'Pulje 3'!V23)</f>
        <v>7.42</v>
      </c>
      <c r="K48" s="117">
        <f>IF('Pulje 3'!W23="","",'Pulje 3'!W23)</f>
        <v>9.1999999999999993</v>
      </c>
      <c r="L48" s="117">
        <f>IF('Pulje 3'!X23="","",'Pulje 3'!X23)</f>
        <v>7.1</v>
      </c>
      <c r="M48" s="117" t="str">
        <f>IF('Pulje 3'!Z24="","",'Pulje 3'!Z24)</f>
        <v/>
      </c>
    </row>
    <row r="49" spans="1:13" ht="16">
      <c r="A49" s="111"/>
      <c r="B49" s="117"/>
      <c r="C49" s="112"/>
      <c r="D49" s="112"/>
      <c r="E49" s="113"/>
      <c r="F49" s="114"/>
      <c r="G49" s="114"/>
      <c r="H49" s="116"/>
      <c r="I49" s="116"/>
      <c r="J49" s="117"/>
      <c r="K49" s="117"/>
      <c r="L49" s="117"/>
      <c r="M49" s="117"/>
    </row>
    <row r="50" spans="1:13" ht="16">
      <c r="A50" s="111">
        <v>1</v>
      </c>
      <c r="B50" s="117">
        <f>IF('Pulje 3'!D31="","",'Pulje 3'!D31)</f>
        <v>92.77</v>
      </c>
      <c r="C50" s="112" t="str">
        <f>IF('Pulje 3'!E31="","",'Pulje 3'!E31)</f>
        <v>UM</v>
      </c>
      <c r="D50" s="112" t="str">
        <f>IF('Pulje 3'!F31="","",'Pulje 3'!F31)</f>
        <v>17-18</v>
      </c>
      <c r="E50" s="113">
        <f>IF('Pulje 3'!G31="","",'Pulje 3'!G31)</f>
        <v>39760</v>
      </c>
      <c r="F50" s="114" t="str">
        <f>IF('Pulje 3'!I31="","",'Pulje 3'!I31)</f>
        <v>Nikolai K. Aadland</v>
      </c>
      <c r="G50" s="114" t="str">
        <f>IF('Pulje 3'!J31="","",'Pulje 3'!J31)</f>
        <v>AK Bjørgvin</v>
      </c>
      <c r="H50" s="116">
        <f>IF('Pulje 3'!Q31="","",'Pulje 3'!Q31)</f>
        <v>117</v>
      </c>
      <c r="I50" s="116">
        <f>IF('Pulje 3'!R31="","",'Pulje 3'!R31)</f>
        <v>151</v>
      </c>
      <c r="J50" s="117">
        <f>IF('Pulje 3'!V31="","",'Pulje 3'!V31)</f>
        <v>7.54</v>
      </c>
      <c r="K50" s="117">
        <f>IF('Pulje 3'!W31="","",'Pulje 3'!W31)</f>
        <v>10.8</v>
      </c>
      <c r="L50" s="117">
        <f>IF('Pulje 3'!X31="","",'Pulje 3'!X31)</f>
        <v>6.8</v>
      </c>
      <c r="M50" s="117">
        <f>IF('Pulje 3'!Z32="","",'Pulje 3'!Z32)</f>
        <v>787.9577494160244</v>
      </c>
    </row>
    <row r="51" spans="1:13" ht="16">
      <c r="A51" s="111">
        <v>2</v>
      </c>
      <c r="B51" s="117">
        <f>IF('Pulje 3'!D27="","",'Pulje 3'!D27)</f>
        <v>84.31</v>
      </c>
      <c r="C51" s="112" t="str">
        <f>IF('Pulje 3'!E27="","",'Pulje 3'!E27)</f>
        <v>UM</v>
      </c>
      <c r="D51" s="112" t="str">
        <f>IF('Pulje 3'!F27="","",'Pulje 3'!F27)</f>
        <v>17-18</v>
      </c>
      <c r="E51" s="113">
        <f>IF('Pulje 3'!G27="","",'Pulje 3'!G27)</f>
        <v>39679</v>
      </c>
      <c r="F51" s="114" t="str">
        <f>IF('Pulje 3'!I27="","",'Pulje 3'!I27)</f>
        <v>Olai Slagstad Aaamot</v>
      </c>
      <c r="G51" s="114" t="str">
        <f>IF('Pulje 3'!J27="","",'Pulje 3'!J27)</f>
        <v>Tambarskjelvar IL</v>
      </c>
      <c r="H51" s="116">
        <f>IF('Pulje 3'!Q27="","",'Pulje 3'!Q27)</f>
        <v>95</v>
      </c>
      <c r="I51" s="116">
        <f>IF('Pulje 3'!R27="","",'Pulje 3'!R27)</f>
        <v>123</v>
      </c>
      <c r="J51" s="117">
        <f>IF('Pulje 3'!V27="","",'Pulje 3'!V27)</f>
        <v>8.6</v>
      </c>
      <c r="K51" s="117">
        <f>IF('Pulje 3'!W27="","",'Pulje 3'!W27)</f>
        <v>10.26</v>
      </c>
      <c r="L51" s="117">
        <f>IF('Pulje 3'!X27="","",'Pulje 3'!X27)</f>
        <v>6.6</v>
      </c>
      <c r="M51" s="117">
        <f>IF('Pulje 3'!Z28="","",'Pulje 3'!Z28)</f>
        <v>760.43408722818151</v>
      </c>
    </row>
    <row r="52" spans="1:13" ht="16">
      <c r="A52" s="111">
        <v>3</v>
      </c>
      <c r="B52" s="117">
        <f>IF('Pulje 3'!D29="","",'Pulje 3'!D29)</f>
        <v>79.83</v>
      </c>
      <c r="C52" s="112" t="str">
        <f>IF('Pulje 3'!E29="","",'Pulje 3'!E29)</f>
        <v>UM</v>
      </c>
      <c r="D52" s="112" t="str">
        <f>IF('Pulje 3'!F29="","",'Pulje 3'!F29)</f>
        <v>17-18</v>
      </c>
      <c r="E52" s="113">
        <f>IF('Pulje 3'!G29="","",'Pulje 3'!G29)</f>
        <v>39541</v>
      </c>
      <c r="F52" s="114" t="str">
        <f>IF('Pulje 3'!I29="","",'Pulje 3'!I29)</f>
        <v>Andreas Kvamsås Savland</v>
      </c>
      <c r="G52" s="114" t="str">
        <f>IF('Pulje 3'!J29="","",'Pulje 3'!J29)</f>
        <v>Tambarskjelvar IL</v>
      </c>
      <c r="H52" s="116">
        <f>IF('Pulje 3'!Q29="","",'Pulje 3'!Q29)</f>
        <v>85</v>
      </c>
      <c r="I52" s="116">
        <f>IF('Pulje 3'!R29="","",'Pulje 3'!R29)</f>
        <v>95</v>
      </c>
      <c r="J52" s="117">
        <f>IF('Pulje 3'!V29="","",'Pulje 3'!V29)</f>
        <v>7.52</v>
      </c>
      <c r="K52" s="117">
        <f>IF('Pulje 3'!W29="","",'Pulje 3'!W29)</f>
        <v>9.39</v>
      </c>
      <c r="L52" s="117">
        <f>IF('Pulje 3'!X29="","",'Pulje 3'!X29)</f>
        <v>6.7</v>
      </c>
      <c r="M52" s="117">
        <f>IF('Pulje 3'!Z30="","",'Pulje 3'!Z30)</f>
        <v>678.87809618559459</v>
      </c>
    </row>
    <row r="53" spans="1:13" ht="16">
      <c r="A53" s="111"/>
      <c r="B53" s="117"/>
      <c r="C53" s="112"/>
      <c r="D53" s="112"/>
      <c r="E53" s="113"/>
      <c r="F53" s="114"/>
      <c r="G53" s="114"/>
      <c r="H53" s="116"/>
      <c r="I53" s="116"/>
      <c r="J53" s="117"/>
      <c r="K53" s="117"/>
      <c r="L53" s="117"/>
      <c r="M53" s="117"/>
    </row>
    <row r="54" spans="1:13" ht="16">
      <c r="A54" s="111">
        <v>1</v>
      </c>
      <c r="B54" s="117">
        <f>IF('Pulje 5'!D11="","",'Pulje 5'!D11)</f>
        <v>69.010000000000005</v>
      </c>
      <c r="C54" s="112" t="str">
        <f>IF('Pulje 5'!E11="","",'Pulje 5'!E11)</f>
        <v>JM</v>
      </c>
      <c r="D54" s="112" t="str">
        <f>IF('Pulje 5'!F11="","",'Pulje 5'!F11)</f>
        <v>19-23</v>
      </c>
      <c r="E54" s="113">
        <f>IF('Pulje 5'!G11="","",'Pulje 5'!G11)</f>
        <v>38922</v>
      </c>
      <c r="F54" s="114" t="str">
        <f>IF('Pulje 5'!I11="","",'Pulje 5'!I11)</f>
        <v>Aksel Lykkebø Svorstøl</v>
      </c>
      <c r="G54" s="114" t="str">
        <f>IF('Pulje 5'!J11="","",'Pulje 5'!J11)</f>
        <v>Tambarskjelvar IL</v>
      </c>
      <c r="H54" s="116">
        <f>IF('Pulje 5'!Q11="","",'Pulje 5'!Q11)</f>
        <v>93</v>
      </c>
      <c r="I54" s="116">
        <f>IF('Pulje 5'!R11="","",'Pulje 5'!R11)</f>
        <v>115</v>
      </c>
      <c r="J54" s="117">
        <f>IF('Pulje 5'!V11="","",'Pulje 5'!V11)</f>
        <v>7.75</v>
      </c>
      <c r="K54" s="117">
        <f>IF('Pulje 5'!W11="","",'Pulje 5'!W11)</f>
        <v>13</v>
      </c>
      <c r="L54" s="117">
        <f>IF('Pulje 5'!X11="","",'Pulje 5'!X11)</f>
        <v>6</v>
      </c>
      <c r="M54" s="117">
        <f>IF('Pulje 5'!Z12="","",'Pulje 5'!Z12)</f>
        <v>845.14697144276658</v>
      </c>
    </row>
    <row r="55" spans="1:13" ht="16">
      <c r="A55" s="111">
        <v>2</v>
      </c>
      <c r="B55" s="117">
        <f>IF('Pulje 5'!D13="","",'Pulje 5'!D13)</f>
        <v>92.89</v>
      </c>
      <c r="C55" s="112" t="str">
        <f>IF('Pulje 5'!E13="","",'Pulje 5'!E13)</f>
        <v>JM</v>
      </c>
      <c r="D55" s="112" t="str">
        <f>IF('Pulje 5'!F13="","",'Pulje 5'!F13)</f>
        <v>19-23</v>
      </c>
      <c r="E55" s="113">
        <f>IF('Pulje 5'!G13="","",'Pulje 5'!G13)</f>
        <v>38951</v>
      </c>
      <c r="F55" s="114" t="str">
        <f>IF('Pulje 5'!I13="","",'Pulje 5'!I13)</f>
        <v>Jakub Karol Kudyba</v>
      </c>
      <c r="G55" s="114" t="str">
        <f>IF('Pulje 5'!J13="","",'Pulje 5'!J13)</f>
        <v>Tambarskjelvar IL</v>
      </c>
      <c r="H55" s="116">
        <f>IF('Pulje 5'!Q13="","",'Pulje 5'!Q13)</f>
        <v>101</v>
      </c>
      <c r="I55" s="116">
        <f>IF('Pulje 5'!R13="","",'Pulje 5'!R13)</f>
        <v>120</v>
      </c>
      <c r="J55" s="117">
        <f>IF('Pulje 5'!V13="","",'Pulje 5'!V13)</f>
        <v>8.23</v>
      </c>
      <c r="K55" s="117">
        <f>IF('Pulje 5'!W13="","",'Pulje 5'!W13)</f>
        <v>13.35</v>
      </c>
      <c r="L55" s="117">
        <f>IF('Pulje 5'!X13="","",'Pulje 5'!X13)</f>
        <v>6.7</v>
      </c>
      <c r="M55" s="117">
        <f>IF('Pulje 5'!Z14="","",'Pulje 5'!Z14)</f>
        <v>768.8535720007626</v>
      </c>
    </row>
    <row r="56" spans="1:13" ht="16">
      <c r="A56" s="111">
        <v>3</v>
      </c>
      <c r="B56" s="117">
        <f>IF('Pulje 5'!D9="","",'Pulje 5'!D9)</f>
        <v>77.010000000000005</v>
      </c>
      <c r="C56" s="112" t="str">
        <f>IF('Pulje 5'!E9="","",'Pulje 5'!E9)</f>
        <v>JM</v>
      </c>
      <c r="D56" s="112" t="str">
        <f>IF('Pulje 5'!F9="","",'Pulje 5'!F9)</f>
        <v>19-23</v>
      </c>
      <c r="E56" s="113">
        <f>IF('Pulje 5'!G9="","",'Pulje 5'!G9)</f>
        <v>39076</v>
      </c>
      <c r="F56" s="114" t="str">
        <f>IF('Pulje 5'!I9="","",'Pulje 5'!I9)</f>
        <v>Brede Tengsel Lesto</v>
      </c>
      <c r="G56" s="114" t="str">
        <f>IF('Pulje 5'!J9="","",'Pulje 5'!J9)</f>
        <v>Tambarskjelvar IL</v>
      </c>
      <c r="H56" s="116">
        <f>IF('Pulje 5'!Q9="","",'Pulje 5'!Q9)</f>
        <v>80</v>
      </c>
      <c r="I56" s="116">
        <f>IF('Pulje 5'!R9="","",'Pulje 5'!R9)</f>
        <v>105</v>
      </c>
      <c r="J56" s="117">
        <f>IF('Pulje 5'!V9="","",'Pulje 5'!V9)</f>
        <v>8.76</v>
      </c>
      <c r="K56" s="117">
        <f>IF('Pulje 5'!W9="","",'Pulje 5'!W9)</f>
        <v>12.6</v>
      </c>
      <c r="L56" s="117">
        <f>IF('Pulje 5'!X9="","",'Pulje 5'!X9)</f>
        <v>6.8</v>
      </c>
      <c r="M56" s="117">
        <f>IF('Pulje 5'!Z10="","",'Pulje 5'!Z10)</f>
        <v>757.60191830735494</v>
      </c>
    </row>
    <row r="57" spans="1:13" ht="16">
      <c r="A57" s="111"/>
      <c r="B57" s="117"/>
      <c r="C57" s="112"/>
      <c r="D57" s="112"/>
      <c r="E57" s="113"/>
      <c r="F57" s="114"/>
      <c r="G57" s="114"/>
      <c r="H57" s="116"/>
      <c r="I57" s="116"/>
      <c r="J57" s="117"/>
      <c r="K57" s="117"/>
      <c r="L57" s="117"/>
      <c r="M57" s="117"/>
    </row>
    <row r="58" spans="1:13" ht="16">
      <c r="A58" s="111">
        <v>1</v>
      </c>
      <c r="B58" s="117">
        <f>IF('Pulje 5'!D17="","",'Pulje 5'!D17)</f>
        <v>84.45</v>
      </c>
      <c r="C58" s="112" t="str">
        <f>IF('Pulje 5'!E17="","",'Pulje 5'!E17)</f>
        <v>SM</v>
      </c>
      <c r="D58" s="112" t="str">
        <f>IF('Pulje 5'!F17="","",'Pulje 5'!F17)</f>
        <v>24-34</v>
      </c>
      <c r="E58" s="113">
        <f>IF('Pulje 5'!G17="","",'Pulje 5'!G17)</f>
        <v>36505</v>
      </c>
      <c r="F58" s="114" t="str">
        <f>IF('Pulje 5'!I17="","",'Pulje 5'!I17)</f>
        <v>Adrian Henneli</v>
      </c>
      <c r="G58" s="114" t="str">
        <f>IF('Pulje 5'!J17="","",'Pulje 5'!J17)</f>
        <v>AK Bjørgvin</v>
      </c>
      <c r="H58" s="116">
        <f>IF('Pulje 5'!Q17="","",'Pulje 5'!Q17)</f>
        <v>116</v>
      </c>
      <c r="I58" s="116">
        <f>IF('Pulje 5'!R17="","",'Pulje 5'!R17)</f>
        <v>142</v>
      </c>
      <c r="J58" s="117">
        <f>IF('Pulje 5'!V17="","",'Pulje 5'!V17)</f>
        <v>9.2899999999999991</v>
      </c>
      <c r="K58" s="117">
        <f>IF('Pulje 5'!W17="","",'Pulje 5'!W17)</f>
        <v>15.6</v>
      </c>
      <c r="L58" s="117">
        <f>IF('Pulje 5'!X17="","",'Pulje 5'!X17)</f>
        <v>6.5</v>
      </c>
      <c r="M58" s="117">
        <f>IF('Pulje 5'!Z18="","",'Pulje 5'!Z18)</f>
        <v>903.69995361680958</v>
      </c>
    </row>
    <row r="59" spans="1:13" ht="16">
      <c r="A59" s="111">
        <v>2</v>
      </c>
      <c r="B59" s="117">
        <f>IF('Pulje 5'!D15="","",'Pulje 5'!D15)</f>
        <v>86.33</v>
      </c>
      <c r="C59" s="112" t="str">
        <f>IF('Pulje 5'!E15="","",'Pulje 5'!E15)</f>
        <v>SM</v>
      </c>
      <c r="D59" s="112" t="str">
        <f>IF('Pulje 5'!F15="","",'Pulje 5'!F15)</f>
        <v>24-34</v>
      </c>
      <c r="E59" s="113">
        <f>IF('Pulje 5'!G15="","",'Pulje 5'!G15)</f>
        <v>36748</v>
      </c>
      <c r="F59" s="114" t="str">
        <f>IF('Pulje 5'!I15="","",'Pulje 5'!I15)</f>
        <v>Bent André Midtbø</v>
      </c>
      <c r="G59" s="114" t="str">
        <f>IF('Pulje 5'!J15="","",'Pulje 5'!J15)</f>
        <v>AK Bjørgvin</v>
      </c>
      <c r="H59" s="116">
        <f>IF('Pulje 5'!Q15="","",'Pulje 5'!Q15)</f>
        <v>100</v>
      </c>
      <c r="I59" s="116">
        <f>IF('Pulje 5'!R15="","",'Pulje 5'!R15)</f>
        <v>136</v>
      </c>
      <c r="J59" s="117">
        <f>IF('Pulje 5'!V15="","",'Pulje 5'!V15)</f>
        <v>9.44</v>
      </c>
      <c r="K59" s="117">
        <f>IF('Pulje 5'!W15="","",'Pulje 5'!W15)</f>
        <v>15.7</v>
      </c>
      <c r="L59" s="117">
        <f>IF('Pulje 5'!X15="","",'Pulje 5'!X15)</f>
        <v>6</v>
      </c>
      <c r="M59" s="117">
        <f>IF('Pulje 5'!Z16="","",'Pulje 5'!Z16)</f>
        <v>889.02577519631359</v>
      </c>
    </row>
    <row r="60" spans="1:13" ht="16">
      <c r="A60" s="111">
        <v>3</v>
      </c>
      <c r="B60" s="117">
        <f>IF('Pulje 5'!D21="","",'Pulje 5'!D21)</f>
        <v>89.95</v>
      </c>
      <c r="C60" s="112" t="str">
        <f>IF('Pulje 5'!E21="","",'Pulje 5'!E21)</f>
        <v>SM</v>
      </c>
      <c r="D60" s="112" t="str">
        <f>IF('Pulje 5'!F21="","",'Pulje 5'!F21)</f>
        <v>24-34</v>
      </c>
      <c r="E60" s="113">
        <f>IF('Pulje 5'!G21="","",'Pulje 5'!G21)</f>
        <v>34035</v>
      </c>
      <c r="F60" s="114" t="str">
        <f>IF('Pulje 5'!I21="","",'Pulje 5'!I21)</f>
        <v>Laurits Hamre</v>
      </c>
      <c r="G60" s="114" t="str">
        <f>IF('Pulje 5'!J21="","",'Pulje 5'!J21)</f>
        <v>AK Bjørgvin</v>
      </c>
      <c r="H60" s="116">
        <f>IF('Pulje 5'!Q21="","",'Pulje 5'!Q21)</f>
        <v>106</v>
      </c>
      <c r="I60" s="116">
        <f>IF('Pulje 5'!R21="","",'Pulje 5'!R21)</f>
        <v>140</v>
      </c>
      <c r="J60" s="117">
        <f>IF('Pulje 5'!V21="","",'Pulje 5'!V21)</f>
        <v>8.7100000000000009</v>
      </c>
      <c r="K60" s="117">
        <f>IF('Pulje 5'!W21="","",'Pulje 5'!W21)</f>
        <v>12.6</v>
      </c>
      <c r="L60" s="117">
        <f>IF('Pulje 5'!X21="","",'Pulje 5'!X21)</f>
        <v>6.3</v>
      </c>
      <c r="M60" s="117">
        <f>IF('Pulje 5'!Z22="","",'Pulje 5'!Z22)</f>
        <v>828.72207413868023</v>
      </c>
    </row>
    <row r="61" spans="1:13" ht="16">
      <c r="A61" s="111"/>
      <c r="B61" s="117">
        <f>IF('Pulje 5'!D19="","",'Pulje 5'!D19)</f>
        <v>94.63</v>
      </c>
      <c r="C61" s="112" t="str">
        <f>IF('Pulje 5'!E19="","",'Pulje 5'!E19)</f>
        <v>SM</v>
      </c>
      <c r="D61" s="112" t="str">
        <f>IF('Pulje 5'!F19="","",'Pulje 5'!F19)</f>
        <v>24-34</v>
      </c>
      <c r="E61" s="113">
        <f>IF('Pulje 5'!G19="","",'Pulje 5'!G19)</f>
        <v>34617</v>
      </c>
      <c r="F61" s="114" t="str">
        <f>IF('Pulje 5'!I19="","",'Pulje 5'!I19)</f>
        <v>Lars Espedal</v>
      </c>
      <c r="G61" s="114" t="str">
        <f>IF('Pulje 5'!J19="","",'Pulje 5'!J19)</f>
        <v>AK Bjørgvin</v>
      </c>
      <c r="H61" s="116" t="str">
        <f>IF('Pulje 5'!Q19="","",'Pulje 5'!Q19)</f>
        <v/>
      </c>
      <c r="I61" s="116">
        <f>IF('Pulje 5'!R19="","",'Pulje 5'!R19)</f>
        <v>128</v>
      </c>
      <c r="J61" s="117" t="str">
        <f>IF('Pulje 5'!V19="","",'Pulje 5'!V19)</f>
        <v/>
      </c>
      <c r="K61" s="117" t="str">
        <f>IF('Pulje 5'!W19="","",'Pulje 5'!W19)</f>
        <v/>
      </c>
      <c r="L61" s="117" t="str">
        <f>IF('Pulje 5'!X19="","",'Pulje 5'!X19)</f>
        <v/>
      </c>
      <c r="M61" s="117" t="str">
        <f>IF('Pulje 5'!Z20="","",'Pulje 5'!Z20)</f>
        <v/>
      </c>
    </row>
    <row r="62" spans="1:13" s="10" customFormat="1" ht="16">
      <c r="A62" s="111"/>
      <c r="B62" s="117"/>
      <c r="C62" s="112"/>
      <c r="D62" s="112"/>
      <c r="E62" s="113"/>
      <c r="F62" s="114"/>
      <c r="G62" s="114"/>
      <c r="H62" s="116"/>
      <c r="I62" s="116"/>
      <c r="J62" s="117"/>
      <c r="K62" s="117"/>
      <c r="L62" s="117"/>
      <c r="M62" s="117"/>
    </row>
    <row r="63" spans="1:13" s="10" customFormat="1" ht="16">
      <c r="A63" s="111">
        <v>1</v>
      </c>
      <c r="B63" s="117">
        <f>IF('Pulje 1'!D21="","",'Pulje 1'!D21)</f>
        <v>106.69</v>
      </c>
      <c r="C63" s="112" t="str">
        <f>IF('Pulje 1'!E21="","",'Pulje 1'!E21)</f>
        <v>M45</v>
      </c>
      <c r="D63" s="112" t="str">
        <f>IF('Pulje 1'!F21="","",'Pulje 1'!F21)</f>
        <v>+35</v>
      </c>
      <c r="E63" s="113">
        <f>IF('Pulje 1'!G21="","",'Pulje 1'!G21)</f>
        <v>27849</v>
      </c>
      <c r="F63" s="114" t="str">
        <f>IF('Pulje 1'!I21="","",'Pulje 1'!I21)</f>
        <v>Børge Aadland</v>
      </c>
      <c r="G63" s="114" t="str">
        <f>IF('Pulje 1'!J21="","",'Pulje 1'!J21)</f>
        <v>AK Bjørgvin</v>
      </c>
      <c r="H63" s="116">
        <f>IF('Pulje 1'!Q21="","",'Pulje 1'!Q21)</f>
        <v>101</v>
      </c>
      <c r="I63" s="116">
        <f>IF('Pulje 1'!R21="","",'Pulje 1'!R21)</f>
        <v>137</v>
      </c>
      <c r="J63" s="117">
        <f>IF('Pulje 1'!V21="","",'Pulje 1'!V21)</f>
        <v>7.63</v>
      </c>
      <c r="K63" s="117">
        <f>IF('Pulje 1'!W21="","",'Pulje 1'!W21)</f>
        <v>11.7</v>
      </c>
      <c r="L63" s="117">
        <f>IF('Pulje 1'!X21="","",'Pulje 1'!X21)</f>
        <v>8.1999999999999993</v>
      </c>
      <c r="M63" s="117">
        <f>IF('Pulje 1'!Z22="","",'Pulje 1'!Z22)</f>
        <v>852.11236159831606</v>
      </c>
    </row>
    <row r="64" spans="1:13" s="10" customFormat="1" ht="16">
      <c r="A64" s="111">
        <v>2</v>
      </c>
      <c r="B64" s="117">
        <f>IF('Pulje 1'!D23="","",'Pulje 1'!D23)</f>
        <v>87.64</v>
      </c>
      <c r="C64" s="112" t="str">
        <f>IF('Pulje 1'!E23="","",'Pulje 1'!E23)</f>
        <v>M60</v>
      </c>
      <c r="D64" s="112" t="str">
        <f>IF('Pulje 1'!F23="","",'Pulje 1'!F23)</f>
        <v>+35</v>
      </c>
      <c r="E64" s="113">
        <f>IF('Pulje 1'!G23="","",'Pulje 1'!G23)</f>
        <v>23243</v>
      </c>
      <c r="F64" s="114" t="str">
        <f>IF('Pulje 1'!I23="","",'Pulje 1'!I23)</f>
        <v>Jørn Helgheeim</v>
      </c>
      <c r="G64" s="114" t="str">
        <f>IF('Pulje 1'!J23="","",'Pulje 1'!J23)</f>
        <v>Tambarskjelvar IL</v>
      </c>
      <c r="H64" s="116">
        <f>IF('Pulje 1'!Q23="","",'Pulje 1'!Q23)</f>
        <v>55</v>
      </c>
      <c r="I64" s="116">
        <f>IF('Pulje 1'!R23="","",'Pulje 1'!R23)</f>
        <v>72</v>
      </c>
      <c r="J64" s="117">
        <f>IF('Pulje 1'!V23="","",'Pulje 1'!V23)</f>
        <v>6.09</v>
      </c>
      <c r="K64" s="117">
        <f>IF('Pulje 1'!W23="","",'Pulje 1'!W23)</f>
        <v>10.199999999999999</v>
      </c>
      <c r="L64" s="117">
        <f>IF('Pulje 1'!X23="","",'Pulje 1'!X23)</f>
        <v>8.9</v>
      </c>
      <c r="M64" s="117">
        <f>IF('Pulje 1'!Z24="","",'Pulje 1'!Z24)</f>
        <v>745.82528942900478</v>
      </c>
    </row>
  </sheetData>
  <sortState xmlns:xlrd2="http://schemas.microsoft.com/office/spreadsheetml/2017/richdata2" ref="A58:M60">
    <sortCondition descending="1" ref="M58:M60"/>
  </sortState>
  <mergeCells count="6">
    <mergeCell ref="A37:M37"/>
    <mergeCell ref="A1:M1"/>
    <mergeCell ref="A2:E2"/>
    <mergeCell ref="F2:I2"/>
    <mergeCell ref="J2:M2"/>
    <mergeCell ref="A4:M4"/>
  </mergeCells>
  <pageMargins left="0.74803149606299213" right="0.74803149606299213" top="0.98425196850393704" bottom="0.98425196850393704" header="0.51181102362204722" footer="0.51181102362204722"/>
  <pageSetup paperSize="9" scale="59" fitToHeight="0" orientation="portrait" horizontalDpi="300" verticalDpi="300" copies="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67BF-9325-3342-ACBE-7A32D0096C67}">
  <sheetPr>
    <pageSetUpPr fitToPage="1"/>
  </sheetPr>
  <dimension ref="A1:M52"/>
  <sheetViews>
    <sheetView topLeftCell="A5" zoomScale="120" zoomScaleNormal="120" zoomScalePageLayoutView="120" workbookViewId="0">
      <selection activeCell="F13" sqref="F13"/>
    </sheetView>
  </sheetViews>
  <sheetFormatPr baseColWidth="10" defaultColWidth="8.796875" defaultRowHeight="13"/>
  <cols>
    <col min="1" max="1" width="5.3984375" customWidth="1"/>
    <col min="2" max="3" width="7.59765625" customWidth="1"/>
    <col min="4" max="4" width="7.19921875" customWidth="1"/>
    <col min="5" max="5" width="10.3984375" customWidth="1"/>
    <col min="6" max="6" width="27.59765625" customWidth="1"/>
    <col min="7" max="7" width="20.59765625" customWidth="1"/>
    <col min="8" max="9" width="6.796875" customWidth="1"/>
    <col min="10" max="11" width="8.59765625" customWidth="1"/>
    <col min="12" max="12" width="9.59765625" customWidth="1"/>
    <col min="13" max="13" width="9.3984375" bestFit="1" customWidth="1"/>
  </cols>
  <sheetData>
    <row r="1" spans="1:13" ht="31" thickBot="1">
      <c r="A1" s="309" t="s">
        <v>83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</row>
    <row r="2" spans="1:13" s="64" customFormat="1" ht="24" customHeight="1" thickBot="1">
      <c r="A2" s="312" t="str">
        <f>IF('Pulje 1'!K5&gt;0,'Pulje 1'!K5,"")</f>
        <v>AK Bjørgvn</v>
      </c>
      <c r="B2" s="313"/>
      <c r="C2" s="313"/>
      <c r="D2" s="313"/>
      <c r="E2" s="313"/>
      <c r="F2" s="314" t="str">
        <f>IF('Pulje 1'!R5&gt;0,'Pulje 1'!R5,"")</f>
        <v/>
      </c>
      <c r="G2" s="313"/>
      <c r="H2" s="313"/>
      <c r="I2" s="313"/>
      <c r="J2" s="315" t="str">
        <f>IF('Pulje 1'!X5&gt;0,'Pulje 1'!X5,"")</f>
        <v/>
      </c>
      <c r="K2" s="316"/>
      <c r="L2" s="316"/>
      <c r="M2" s="316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17" t="s">
        <v>32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</row>
    <row r="5" spans="1:13" ht="8" customHeight="1"/>
    <row r="6" spans="1:13" s="10" customFormat="1" ht="16">
      <c r="A6" s="111">
        <v>1</v>
      </c>
      <c r="B6" s="117">
        <f>IF('Pulje 4'!D13="","",'Pulje 4'!D13)</f>
        <v>70.94</v>
      </c>
      <c r="C6" s="112" t="str">
        <f>IF('Pulje 4'!E13="","",'Pulje 4'!E13)</f>
        <v>SK</v>
      </c>
      <c r="D6" s="112" t="str">
        <f>IF('Pulje 4'!F13="","",'Pulje 4'!F13)</f>
        <v>19-23</v>
      </c>
      <c r="E6" s="113">
        <f>IF('Pulje 4'!G13="","",'Pulje 4'!G13)</f>
        <v>37315</v>
      </c>
      <c r="F6" s="114" t="str">
        <f>IF('Pulje 4'!I13="","",'Pulje 4'!I13)</f>
        <v>Julia Jordanger Loen</v>
      </c>
      <c r="G6" s="114" t="str">
        <f>IF('Pulje 4'!J13="","",'Pulje 4'!J13)</f>
        <v>Breimsbygda IL</v>
      </c>
      <c r="H6" s="116">
        <f>IF('Pulje 4'!Q13="","",'Pulje 4'!Q13)</f>
        <v>90</v>
      </c>
      <c r="I6" s="116">
        <f>IF('Pulje 4'!R13="","",'Pulje 4'!R13)</f>
        <v>111</v>
      </c>
      <c r="J6" s="117">
        <f>IF('Pulje 4'!V13="","",'Pulje 4'!V13)</f>
        <v>7.6</v>
      </c>
      <c r="K6" s="117">
        <f>IF('Pulje 4'!W13="","",'Pulje 4'!W13)</f>
        <v>14.5</v>
      </c>
      <c r="L6" s="117">
        <f>IF('Pulje 4'!X13="","",'Pulje 4'!X13)</f>
        <v>7</v>
      </c>
      <c r="M6" s="117">
        <f>IF('Pulje 4'!Z14="","",'Pulje 4'!Z14)</f>
        <v>766.90389219131589</v>
      </c>
    </row>
    <row r="7" spans="1:13" s="10" customFormat="1" ht="16">
      <c r="A7" s="111">
        <v>2</v>
      </c>
      <c r="B7" s="117">
        <f>IF('Pulje 4'!D11="","",'Pulje 4'!D11)</f>
        <v>72.27</v>
      </c>
      <c r="C7" s="112" t="str">
        <f>IF('Pulje 4'!E11="","",'Pulje 4'!E11)</f>
        <v>SK</v>
      </c>
      <c r="D7" s="112" t="str">
        <f>IF('Pulje 4'!F11="","",'Pulje 4'!F11)</f>
        <v>19-23</v>
      </c>
      <c r="E7" s="113">
        <f>IF('Pulje 4'!G11="","",'Pulje 4'!G11)</f>
        <v>37318</v>
      </c>
      <c r="F7" s="114" t="str">
        <f>IF('Pulje 4'!I11="","",'Pulje 4'!I11)</f>
        <v>Emelia Tveitå</v>
      </c>
      <c r="G7" s="114" t="str">
        <f>IF('Pulje 4'!J11="","",'Pulje 4'!J11)</f>
        <v>AK Bjørgvin</v>
      </c>
      <c r="H7" s="116">
        <f>IF('Pulje 4'!Q11="","",'Pulje 4'!Q11)</f>
        <v>53</v>
      </c>
      <c r="I7" s="116">
        <f>IF('Pulje 4'!R11="","",'Pulje 4'!R11)</f>
        <v>68</v>
      </c>
      <c r="J7" s="117">
        <f>IF('Pulje 4'!V11="","",'Pulje 4'!V11)</f>
        <v>7.85</v>
      </c>
      <c r="K7" s="117">
        <f>IF('Pulje 4'!W11="","",'Pulje 4'!W11)</f>
        <v>16.399999999999999</v>
      </c>
      <c r="L7" s="117">
        <f>IF('Pulje 4'!X11="","",'Pulje 4'!X11)</f>
        <v>6.6</v>
      </c>
      <c r="M7" s="117">
        <f>IF('Pulje 4'!Z12="","",'Pulje 4'!Z12)</f>
        <v>691.87467511060629</v>
      </c>
    </row>
    <row r="8" spans="1:13" s="10" customFormat="1" ht="16">
      <c r="A8" s="111">
        <v>3</v>
      </c>
      <c r="B8" s="117">
        <f>IF('Pulje 1'!D15="","",'Pulje 1'!D15)</f>
        <v>63.91</v>
      </c>
      <c r="C8" s="112" t="str">
        <f>IF('Pulje 1'!E15="","",'Pulje 1'!E15)</f>
        <v>K35</v>
      </c>
      <c r="D8" s="112" t="str">
        <f>IF('Pulje 1'!F15="","",'Pulje 1'!F15)</f>
        <v>+35</v>
      </c>
      <c r="E8" s="113">
        <f>IF('Pulje 1'!G15="","",'Pulje 1'!G15)</f>
        <v>33166</v>
      </c>
      <c r="F8" s="114" t="str">
        <f>IF('Pulje 1'!I15="","",'Pulje 1'!I15)</f>
        <v>Iselin Hatlenes</v>
      </c>
      <c r="G8" s="114" t="str">
        <f>IF('Pulje 1'!J15="","",'Pulje 1'!J15)</f>
        <v>AK Bjørgvin</v>
      </c>
      <c r="H8" s="116">
        <f>IF('Pulje 1'!Q15="","",'Pulje 1'!Q15)</f>
        <v>70</v>
      </c>
      <c r="I8" s="116">
        <f>IF('Pulje 1'!R15="","",'Pulje 1'!R15)</f>
        <v>84</v>
      </c>
      <c r="J8" s="117">
        <f>IF('Pulje 1'!V15="","",'Pulje 1'!V15)</f>
        <v>6.77</v>
      </c>
      <c r="K8" s="117">
        <f>IF('Pulje 1'!W15="","",'Pulje 1'!W15)</f>
        <v>12.7</v>
      </c>
      <c r="L8" s="117">
        <f>IF('Pulje 1'!X15="","",'Pulje 1'!X15)</f>
        <v>7.1</v>
      </c>
      <c r="M8" s="117">
        <f>IF('Pulje 1'!Z15="","",'Pulje 1'!Z15)</f>
        <v>678.6482488271979</v>
      </c>
    </row>
    <row r="9" spans="1:13" s="10" customFormat="1" ht="16">
      <c r="A9" s="111">
        <v>4</v>
      </c>
      <c r="B9" s="117">
        <f>IF('Pulje 1'!D13="","",'Pulje 1'!D13)</f>
        <v>69.069999999999993</v>
      </c>
      <c r="C9" s="112" t="str">
        <f>IF('Pulje 1'!E13="","",'Pulje 1'!E13)</f>
        <v>SK</v>
      </c>
      <c r="D9" s="112" t="str">
        <f>IF('Pulje 1'!F13="","",'Pulje 1'!F13)</f>
        <v>24-34</v>
      </c>
      <c r="E9" s="113">
        <f>IF('Pulje 1'!G13="","",'Pulje 1'!G13)</f>
        <v>33707</v>
      </c>
      <c r="F9" s="114" t="str">
        <f>IF('Pulje 1'!I13="","",'Pulje 1'!I13)</f>
        <v>Caroline Røsbø</v>
      </c>
      <c r="G9" s="114" t="str">
        <f>IF('Pulje 1'!J13="","",'Pulje 1'!J13)</f>
        <v>AK Bjørgvin</v>
      </c>
      <c r="H9" s="116">
        <f>IF('Pulje 1'!Q13="","",'Pulje 1'!Q13)</f>
        <v>69</v>
      </c>
      <c r="I9" s="116">
        <f>IF('Pulje 1'!R13="","",'Pulje 1'!R13)</f>
        <v>85</v>
      </c>
      <c r="J9" s="117">
        <f>IF('Pulje 1'!V13="","",'Pulje 1'!V13)</f>
        <v>7.07</v>
      </c>
      <c r="K9" s="117">
        <f>IF('Pulje 1'!W13="","",'Pulje 1'!W13)</f>
        <v>11.9</v>
      </c>
      <c r="L9" s="117">
        <f>IF('Pulje 1'!X13="","",'Pulje 1'!X13)</f>
        <v>7.2</v>
      </c>
      <c r="M9" s="117">
        <f>IF('Pulje 1'!Z14="","",'Pulje 1'!Z14)</f>
        <v>649.51954684719567</v>
      </c>
    </row>
    <row r="10" spans="1:13" s="10" customFormat="1" ht="16">
      <c r="A10" s="111">
        <v>5</v>
      </c>
      <c r="B10" s="117">
        <f>IF('Pulje 4'!D15="","",'Pulje 4'!D15)</f>
        <v>72.55</v>
      </c>
      <c r="C10" s="112" t="str">
        <f>IF('Pulje 4'!E15="","",'Pulje 4'!E15)</f>
        <v>SK</v>
      </c>
      <c r="D10" s="112" t="str">
        <f>IF('Pulje 4'!F15="","",'Pulje 4'!F15)</f>
        <v>19-23</v>
      </c>
      <c r="E10" s="113">
        <f>IF('Pulje 4'!G15="","",'Pulje 4'!G15)</f>
        <v>38134</v>
      </c>
      <c r="F10" s="114" t="str">
        <f>IF('Pulje 4'!I15="","",'Pulje 4'!I15)</f>
        <v>Laila Therese K. Bjørnarheim</v>
      </c>
      <c r="G10" s="114" t="str">
        <f>IF('Pulje 4'!J15="","",'Pulje 4'!J15)</f>
        <v>Breimsbygda IL</v>
      </c>
      <c r="H10" s="116">
        <f>IF('Pulje 4'!Q15="","",'Pulje 4'!Q15)</f>
        <v>73</v>
      </c>
      <c r="I10" s="116">
        <f>IF('Pulje 4'!R15="","",'Pulje 4'!R15)</f>
        <v>90</v>
      </c>
      <c r="J10" s="117">
        <f>IF('Pulje 4'!V15="","",'Pulje 4'!V15)</f>
        <v>6.9</v>
      </c>
      <c r="K10" s="117">
        <f>IF('Pulje 4'!W15="","",'Pulje 4'!W15)</f>
        <v>11.5</v>
      </c>
      <c r="L10" s="117">
        <f>IF('Pulje 4'!X15="","",'Pulje 4'!X15)</f>
        <v>7.6</v>
      </c>
      <c r="M10" s="117">
        <f>IF('Pulje 4'!Z16="","",'Pulje 4'!Z16)</f>
        <v>626.8080511511007</v>
      </c>
    </row>
    <row r="11" spans="1:13" s="10" customFormat="1" ht="16">
      <c r="A11" s="111">
        <v>6</v>
      </c>
      <c r="B11" s="117">
        <f>IF('Pulje 1'!D9="","",'Pulje 1'!D9)</f>
        <v>70.91</v>
      </c>
      <c r="C11" s="112" t="str">
        <f>IF('Pulje 1'!E9="","",'Pulje 1'!E9)</f>
        <v>SK</v>
      </c>
      <c r="D11" s="112" t="str">
        <f>IF('Pulje 1'!F9="","",'Pulje 1'!F9)</f>
        <v>24-34</v>
      </c>
      <c r="E11" s="113">
        <f>IF('Pulje 1'!G9="","",'Pulje 1'!G9)</f>
        <v>36614</v>
      </c>
      <c r="F11" s="114" t="str">
        <f>IF('Pulje 1'!I9="","",'Pulje 1'!I9)</f>
        <v>Lilly Småland</v>
      </c>
      <c r="G11" s="114" t="str">
        <f>IF('Pulje 1'!J9="","",'Pulje 1'!J9)</f>
        <v>AK Bjørgvin</v>
      </c>
      <c r="H11" s="116">
        <f>IF('Pulje 1'!Q9="","",'Pulje 1'!Q9)</f>
        <v>69</v>
      </c>
      <c r="I11" s="116">
        <f>IF('Pulje 1'!R9="","",'Pulje 1'!R9)</f>
        <v>88</v>
      </c>
      <c r="J11" s="117">
        <f>IF('Pulje 1'!V9="","",'Pulje 1'!V9)</f>
        <v>6.75</v>
      </c>
      <c r="K11" s="117">
        <f>IF('Pulje 1'!W9="","",'Pulje 1'!W9)</f>
        <v>11.6</v>
      </c>
      <c r="L11" s="117">
        <f>IF('Pulje 1'!X9="","",'Pulje 1'!X9)</f>
        <v>7.5</v>
      </c>
      <c r="M11" s="117">
        <f>IF('Pulje 1'!Z10="","",'Pulje 1'!Z10)</f>
        <v>625.42248375123791</v>
      </c>
    </row>
    <row r="12" spans="1:13" s="10" customFormat="1" ht="16">
      <c r="A12" s="111">
        <v>7</v>
      </c>
      <c r="B12" s="117">
        <f>IF('Pulje 4'!D17="","",'Pulje 4'!D17)</f>
        <v>75.45</v>
      </c>
      <c r="C12" s="112" t="str">
        <f>IF('Pulje 4'!E17="","",'Pulje 4'!E17)</f>
        <v>JK</v>
      </c>
      <c r="D12" s="112" t="str">
        <f>IF('Pulje 4'!F17="","",'Pulje 4'!F17)</f>
        <v>19-23</v>
      </c>
      <c r="E12" s="113">
        <f>IF('Pulje 4'!G17="","",'Pulje 4'!G17)</f>
        <v>38610</v>
      </c>
      <c r="F12" s="114" t="str">
        <f>IF('Pulje 4'!I17="","",'Pulje 4'!I17)</f>
        <v>Trine Endestad Hellevang</v>
      </c>
      <c r="G12" s="114" t="str">
        <f>IF('Pulje 4'!J17="","",'Pulje 4'!J17)</f>
        <v>Tambarskjelvar IL</v>
      </c>
      <c r="H12" s="116">
        <f>IF('Pulje 4'!Q17="","",'Pulje 4'!Q17)</f>
        <v>70</v>
      </c>
      <c r="I12" s="116">
        <f>IF('Pulje 4'!R17="","",'Pulje 4'!R17)</f>
        <v>90</v>
      </c>
      <c r="J12" s="117">
        <f>IF('Pulje 4'!V17="","",'Pulje 4'!V17)</f>
        <v>6.75</v>
      </c>
      <c r="K12" s="117">
        <f>IF('Pulje 4'!W17="","",'Pulje 4'!W17)</f>
        <v>12.5</v>
      </c>
      <c r="L12" s="117">
        <f>IF('Pulje 4'!X17="","",'Pulje 4'!X17)</f>
        <v>7.8</v>
      </c>
      <c r="M12" s="117">
        <f>IF('Pulje 4'!Z18="","",'Pulje 4'!Z18)</f>
        <v>616.49851054177986</v>
      </c>
    </row>
    <row r="13" spans="1:13" s="10" customFormat="1" ht="16">
      <c r="A13" s="111">
        <v>8</v>
      </c>
      <c r="B13" s="117">
        <f>IF('Pulje 2'!D23="","",'Pulje 2'!D23)</f>
        <v>51.79</v>
      </c>
      <c r="C13" s="112" t="str">
        <f>IF('Pulje 2'!E23="","",'Pulje 2'!E23)</f>
        <v>UK</v>
      </c>
      <c r="D13" s="112" t="str">
        <f>IF('Pulje 2'!F23="","",'Pulje 2'!F23)</f>
        <v>15-16</v>
      </c>
      <c r="E13" s="113">
        <f>IF('Pulje 2'!G23="","",'Pulje 2'!G23)</f>
        <v>40008</v>
      </c>
      <c r="F13" s="114" t="str">
        <f>IF('Pulje 2'!I23="","",'Pulje 2'!I23)</f>
        <v>Heidi Nævdal</v>
      </c>
      <c r="G13" s="114" t="str">
        <f>IF('Pulje 2'!J23="","",'Pulje 2'!J23)</f>
        <v>AK Bjørgvin</v>
      </c>
      <c r="H13" s="116">
        <f>IF('Pulje 2'!Q23="","",'Pulje 2'!Q23)</f>
        <v>56</v>
      </c>
      <c r="I13" s="116">
        <f>IF('Pulje 2'!R23="","",'Pulje 2'!R23)</f>
        <v>66</v>
      </c>
      <c r="J13" s="117">
        <f>IF('Pulje 2'!V23="","",'Pulje 2'!V23)</f>
        <v>6.67</v>
      </c>
      <c r="K13" s="117">
        <f>IF('Pulje 2'!W23="","",'Pulje 2'!W23)</f>
        <v>8.59</v>
      </c>
      <c r="L13" s="117">
        <f>IF('Pulje 2'!X23="","",'Pulje 2'!X23)</f>
        <v>7.4</v>
      </c>
      <c r="M13" s="117">
        <f>IF('Pulje 2'!Z24="","",'Pulje 2'!Z24)</f>
        <v>605.10018371908552</v>
      </c>
    </row>
    <row r="14" spans="1:13" s="10" customFormat="1" ht="16">
      <c r="A14" s="111">
        <v>9</v>
      </c>
      <c r="B14" s="117">
        <f>IF('Pulje 4'!D25="","",'Pulje 4'!D25)</f>
        <v>78.73</v>
      </c>
      <c r="C14" s="112" t="str">
        <f>IF('Pulje 4'!E25="","",'Pulje 4'!E25)</f>
        <v>JK</v>
      </c>
      <c r="D14" s="112" t="str">
        <f>IF('Pulje 4'!F25="","",'Pulje 4'!F25)</f>
        <v>19-23</v>
      </c>
      <c r="E14" s="113">
        <f>IF('Pulje 4'!G25="","",'Pulje 4'!G25)</f>
        <v>38599</v>
      </c>
      <c r="F14" s="114" t="str">
        <f>IF('Pulje 4'!I25="","",'Pulje 4'!I25)</f>
        <v>Malin Amundsen</v>
      </c>
      <c r="G14" s="114" t="str">
        <f>IF('Pulje 4'!J25="","",'Pulje 4'!J25)</f>
        <v>AK Bjørgvin</v>
      </c>
      <c r="H14" s="116">
        <f>IF('Pulje 4'!Q25="","",'Pulje 4'!Q25)</f>
        <v>82</v>
      </c>
      <c r="I14" s="116">
        <f>IF('Pulje 4'!R25="","",'Pulje 4'!R25)</f>
        <v>104</v>
      </c>
      <c r="J14" s="117">
        <f>IF('Pulje 4'!V25="","",'Pulje 4'!V25)</f>
        <v>5.9</v>
      </c>
      <c r="K14" s="117">
        <f>IF('Pulje 4'!W25="","",'Pulje 4'!W25)</f>
        <v>11.3</v>
      </c>
      <c r="L14" s="117">
        <f>IF('Pulje 4'!X25="","",'Pulje 4'!X25)</f>
        <v>8.1999999999999993</v>
      </c>
      <c r="M14" s="117">
        <f>IF('Pulje 4'!Z26="","",'Pulje 4'!Z26)</f>
        <v>595.83301936392161</v>
      </c>
    </row>
    <row r="15" spans="1:13" s="10" customFormat="1" ht="16">
      <c r="A15" s="111">
        <v>10</v>
      </c>
      <c r="B15" s="117">
        <f>IF('Pulje 1'!D11="","",'Pulje 1'!D11)</f>
        <v>76.25</v>
      </c>
      <c r="C15" s="112" t="str">
        <f>IF('Pulje 1'!E11="","",'Pulje 1'!E11)</f>
        <v>SK</v>
      </c>
      <c r="D15" s="112" t="str">
        <f>IF('Pulje 1'!F11="","",'Pulje 1'!F11)</f>
        <v>24-34</v>
      </c>
      <c r="E15" s="113">
        <f>IF('Pulje 1'!G11="","",'Pulje 1'!G11)</f>
        <v>35145</v>
      </c>
      <c r="F15" s="114" t="str">
        <f>IF('Pulje 1'!I11="","",'Pulje 1'!I11)</f>
        <v>Kaia Arnøy Høyheim</v>
      </c>
      <c r="G15" s="114" t="str">
        <f>IF('Pulje 1'!J11="","",'Pulje 1'!J11)</f>
        <v>AK Bjørgvin</v>
      </c>
      <c r="H15" s="116">
        <f>IF('Pulje 1'!Q11="","",'Pulje 1'!Q11)</f>
        <v>64</v>
      </c>
      <c r="I15" s="116">
        <f>IF('Pulje 1'!R11="","",'Pulje 1'!R11)</f>
        <v>82</v>
      </c>
      <c r="J15" s="117">
        <f>IF('Pulje 1'!V11="","",'Pulje 1'!V11)</f>
        <v>6.68</v>
      </c>
      <c r="K15" s="117">
        <f>IF('Pulje 1'!W11="","",'Pulje 1'!W11)</f>
        <v>11.6</v>
      </c>
      <c r="L15" s="117">
        <f>IF('Pulje 1'!X11="","",'Pulje 1'!X11)</f>
        <v>7.7</v>
      </c>
      <c r="M15" s="117">
        <f>IF('Pulje 1'!Z12="","",'Pulje 1'!Z12)</f>
        <v>585.22083705070395</v>
      </c>
    </row>
    <row r="16" spans="1:13" s="10" customFormat="1" ht="16">
      <c r="A16" s="111">
        <v>11</v>
      </c>
      <c r="B16" s="117">
        <f>IF('Pulje 4'!D19="","",'Pulje 4'!D19)</f>
        <v>74.55</v>
      </c>
      <c r="C16" s="112" t="str">
        <f>IF('Pulje 4'!E19="","",'Pulje 4'!E19)</f>
        <v>JK</v>
      </c>
      <c r="D16" s="112" t="str">
        <f>IF('Pulje 4'!F19="","",'Pulje 4'!F19)</f>
        <v>19-23</v>
      </c>
      <c r="E16" s="113">
        <f>IF('Pulje 4'!G19="","",'Pulje 4'!G19)</f>
        <v>38534</v>
      </c>
      <c r="F16" s="114" t="str">
        <f>IF('Pulje 4'!I19="","",'Pulje 4'!I19)</f>
        <v>Mathilde Loy Enger</v>
      </c>
      <c r="G16" s="114" t="str">
        <f>IF('Pulje 4'!J19="","",'Pulje 4'!J19)</f>
        <v>AK Bjørgvin</v>
      </c>
      <c r="H16" s="116">
        <f>IF('Pulje 4'!Q19="","",'Pulje 4'!Q19)</f>
        <v>74</v>
      </c>
      <c r="I16" s="116">
        <f>IF('Pulje 4'!R19="","",'Pulje 4'!R19)</f>
        <v>95</v>
      </c>
      <c r="J16" s="117">
        <f>IF('Pulje 4'!V19="","",'Pulje 4'!V19)</f>
        <v>6</v>
      </c>
      <c r="K16" s="117">
        <f>IF('Pulje 4'!W19="","",'Pulje 4'!W19)</f>
        <v>9</v>
      </c>
      <c r="L16" s="117">
        <f>IF('Pulje 4'!X19="","",'Pulje 4'!X19)</f>
        <v>7.8</v>
      </c>
      <c r="M16" s="117">
        <f>IF('Pulje 4'!Z20="","",'Pulje 4'!Z20)</f>
        <v>570.36630635899701</v>
      </c>
    </row>
    <row r="17" spans="1:13" ht="16">
      <c r="A17" s="111">
        <v>12</v>
      </c>
      <c r="B17" s="117">
        <f>IF('Pulje 2'!D25="","",'Pulje 2'!D25)</f>
        <v>62.45</v>
      </c>
      <c r="C17" s="112" t="str">
        <f>IF('Pulje 2'!E25="","",'Pulje 2'!E25)</f>
        <v>UK</v>
      </c>
      <c r="D17" s="112" t="str">
        <f>IF('Pulje 2'!F25="","",'Pulje 2'!F25)</f>
        <v>15-16</v>
      </c>
      <c r="E17" s="113">
        <f>IF('Pulje 2'!G25="","",'Pulje 2'!G25)</f>
        <v>40263</v>
      </c>
      <c r="F17" s="114" t="str">
        <f>IF('Pulje 2'!I25="","",'Pulje 2'!I25)</f>
        <v>Sandra Viktoria N. Amundsen</v>
      </c>
      <c r="G17" s="114" t="str">
        <f>IF('Pulje 2'!J25="","",'Pulje 2'!J25)</f>
        <v>AK Bjørgvin</v>
      </c>
      <c r="H17" s="116">
        <f>IF('Pulje 2'!Q25="","",'Pulje 2'!Q25)</f>
        <v>66</v>
      </c>
      <c r="I17" s="116">
        <f>IF('Pulje 2'!R25="","",'Pulje 2'!R25)</f>
        <v>81</v>
      </c>
      <c r="J17" s="117">
        <f>IF('Pulje 2'!V25="","",'Pulje 2'!V25)</f>
        <v>5.84</v>
      </c>
      <c r="K17" s="117">
        <f>IF('Pulje 2'!W25="","",'Pulje 2'!W25)</f>
        <v>7.84</v>
      </c>
      <c r="L17" s="117">
        <f>IF('Pulje 2'!X25="","",'Pulje 2'!X25)</f>
        <v>7.5</v>
      </c>
      <c r="M17" s="117">
        <f>IF('Pulje 2'!Z26="","",'Pulje 2'!Z26)</f>
        <v>566.78685074618807</v>
      </c>
    </row>
    <row r="18" spans="1:13" ht="16">
      <c r="A18" s="111">
        <v>13</v>
      </c>
      <c r="B18" s="117">
        <f>IF('Pulje 2'!D17="","",'Pulje 2'!D17)</f>
        <v>42.15</v>
      </c>
      <c r="C18" s="112" t="str">
        <f>IF('Pulje 2'!E17="","",'Pulje 2'!E17)</f>
        <v>UK</v>
      </c>
      <c r="D18" s="112" t="str">
        <f>IF('Pulje 2'!F17="","",'Pulje 2'!F17)</f>
        <v>13-14</v>
      </c>
      <c r="E18" s="113">
        <f>IF('Pulje 2'!G17="","",'Pulje 2'!G17)</f>
        <v>40848</v>
      </c>
      <c r="F18" s="114" t="str">
        <f>IF('Pulje 2'!I17="","",'Pulje 2'!I17)</f>
        <v>Ingrid Skag Skjefstad</v>
      </c>
      <c r="G18" s="114" t="str">
        <f>IF('Pulje 2'!J17="","",'Pulje 2'!J17)</f>
        <v>AK Bjørgvin</v>
      </c>
      <c r="H18" s="116">
        <f>IF('Pulje 2'!Q17="","",'Pulje 2'!Q17)</f>
        <v>42</v>
      </c>
      <c r="I18" s="116">
        <f>IF('Pulje 2'!R17="","",'Pulje 2'!R17)</f>
        <v>53</v>
      </c>
      <c r="J18" s="117">
        <f>IF('Pulje 2'!V17="","",'Pulje 2'!V17)</f>
        <v>5.9</v>
      </c>
      <c r="K18" s="117">
        <f>IF('Pulje 2'!W17="","",'Pulje 2'!W17)</f>
        <v>7.5</v>
      </c>
      <c r="L18" s="117">
        <f>IF('Pulje 2'!X17="","",'Pulje 2'!X17)</f>
        <v>7.9</v>
      </c>
      <c r="M18" s="117">
        <f>IF('Pulje 2'!Z18="","",'Pulje 2'!Z18)</f>
        <v>559.64459031189062</v>
      </c>
    </row>
    <row r="19" spans="1:13" ht="16">
      <c r="A19" s="111">
        <v>14</v>
      </c>
      <c r="B19" s="117">
        <f>IF('Pulje 4'!D9="","",'Pulje 4'!D9)</f>
        <v>51.87</v>
      </c>
      <c r="C19" s="112" t="str">
        <f>IF('Pulje 4'!E9="","",'Pulje 4'!E9)</f>
        <v>SK</v>
      </c>
      <c r="D19" s="112" t="str">
        <f>IF('Pulje 4'!F9="","",'Pulje 4'!F9)</f>
        <v>19-23</v>
      </c>
      <c r="E19" s="113">
        <f>IF('Pulje 4'!G9="","",'Pulje 4'!G9)</f>
        <v>37301</v>
      </c>
      <c r="F19" s="114" t="str">
        <f>IF('Pulje 4'!I9="","",'Pulje 4'!I9)</f>
        <v>Maria Sæterstøl</v>
      </c>
      <c r="G19" s="114" t="str">
        <f>IF('Pulje 4'!J9="","",'Pulje 4'!J9)</f>
        <v>AK Bjørgvin</v>
      </c>
      <c r="H19" s="116">
        <f>IF('Pulje 4'!Q9="","",'Pulje 4'!Q9)</f>
        <v>40</v>
      </c>
      <c r="I19" s="116">
        <f>IF('Pulje 4'!R9="","",'Pulje 4'!R9)</f>
        <v>53</v>
      </c>
      <c r="J19" s="117">
        <f>IF('Pulje 4'!V9="","",'Pulje 4'!V9)</f>
        <v>6.1</v>
      </c>
      <c r="K19" s="117">
        <f>IF('Pulje 4'!W9="","",'Pulje 4'!W9)</f>
        <v>8.9</v>
      </c>
      <c r="L19" s="117">
        <f>IF('Pulje 4'!X9="","",'Pulje 4'!X9)</f>
        <v>7.3</v>
      </c>
      <c r="M19" s="117">
        <f>IF('Pulje 4'!Z10="","",'Pulje 4'!Z10)</f>
        <v>550.50152574536014</v>
      </c>
    </row>
    <row r="20" spans="1:13" ht="16">
      <c r="A20" s="111">
        <v>15</v>
      </c>
      <c r="B20" s="117">
        <f>IF('Pulje 2'!D19="","",'Pulje 2'!D19)</f>
        <v>46.06</v>
      </c>
      <c r="C20" s="112" t="str">
        <f>IF('Pulje 2'!E19="","",'Pulje 2'!E19)</f>
        <v>UK</v>
      </c>
      <c r="D20" s="112" t="str">
        <f>IF('Pulje 2'!F19="","",'Pulje 2'!F19)</f>
        <v>13-14</v>
      </c>
      <c r="E20" s="113">
        <f>IF('Pulje 2'!G19="","",'Pulje 2'!G19)</f>
        <v>41227</v>
      </c>
      <c r="F20" s="114" t="str">
        <f>IF('Pulje 2'!I19="","",'Pulje 2'!I19)</f>
        <v>Lisa Nøstdal Lending</v>
      </c>
      <c r="G20" s="114" t="str">
        <f>IF('Pulje 2'!J19="","",'Pulje 2'!J19)</f>
        <v>Tambarskjelvar IL</v>
      </c>
      <c r="H20" s="116">
        <f>IF('Pulje 2'!Q19="","",'Pulje 2'!Q19)</f>
        <v>31</v>
      </c>
      <c r="I20" s="116">
        <f>IF('Pulje 2'!R19="","",'Pulje 2'!R19)</f>
        <v>37</v>
      </c>
      <c r="J20" s="117">
        <f>IF('Pulje 2'!V19="","",'Pulje 2'!V19)</f>
        <v>5.93</v>
      </c>
      <c r="K20" s="117">
        <f>IF('Pulje 2'!W19="","",'Pulje 2'!W19)</f>
        <v>6.08</v>
      </c>
      <c r="L20" s="117">
        <f>IF('Pulje 2'!X19="","",'Pulje 2'!X19)</f>
        <v>7.4</v>
      </c>
      <c r="M20" s="117">
        <f>IF('Pulje 2'!Z20="","",'Pulje 2'!Z20)</f>
        <v>472.82181731859112</v>
      </c>
    </row>
    <row r="21" spans="1:13" ht="16">
      <c r="A21" s="111">
        <v>16</v>
      </c>
      <c r="B21" s="117">
        <f>IF('Pulje 2'!D27="","",'Pulje 2'!D27)</f>
        <v>78.03</v>
      </c>
      <c r="C21" s="112" t="str">
        <f>IF('Pulje 2'!E27="","",'Pulje 2'!E27)</f>
        <v>UK</v>
      </c>
      <c r="D21" s="112" t="str">
        <f>IF('Pulje 2'!F27="","",'Pulje 2'!F27)</f>
        <v>15-16</v>
      </c>
      <c r="E21" s="113">
        <f>IF('Pulje 2'!G27="","",'Pulje 2'!G27)</f>
        <v>40071</v>
      </c>
      <c r="F21" s="114" t="str">
        <f>IF('Pulje 2'!I27="","",'Pulje 2'!I27)</f>
        <v>Kristina Haugsbø Smådal</v>
      </c>
      <c r="G21" s="114" t="str">
        <f>IF('Pulje 2'!J27="","",'Pulje 2'!J27)</f>
        <v>Tambarskjelvar IL</v>
      </c>
      <c r="H21" s="116">
        <f>IF('Pulje 2'!Q27="","",'Pulje 2'!Q27)</f>
        <v>50</v>
      </c>
      <c r="I21" s="116">
        <f>IF('Pulje 2'!R27="","",'Pulje 2'!R27)</f>
        <v>57</v>
      </c>
      <c r="J21" s="117">
        <f>IF('Pulje 2'!V27="","",'Pulje 2'!V27)</f>
        <v>5.44</v>
      </c>
      <c r="K21" s="117">
        <f>IF('Pulje 2'!W27="","",'Pulje 2'!W27)</f>
        <v>7.5</v>
      </c>
      <c r="L21" s="117">
        <f>IF('Pulje 2'!X27="","",'Pulje 2'!X27)</f>
        <v>7.8</v>
      </c>
      <c r="M21" s="117">
        <f>IF('Pulje 2'!Z28="","",'Pulje 2'!Z28)</f>
        <v>444.25817569334509</v>
      </c>
    </row>
    <row r="22" spans="1:13" ht="15" customHeight="1">
      <c r="A22" s="111">
        <v>17</v>
      </c>
      <c r="B22" s="117">
        <f>IF('Pulje 2'!D13="","",'Pulje 2'!D13)</f>
        <v>42.03</v>
      </c>
      <c r="C22" s="112" t="str">
        <f>IF('Pulje 2'!E13="","",'Pulje 2'!E13)</f>
        <v>UK</v>
      </c>
      <c r="D22" s="112" t="str">
        <f>IF('Pulje 2'!F13="","",'Pulje 2'!F13)</f>
        <v>11-12</v>
      </c>
      <c r="E22" s="113">
        <f>IF('Pulje 2'!G13="","",'Pulje 2'!G13)</f>
        <v>41765</v>
      </c>
      <c r="F22" s="114" t="str">
        <f>IF('Pulje 2'!I13="","",'Pulje 2'!I13)</f>
        <v>Miriam Mella</v>
      </c>
      <c r="G22" s="114" t="str">
        <f>IF('Pulje 2'!J13="","",'Pulje 2'!J13)</f>
        <v>AK Bjørgvin</v>
      </c>
      <c r="H22" s="116">
        <f>IF('Pulje 2'!Q13="","",'Pulje 2'!Q13)</f>
        <v>31</v>
      </c>
      <c r="I22" s="116">
        <f>IF('Pulje 2'!R13="","",'Pulje 2'!R13)</f>
        <v>37</v>
      </c>
      <c r="J22" s="117">
        <f>IF('Pulje 2'!V13="","",'Pulje 2'!V13)</f>
        <v>5.88</v>
      </c>
      <c r="K22" s="117">
        <f>IF('Pulje 2'!W13="","",'Pulje 2'!W13)</f>
        <v>5.55</v>
      </c>
      <c r="L22" s="117">
        <f>IF('Pulje 2'!X13="","",'Pulje 2'!X13)</f>
        <v>8.4</v>
      </c>
      <c r="M22" s="117">
        <f>IF('Pulje 2'!Z14="","",'Pulje 2'!Z14)</f>
        <v>442.04524596057109</v>
      </c>
    </row>
    <row r="23" spans="1:13" ht="16">
      <c r="A23" s="111">
        <v>18</v>
      </c>
      <c r="B23" s="117">
        <f>IF('Pulje 2'!D15="","",'Pulje 2'!D15)</f>
        <v>43.99</v>
      </c>
      <c r="C23" s="112" t="str">
        <f>IF('Pulje 2'!E15="","",'Pulje 2'!E15)</f>
        <v>UK</v>
      </c>
      <c r="D23" s="112" t="str">
        <f>IF('Pulje 2'!F15="","",'Pulje 2'!F15)</f>
        <v>13-14</v>
      </c>
      <c r="E23" s="113">
        <f>IF('Pulje 2'!G15="","",'Pulje 2'!G15)</f>
        <v>41022</v>
      </c>
      <c r="F23" s="114" t="str">
        <f>IF('Pulje 2'!I15="","",'Pulje 2'!I15)</f>
        <v>Oline Mella</v>
      </c>
      <c r="G23" s="114" t="str">
        <f>IF('Pulje 2'!J15="","",'Pulje 2'!J15)</f>
        <v>AK Bjørgvin</v>
      </c>
      <c r="H23" s="116">
        <f>IF('Pulje 2'!Q15="","",'Pulje 2'!Q15)</f>
        <v>28</v>
      </c>
      <c r="I23" s="116">
        <f>IF('Pulje 2'!R15="","",'Pulje 2'!R15)</f>
        <v>33</v>
      </c>
      <c r="J23" s="117">
        <f>IF('Pulje 2'!V15="","",'Pulje 2'!V15)</f>
        <v>5.37</v>
      </c>
      <c r="K23" s="117">
        <f>IF('Pulje 2'!W15="","",'Pulje 2'!W15)</f>
        <v>5.92</v>
      </c>
      <c r="L23" s="117">
        <f>IF('Pulje 2'!X15="","",'Pulje 2'!X15)</f>
        <v>7.8</v>
      </c>
      <c r="M23" s="117">
        <f>IF('Pulje 2'!Z16="","",'Pulje 2'!Z16)</f>
        <v>438.36195651852933</v>
      </c>
    </row>
    <row r="24" spans="1:13" s="10" customFormat="1" ht="16">
      <c r="A24" s="111">
        <v>19</v>
      </c>
      <c r="B24" s="117">
        <f>IF('Pulje 2'!D9="","",'Pulje 2'!D9)</f>
        <v>44.23</v>
      </c>
      <c r="C24" s="112" t="str">
        <f>IF('Pulje 2'!E9="","",'Pulje 2'!E9)</f>
        <v>UK</v>
      </c>
      <c r="D24" s="112" t="str">
        <f>IF('Pulje 2'!F9="","",'Pulje 2'!F9)</f>
        <v>11-12</v>
      </c>
      <c r="E24" s="113">
        <f>IF('Pulje 2'!G9="","",'Pulje 2'!G9)</f>
        <v>41367</v>
      </c>
      <c r="F24" s="114" t="str">
        <f>IF('Pulje 2'!I9="","",'Pulje 2'!I9)</f>
        <v>Othilie Løvik</v>
      </c>
      <c r="G24" s="114" t="str">
        <f>IF('Pulje 2'!J9="","",'Pulje 2'!J9)</f>
        <v>AK Bjørgvin</v>
      </c>
      <c r="H24" s="116">
        <f>IF('Pulje 2'!Q9="","",'Pulje 2'!Q9)</f>
        <v>19</v>
      </c>
      <c r="I24" s="116">
        <f>IF('Pulje 2'!R9="","",'Pulje 2'!R9)</f>
        <v>21</v>
      </c>
      <c r="J24" s="117">
        <f>IF('Pulje 2'!V9="","",'Pulje 2'!V9)</f>
        <v>5.59</v>
      </c>
      <c r="K24" s="117">
        <f>IF('Pulje 2'!W9="","",'Pulje 2'!W9)</f>
        <v>7.04</v>
      </c>
      <c r="L24" s="117">
        <f>IF('Pulje 2'!X9="","",'Pulje 2'!X9)</f>
        <v>7.7</v>
      </c>
      <c r="M24" s="117">
        <f>IF('Pulje 2'!Z10="","",'Pulje 2'!Z10)</f>
        <v>424.9504133711597</v>
      </c>
    </row>
    <row r="25" spans="1:13" s="10" customFormat="1" ht="16">
      <c r="A25" s="111">
        <v>20</v>
      </c>
      <c r="B25" s="117">
        <f>IF('Pulje 2'!D29="","",'Pulje 2'!D29)</f>
        <v>81.91</v>
      </c>
      <c r="C25" s="112" t="str">
        <f>IF('Pulje 2'!E29="","",'Pulje 2'!E29)</f>
        <v>UK</v>
      </c>
      <c r="D25" s="112" t="str">
        <f>IF('Pulje 2'!F29="","",'Pulje 2'!F29)</f>
        <v>15-16</v>
      </c>
      <c r="E25" s="113">
        <f>IF('Pulje 2'!G29="","",'Pulje 2'!G29)</f>
        <v>40113</v>
      </c>
      <c r="F25" s="114" t="str">
        <f>IF('Pulje 2'!I29="","",'Pulje 2'!I29)</f>
        <v>Madeleine Indrebø</v>
      </c>
      <c r="G25" s="114" t="str">
        <f>IF('Pulje 2'!J29="","",'Pulje 2'!J29)</f>
        <v>Tambarskjelvar IL</v>
      </c>
      <c r="H25" s="116">
        <f>IF('Pulje 2'!Q29="","",'Pulje 2'!Q29)</f>
        <v>35</v>
      </c>
      <c r="I25" s="116">
        <f>IF('Pulje 2'!R29="","",'Pulje 2'!R29)</f>
        <v>46</v>
      </c>
      <c r="J25" s="117">
        <f>IF('Pulje 2'!V29="","",'Pulje 2'!V29)</f>
        <v>5.61</v>
      </c>
      <c r="K25" s="117">
        <f>IF('Pulje 2'!W29="","",'Pulje 2'!W29)</f>
        <v>6.3</v>
      </c>
      <c r="L25" s="117">
        <f>IF('Pulje 2'!X29="","",'Pulje 2'!X29)</f>
        <v>8.3000000000000007</v>
      </c>
      <c r="M25" s="117">
        <f>IF('Pulje 2'!Z30="","",'Pulje 2'!Z30)</f>
        <v>370.98246126752622</v>
      </c>
    </row>
    <row r="26" spans="1:13" s="10" customFormat="1" ht="16">
      <c r="A26" s="111">
        <v>21</v>
      </c>
      <c r="B26" s="117">
        <f>IF('Pulje 2'!D21="","",'Pulje 2'!D21)</f>
        <v>49.27</v>
      </c>
      <c r="C26" s="112" t="str">
        <f>IF('Pulje 2'!E21="","",'Pulje 2'!E21)</f>
        <v>UK</v>
      </c>
      <c r="D26" s="112" t="str">
        <f>IF('Pulje 2'!F21="","",'Pulje 2'!F21)</f>
        <v>13-14</v>
      </c>
      <c r="E26" s="113">
        <f>IF('Pulje 2'!G21="","",'Pulje 2'!G21)</f>
        <v>41064</v>
      </c>
      <c r="F26" s="114" t="str">
        <f>IF('Pulje 2'!I21="","",'Pulje 2'!I21)</f>
        <v>Isabel Jensen Fauske</v>
      </c>
      <c r="G26" s="114" t="str">
        <f>IF('Pulje 2'!J21="","",'Pulje 2'!J21)</f>
        <v>Tambarskjelvar IL</v>
      </c>
      <c r="H26" s="116">
        <f>IF('Pulje 2'!Q21="","",'Pulje 2'!Q21)</f>
        <v>22</v>
      </c>
      <c r="I26" s="116">
        <f>IF('Pulje 2'!R21="","",'Pulje 2'!R21)</f>
        <v>28</v>
      </c>
      <c r="J26" s="117">
        <f>IF('Pulje 2'!V21="","",'Pulje 2'!V21)</f>
        <v>5.37</v>
      </c>
      <c r="K26" s="117">
        <f>IF('Pulje 2'!W21="","",'Pulje 2'!W21)</f>
        <v>5.15</v>
      </c>
      <c r="L26" s="117">
        <f>IF('Pulje 2'!X21="","",'Pulje 2'!X21)</f>
        <v>8.6</v>
      </c>
      <c r="M26" s="117">
        <f>IF('Pulje 2'!Z22="","",'Pulje 2'!Z22)</f>
        <v>349.5207426147831</v>
      </c>
    </row>
    <row r="27" spans="1:13" s="10" customFormat="1" ht="16">
      <c r="A27" s="111"/>
      <c r="B27" s="117">
        <f>IF('Pulje 4'!D21="","",'Pulje 4'!D21)</f>
        <v>74.47</v>
      </c>
      <c r="C27" s="112" t="str">
        <f>IF('Pulje 4'!E21="","",'Pulje 4'!E21)</f>
        <v>SK</v>
      </c>
      <c r="D27" s="112" t="str">
        <f>IF('Pulje 4'!F21="","",'Pulje 4'!F21)</f>
        <v>19-23</v>
      </c>
      <c r="E27" s="113">
        <f>IF('Pulje 4'!G21="","",'Pulje 4'!G21)</f>
        <v>38060</v>
      </c>
      <c r="F27" s="114" t="str">
        <f>IF('Pulje 4'!I21="","",'Pulje 4'!I21)</f>
        <v>Tine Rognaldsen Pedersen</v>
      </c>
      <c r="G27" s="114" t="str">
        <f>IF('Pulje 4'!J21="","",'Pulje 4'!J21)</f>
        <v>Tambarskjelvar IL</v>
      </c>
      <c r="H27" s="116">
        <f>IF('Pulje 4'!Q21="","",'Pulje 4'!Q21)</f>
        <v>84</v>
      </c>
      <c r="I27" s="116">
        <f>IF('Pulje 4'!R21="","",'Pulje 4'!R21)</f>
        <v>108</v>
      </c>
      <c r="J27" s="117" t="str">
        <f>IF('Pulje 4'!V21="","",'Pulje 4'!V21)</f>
        <v/>
      </c>
      <c r="K27" s="117" t="str">
        <f>IF('Pulje 4'!W21="","",'Pulje 4'!W21)</f>
        <v/>
      </c>
      <c r="L27" s="117" t="str">
        <f>IF('Pulje 4'!X21="","",'Pulje 4'!X21)</f>
        <v/>
      </c>
      <c r="M27" s="117" t="str">
        <f>IF('Pulje 4'!Z22="","",'Pulje 4'!Z22)</f>
        <v/>
      </c>
    </row>
    <row r="28" spans="1:13" s="10" customFormat="1" ht="16">
      <c r="A28" s="111"/>
      <c r="B28" s="117">
        <f>IF('Pulje 1'!D19="","",'Pulje 1'!D19)</f>
        <v>63.69</v>
      </c>
      <c r="C28" s="112" t="str">
        <f>IF('Pulje 1'!E19="","",'Pulje 1'!E19)</f>
        <v>K55</v>
      </c>
      <c r="D28" s="112" t="str">
        <f>IF('Pulje 1'!F19="","",'Pulje 1'!F19)</f>
        <v>+35</v>
      </c>
      <c r="E28" s="113">
        <f>IF('Pulje 1'!G19="","",'Pulje 1'!G19)</f>
        <v>25929</v>
      </c>
      <c r="F28" s="114" t="str">
        <f>IF('Pulje 1'!I19="","",'Pulje 1'!I19)</f>
        <v>Line Søfteland</v>
      </c>
      <c r="G28" s="114" t="str">
        <f>IF('Pulje 1'!J19="","",'Pulje 1'!J19)</f>
        <v>AK Bjørgvin</v>
      </c>
      <c r="H28" s="116">
        <f>IF('Pulje 1'!Q19="","",'Pulje 1'!Q19)</f>
        <v>43</v>
      </c>
      <c r="I28" s="116">
        <f>IF('Pulje 1'!R19="","",'Pulje 1'!R19)</f>
        <v>56</v>
      </c>
      <c r="J28" s="117" t="str">
        <f>IF('Pulje 1'!V19="","",'Pulje 1'!V19)</f>
        <v/>
      </c>
      <c r="K28" s="117" t="str">
        <f>IF('Pulje 1'!W19="","",'Pulje 1'!W19)</f>
        <v/>
      </c>
      <c r="L28" s="117" t="str">
        <f>IF('Pulje 1'!X19="","",'Pulje 1'!X19)</f>
        <v/>
      </c>
      <c r="M28" s="117" t="str">
        <f>IF('Pulje 1'!Z19="","",'Pulje 1'!Z19)</f>
        <v/>
      </c>
    </row>
    <row r="29" spans="1:13" s="10" customFormat="1" ht="16">
      <c r="A29" s="111"/>
      <c r="B29" s="117">
        <f>IF('Pulje 1'!D17="","",'Pulje 1'!D17)</f>
        <v>82.35</v>
      </c>
      <c r="C29" s="112" t="str">
        <f>IF('Pulje 1'!E17="","",'Pulje 1'!E17)</f>
        <v>K45</v>
      </c>
      <c r="D29" s="112" t="str">
        <f>IF('Pulje 1'!F17="","",'Pulje 1'!F17)</f>
        <v>+35</v>
      </c>
      <c r="E29" s="113">
        <f>IF('Pulje 1'!G17="","",'Pulje 1'!G17)</f>
        <v>29367</v>
      </c>
      <c r="F29" s="114" t="str">
        <f>IF('Pulje 1'!I17="","",'Pulje 1'!I17)</f>
        <v>Ingeborg Endresen</v>
      </c>
      <c r="G29" s="114" t="str">
        <f>IF('Pulje 1'!J17="","",'Pulje 1'!J17)</f>
        <v>AK Bjørgvin</v>
      </c>
      <c r="H29" s="116">
        <f>IF('Pulje 1'!Q17="","",'Pulje 1'!Q17)</f>
        <v>50</v>
      </c>
      <c r="I29" s="116">
        <f>IF('Pulje 1'!R17="","",'Pulje 1'!R17)</f>
        <v>61</v>
      </c>
      <c r="J29" s="117" t="str">
        <f>IF('Pulje 1'!V17="","",'Pulje 1'!V17)</f>
        <v/>
      </c>
      <c r="K29" s="117" t="str">
        <f>IF('Pulje 1'!W17="","",'Pulje 1'!W17)</f>
        <v/>
      </c>
      <c r="L29" s="117" t="str">
        <f>IF('Pulje 1'!X17="","",'Pulje 1'!X17)</f>
        <v/>
      </c>
      <c r="M29" s="117" t="e">
        <f>IF('Pulje 1'!Z18="","",'Pulje 1'!Z18)</f>
        <v>#VALUE!</v>
      </c>
    </row>
    <row r="30" spans="1:13" ht="8" customHeight="1"/>
    <row r="31" spans="1:13" ht="21" thickBot="1">
      <c r="A31" s="306" t="s">
        <v>40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8"/>
    </row>
    <row r="32" spans="1:13" ht="8" customHeight="1"/>
    <row r="33" spans="1:13" ht="16">
      <c r="A33" s="111">
        <v>1</v>
      </c>
      <c r="B33" s="117">
        <f>IF('Pulje 5'!D17="","",'Pulje 5'!D17)</f>
        <v>84.45</v>
      </c>
      <c r="C33" s="112" t="str">
        <f>IF('Pulje 5'!E17="","",'Pulje 5'!E17)</f>
        <v>SM</v>
      </c>
      <c r="D33" s="112" t="str">
        <f>IF('Pulje 5'!F17="","",'Pulje 5'!F17)</f>
        <v>24-34</v>
      </c>
      <c r="E33" s="113">
        <f>IF('Pulje 5'!G17="","",'Pulje 5'!G17)</f>
        <v>36505</v>
      </c>
      <c r="F33" s="114" t="str">
        <f>IF('Pulje 5'!I17="","",'Pulje 5'!I17)</f>
        <v>Adrian Henneli</v>
      </c>
      <c r="G33" s="114" t="str">
        <f>IF('Pulje 5'!J17="","",'Pulje 5'!J17)</f>
        <v>AK Bjørgvin</v>
      </c>
      <c r="H33" s="116">
        <f>IF('Pulje 5'!Q17="","",'Pulje 5'!Q17)</f>
        <v>116</v>
      </c>
      <c r="I33" s="116">
        <f>IF('Pulje 5'!R17="","",'Pulje 5'!R17)</f>
        <v>142</v>
      </c>
      <c r="J33" s="117">
        <f>IF('Pulje 5'!V17="","",'Pulje 5'!V17)</f>
        <v>9.2899999999999991</v>
      </c>
      <c r="K33" s="117">
        <f>IF('Pulje 5'!W17="","",'Pulje 5'!W17)</f>
        <v>15.6</v>
      </c>
      <c r="L33" s="117">
        <f>IF('Pulje 5'!X17="","",'Pulje 5'!X17)</f>
        <v>6.5</v>
      </c>
      <c r="M33" s="117">
        <f>IF('Pulje 5'!Z18="","",'Pulje 5'!Z18)</f>
        <v>903.69995361680958</v>
      </c>
    </row>
    <row r="34" spans="1:13" ht="16">
      <c r="A34" s="111">
        <v>2</v>
      </c>
      <c r="B34" s="117">
        <f>IF('Pulje 5'!D15="","",'Pulje 5'!D15)</f>
        <v>86.33</v>
      </c>
      <c r="C34" s="112" t="str">
        <f>IF('Pulje 5'!E15="","",'Pulje 5'!E15)</f>
        <v>SM</v>
      </c>
      <c r="D34" s="112" t="str">
        <f>IF('Pulje 5'!F15="","",'Pulje 5'!F15)</f>
        <v>24-34</v>
      </c>
      <c r="E34" s="113">
        <f>IF('Pulje 5'!G15="","",'Pulje 5'!G15)</f>
        <v>36748</v>
      </c>
      <c r="F34" s="114" t="str">
        <f>IF('Pulje 5'!I15="","",'Pulje 5'!I15)</f>
        <v>Bent André Midtbø</v>
      </c>
      <c r="G34" s="114" t="str">
        <f>IF('Pulje 5'!J15="","",'Pulje 5'!J15)</f>
        <v>AK Bjørgvin</v>
      </c>
      <c r="H34" s="116">
        <f>IF('Pulje 5'!Q15="","",'Pulje 5'!Q15)</f>
        <v>100</v>
      </c>
      <c r="I34" s="116">
        <f>IF('Pulje 5'!R15="","",'Pulje 5'!R15)</f>
        <v>136</v>
      </c>
      <c r="J34" s="117">
        <f>IF('Pulje 5'!V15="","",'Pulje 5'!V15)</f>
        <v>9.44</v>
      </c>
      <c r="K34" s="117">
        <f>IF('Pulje 5'!W15="","",'Pulje 5'!W15)</f>
        <v>15.7</v>
      </c>
      <c r="L34" s="117">
        <f>IF('Pulje 5'!X15="","",'Pulje 5'!X15)</f>
        <v>6</v>
      </c>
      <c r="M34" s="117">
        <f>IF('Pulje 5'!Z16="","",'Pulje 5'!Z16)</f>
        <v>889.02577519631359</v>
      </c>
    </row>
    <row r="35" spans="1:13" ht="16">
      <c r="A35" s="111">
        <v>3</v>
      </c>
      <c r="B35" s="117">
        <f>IF('Pulje 5'!D11="","",'Pulje 5'!D11)</f>
        <v>69.010000000000005</v>
      </c>
      <c r="C35" s="112" t="str">
        <f>IF('Pulje 5'!E11="","",'Pulje 5'!E11)</f>
        <v>JM</v>
      </c>
      <c r="D35" s="112" t="str">
        <f>IF('Pulje 5'!F11="","",'Pulje 5'!F11)</f>
        <v>19-23</v>
      </c>
      <c r="E35" s="113">
        <f>IF('Pulje 5'!G11="","",'Pulje 5'!G11)</f>
        <v>38922</v>
      </c>
      <c r="F35" s="114" t="str">
        <f>IF('Pulje 5'!I11="","",'Pulje 5'!I11)</f>
        <v>Aksel Lykkebø Svorstøl</v>
      </c>
      <c r="G35" s="114" t="str">
        <f>IF('Pulje 5'!J11="","",'Pulje 5'!J11)</f>
        <v>Tambarskjelvar IL</v>
      </c>
      <c r="H35" s="116">
        <f>IF('Pulje 5'!Q11="","",'Pulje 5'!Q11)</f>
        <v>93</v>
      </c>
      <c r="I35" s="116">
        <f>IF('Pulje 5'!R11="","",'Pulje 5'!R11)</f>
        <v>115</v>
      </c>
      <c r="J35" s="117">
        <f>IF('Pulje 5'!V11="","",'Pulje 5'!V11)</f>
        <v>7.75</v>
      </c>
      <c r="K35" s="117">
        <f>IF('Pulje 5'!W11="","",'Pulje 5'!W11)</f>
        <v>13</v>
      </c>
      <c r="L35" s="117">
        <f>IF('Pulje 5'!X11="","",'Pulje 5'!X11)</f>
        <v>6</v>
      </c>
      <c r="M35" s="117">
        <f>IF('Pulje 5'!Z12="","",'Pulje 5'!Z12)</f>
        <v>845.14697144276658</v>
      </c>
    </row>
    <row r="36" spans="1:13" ht="16">
      <c r="A36" s="111">
        <v>4</v>
      </c>
      <c r="B36" s="117">
        <f>IF('Pulje 5'!D21="","",'Pulje 5'!D21)</f>
        <v>89.95</v>
      </c>
      <c r="C36" s="112" t="str">
        <f>IF('Pulje 5'!E21="","",'Pulje 5'!E21)</f>
        <v>SM</v>
      </c>
      <c r="D36" s="112" t="str">
        <f>IF('Pulje 5'!F21="","",'Pulje 5'!F21)</f>
        <v>24-34</v>
      </c>
      <c r="E36" s="113">
        <f>IF('Pulje 5'!G21="","",'Pulje 5'!G21)</f>
        <v>34035</v>
      </c>
      <c r="F36" s="114" t="str">
        <f>IF('Pulje 5'!I21="","",'Pulje 5'!I21)</f>
        <v>Laurits Hamre</v>
      </c>
      <c r="G36" s="114" t="str">
        <f>IF('Pulje 5'!J21="","",'Pulje 5'!J21)</f>
        <v>AK Bjørgvin</v>
      </c>
      <c r="H36" s="116">
        <f>IF('Pulje 5'!Q21="","",'Pulje 5'!Q21)</f>
        <v>106</v>
      </c>
      <c r="I36" s="116">
        <f>IF('Pulje 5'!R21="","",'Pulje 5'!R21)</f>
        <v>140</v>
      </c>
      <c r="J36" s="117">
        <f>IF('Pulje 5'!V21="","",'Pulje 5'!V21)</f>
        <v>8.7100000000000009</v>
      </c>
      <c r="K36" s="117">
        <f>IF('Pulje 5'!W21="","",'Pulje 5'!W21)</f>
        <v>12.6</v>
      </c>
      <c r="L36" s="117">
        <f>IF('Pulje 5'!X21="","",'Pulje 5'!X21)</f>
        <v>6.3</v>
      </c>
      <c r="M36" s="117">
        <f>IF('Pulje 5'!Z22="","",'Pulje 5'!Z22)</f>
        <v>828.72207413868023</v>
      </c>
    </row>
    <row r="37" spans="1:13" ht="16">
      <c r="A37" s="111">
        <v>5</v>
      </c>
      <c r="B37" s="117">
        <f>IF('Pulje 3'!D31="","",'Pulje 3'!D31)</f>
        <v>92.77</v>
      </c>
      <c r="C37" s="112" t="str">
        <f>IF('Pulje 3'!E31="","",'Pulje 3'!E31)</f>
        <v>UM</v>
      </c>
      <c r="D37" s="112" t="str">
        <f>IF('Pulje 3'!F31="","",'Pulje 3'!F31)</f>
        <v>17-18</v>
      </c>
      <c r="E37" s="113">
        <f>IF('Pulje 3'!G31="","",'Pulje 3'!G31)</f>
        <v>39760</v>
      </c>
      <c r="F37" s="114" t="str">
        <f>IF('Pulje 3'!I31="","",'Pulje 3'!I31)</f>
        <v>Nikolai K. Aadland</v>
      </c>
      <c r="G37" s="114" t="str">
        <f>IF('Pulje 3'!J31="","",'Pulje 3'!J31)</f>
        <v>AK Bjørgvin</v>
      </c>
      <c r="H37" s="116">
        <f>IF('Pulje 3'!Q31="","",'Pulje 3'!Q31)</f>
        <v>117</v>
      </c>
      <c r="I37" s="116">
        <f>IF('Pulje 3'!R31="","",'Pulje 3'!R31)</f>
        <v>151</v>
      </c>
      <c r="J37" s="117">
        <f>IF('Pulje 3'!V31="","",'Pulje 3'!V31)</f>
        <v>7.54</v>
      </c>
      <c r="K37" s="117">
        <f>IF('Pulje 3'!W31="","",'Pulje 3'!W31)</f>
        <v>10.8</v>
      </c>
      <c r="L37" s="117">
        <f>IF('Pulje 3'!X31="","",'Pulje 3'!X31)</f>
        <v>6.8</v>
      </c>
      <c r="M37" s="117">
        <f>IF('Pulje 3'!Z32="","",'Pulje 3'!Z32)</f>
        <v>787.9577494160244</v>
      </c>
    </row>
    <row r="38" spans="1:13" ht="16">
      <c r="A38" s="111">
        <v>6</v>
      </c>
      <c r="B38" s="117">
        <f>IF('Pulje 5'!D13="","",'Pulje 5'!D13)</f>
        <v>92.89</v>
      </c>
      <c r="C38" s="112" t="str">
        <f>IF('Pulje 5'!E13="","",'Pulje 5'!E13)</f>
        <v>JM</v>
      </c>
      <c r="D38" s="112" t="str">
        <f>IF('Pulje 5'!F13="","",'Pulje 5'!F13)</f>
        <v>19-23</v>
      </c>
      <c r="E38" s="113">
        <f>IF('Pulje 5'!G13="","",'Pulje 5'!G13)</f>
        <v>38951</v>
      </c>
      <c r="F38" s="114" t="str">
        <f>IF('Pulje 5'!I13="","",'Pulje 5'!I13)</f>
        <v>Jakub Karol Kudyba</v>
      </c>
      <c r="G38" s="114" t="str">
        <f>IF('Pulje 5'!J13="","",'Pulje 5'!J13)</f>
        <v>Tambarskjelvar IL</v>
      </c>
      <c r="H38" s="116">
        <f>IF('Pulje 5'!Q13="","",'Pulje 5'!Q13)</f>
        <v>101</v>
      </c>
      <c r="I38" s="116">
        <f>IF('Pulje 5'!R13="","",'Pulje 5'!R13)</f>
        <v>120</v>
      </c>
      <c r="J38" s="117">
        <f>IF('Pulje 5'!V13="","",'Pulje 5'!V13)</f>
        <v>8.23</v>
      </c>
      <c r="K38" s="117">
        <f>IF('Pulje 5'!W13="","",'Pulje 5'!W13)</f>
        <v>13.35</v>
      </c>
      <c r="L38" s="117">
        <f>IF('Pulje 5'!X13="","",'Pulje 5'!X13)</f>
        <v>6.7</v>
      </c>
      <c r="M38" s="117">
        <f>IF('Pulje 5'!Z14="","",'Pulje 5'!Z14)</f>
        <v>768.8535720007626</v>
      </c>
    </row>
    <row r="39" spans="1:13" ht="16">
      <c r="A39" s="111">
        <v>7</v>
      </c>
      <c r="B39" s="117">
        <f>IF('Pulje 3'!D27="","",'Pulje 3'!D27)</f>
        <v>84.31</v>
      </c>
      <c r="C39" s="112" t="str">
        <f>IF('Pulje 3'!E27="","",'Pulje 3'!E27)</f>
        <v>UM</v>
      </c>
      <c r="D39" s="112" t="str">
        <f>IF('Pulje 3'!F27="","",'Pulje 3'!F27)</f>
        <v>17-18</v>
      </c>
      <c r="E39" s="113">
        <f>IF('Pulje 3'!G27="","",'Pulje 3'!G27)</f>
        <v>39679</v>
      </c>
      <c r="F39" s="114" t="str">
        <f>IF('Pulje 3'!I27="","",'Pulje 3'!I27)</f>
        <v>Olai Slagstad Aaamot</v>
      </c>
      <c r="G39" s="114" t="str">
        <f>IF('Pulje 3'!J27="","",'Pulje 3'!J27)</f>
        <v>Tambarskjelvar IL</v>
      </c>
      <c r="H39" s="116">
        <f>IF('Pulje 3'!Q27="","",'Pulje 3'!Q27)</f>
        <v>95</v>
      </c>
      <c r="I39" s="116">
        <f>IF('Pulje 3'!R27="","",'Pulje 3'!R27)</f>
        <v>123</v>
      </c>
      <c r="J39" s="117">
        <f>IF('Pulje 3'!V27="","",'Pulje 3'!V27)</f>
        <v>8.6</v>
      </c>
      <c r="K39" s="117">
        <f>IF('Pulje 3'!W27="","",'Pulje 3'!W27)</f>
        <v>10.26</v>
      </c>
      <c r="L39" s="117">
        <f>IF('Pulje 3'!X27="","",'Pulje 3'!X27)</f>
        <v>6.6</v>
      </c>
      <c r="M39" s="117">
        <f>IF('Pulje 3'!Z28="","",'Pulje 3'!Z28)</f>
        <v>760.43408722818151</v>
      </c>
    </row>
    <row r="40" spans="1:13" ht="16">
      <c r="A40" s="111">
        <v>8</v>
      </c>
      <c r="B40" s="117">
        <f>IF('Pulje 5'!D9="","",'Pulje 5'!D9)</f>
        <v>77.010000000000005</v>
      </c>
      <c r="C40" s="112" t="str">
        <f>IF('Pulje 5'!E9="","",'Pulje 5'!E9)</f>
        <v>JM</v>
      </c>
      <c r="D40" s="112" t="str">
        <f>IF('Pulje 5'!F9="","",'Pulje 5'!F9)</f>
        <v>19-23</v>
      </c>
      <c r="E40" s="113">
        <f>IF('Pulje 5'!G9="","",'Pulje 5'!G9)</f>
        <v>39076</v>
      </c>
      <c r="F40" s="114" t="str">
        <f>IF('Pulje 5'!I9="","",'Pulje 5'!I9)</f>
        <v>Brede Tengsel Lesto</v>
      </c>
      <c r="G40" s="114" t="str">
        <f>IF('Pulje 5'!J9="","",'Pulje 5'!J9)</f>
        <v>Tambarskjelvar IL</v>
      </c>
      <c r="H40" s="116">
        <f>IF('Pulje 5'!Q9="","",'Pulje 5'!Q9)</f>
        <v>80</v>
      </c>
      <c r="I40" s="116">
        <f>IF('Pulje 5'!R9="","",'Pulje 5'!R9)</f>
        <v>105</v>
      </c>
      <c r="J40" s="117">
        <f>IF('Pulje 5'!V9="","",'Pulje 5'!V9)</f>
        <v>8.76</v>
      </c>
      <c r="K40" s="117">
        <f>IF('Pulje 5'!W9="","",'Pulje 5'!W9)</f>
        <v>12.6</v>
      </c>
      <c r="L40" s="117">
        <f>IF('Pulje 5'!X9="","",'Pulje 5'!X9)</f>
        <v>6.8</v>
      </c>
      <c r="M40" s="117">
        <f>IF('Pulje 5'!Z10="","",'Pulje 5'!Z10)</f>
        <v>757.60191830735494</v>
      </c>
    </row>
    <row r="41" spans="1:13" ht="16">
      <c r="A41" s="111">
        <v>9</v>
      </c>
      <c r="B41" s="117">
        <f>IF('Pulje 3'!D29="","",'Pulje 3'!D29)</f>
        <v>79.83</v>
      </c>
      <c r="C41" s="112" t="str">
        <f>IF('Pulje 3'!E29="","",'Pulje 3'!E29)</f>
        <v>UM</v>
      </c>
      <c r="D41" s="112" t="str">
        <f>IF('Pulje 3'!F29="","",'Pulje 3'!F29)</f>
        <v>17-18</v>
      </c>
      <c r="E41" s="113">
        <f>IF('Pulje 3'!G29="","",'Pulje 3'!G29)</f>
        <v>39541</v>
      </c>
      <c r="F41" s="114" t="str">
        <f>IF('Pulje 3'!I29="","",'Pulje 3'!I29)</f>
        <v>Andreas Kvamsås Savland</v>
      </c>
      <c r="G41" s="114" t="str">
        <f>IF('Pulje 3'!J29="","",'Pulje 3'!J29)</f>
        <v>Tambarskjelvar IL</v>
      </c>
      <c r="H41" s="116">
        <f>IF('Pulje 3'!Q29="","",'Pulje 3'!Q29)</f>
        <v>85</v>
      </c>
      <c r="I41" s="116">
        <f>IF('Pulje 3'!R29="","",'Pulje 3'!R29)</f>
        <v>95</v>
      </c>
      <c r="J41" s="117">
        <f>IF('Pulje 3'!V29="","",'Pulje 3'!V29)</f>
        <v>7.52</v>
      </c>
      <c r="K41" s="117">
        <f>IF('Pulje 3'!W29="","",'Pulje 3'!W29)</f>
        <v>9.39</v>
      </c>
      <c r="L41" s="117">
        <f>IF('Pulje 3'!X29="","",'Pulje 3'!X29)</f>
        <v>6.7</v>
      </c>
      <c r="M41" s="117">
        <f>IF('Pulje 3'!Z30="","",'Pulje 3'!Z30)</f>
        <v>678.87809618559459</v>
      </c>
    </row>
    <row r="42" spans="1:13" ht="16">
      <c r="A42" s="111">
        <v>10</v>
      </c>
      <c r="B42" s="117">
        <f>IF('Pulje 1'!D21="","",'Pulje 1'!D21)</f>
        <v>106.69</v>
      </c>
      <c r="C42" s="112" t="str">
        <f>IF('Pulje 1'!E21="","",'Pulje 1'!E21)</f>
        <v>M45</v>
      </c>
      <c r="D42" s="112" t="str">
        <f>IF('Pulje 1'!F21="","",'Pulje 1'!F21)</f>
        <v>+35</v>
      </c>
      <c r="E42" s="113">
        <f>IF('Pulje 1'!G21="","",'Pulje 1'!G21)</f>
        <v>27849</v>
      </c>
      <c r="F42" s="114" t="str">
        <f>IF('Pulje 1'!I21="","",'Pulje 1'!I21)</f>
        <v>Børge Aadland</v>
      </c>
      <c r="G42" s="114" t="str">
        <f>IF('Pulje 1'!J21="","",'Pulje 1'!J21)</f>
        <v>AK Bjørgvin</v>
      </c>
      <c r="H42" s="116">
        <f>IF('Pulje 1'!Q21="","",'Pulje 1'!Q21)</f>
        <v>101</v>
      </c>
      <c r="I42" s="116">
        <f>IF('Pulje 1'!R21="","",'Pulje 1'!R21)</f>
        <v>137</v>
      </c>
      <c r="J42" s="117">
        <f>IF('Pulje 1'!V21="","",'Pulje 1'!V21)</f>
        <v>7.63</v>
      </c>
      <c r="K42" s="117">
        <f>IF('Pulje 1'!W21="","",'Pulje 1'!W21)</f>
        <v>11.7</v>
      </c>
      <c r="L42" s="117">
        <f>IF('Pulje 1'!X21="","",'Pulje 1'!X21)</f>
        <v>8.1999999999999993</v>
      </c>
      <c r="M42" s="117">
        <f>IF('Pulje 1'!Z21="","",'Pulje 1'!Z21)</f>
        <v>674.67328709288699</v>
      </c>
    </row>
    <row r="43" spans="1:13" ht="16">
      <c r="A43" s="111">
        <v>11</v>
      </c>
      <c r="B43" s="117">
        <f>IF('Pulje 3'!D19="","",'Pulje 3'!D19)</f>
        <v>54.14</v>
      </c>
      <c r="C43" s="112" t="str">
        <f>IF('Pulje 3'!E19="","",'Pulje 3'!E19)</f>
        <v>UM</v>
      </c>
      <c r="D43" s="112" t="str">
        <f>IF('Pulje 3'!F19="","",'Pulje 3'!F19)</f>
        <v>13-14</v>
      </c>
      <c r="E43" s="113">
        <f>IF('Pulje 3'!G19="","",'Pulje 3'!G19)</f>
        <v>40634</v>
      </c>
      <c r="F43" s="114" t="str">
        <f>IF('Pulje 3'!I19="","",'Pulje 3'!I19)</f>
        <v>Jardar Øvrebø-Feldt</v>
      </c>
      <c r="G43" s="114" t="str">
        <f>IF('Pulje 3'!J19="","",'Pulje 3'!J19)</f>
        <v>Breimsbygda IL</v>
      </c>
      <c r="H43" s="116">
        <f>IF('Pulje 3'!Q19="","",'Pulje 3'!Q19)</f>
        <v>38</v>
      </c>
      <c r="I43" s="116">
        <f>IF('Pulje 3'!R19="","",'Pulje 3'!R19)</f>
        <v>42</v>
      </c>
      <c r="J43" s="117">
        <f>IF('Pulje 3'!V19="","",'Pulje 3'!V19)</f>
        <v>6.71</v>
      </c>
      <c r="K43" s="117">
        <f>IF('Pulje 3'!W19="","",'Pulje 3'!W19)</f>
        <v>9.25</v>
      </c>
      <c r="L43" s="117">
        <f>IF('Pulje 3'!X19="","",'Pulje 3'!X19)</f>
        <v>7.5</v>
      </c>
      <c r="M43" s="117">
        <f>IF('Pulje 3'!Z20="","",'Pulje 3'!Z20)</f>
        <v>548.00823492228574</v>
      </c>
    </row>
    <row r="44" spans="1:13" ht="16">
      <c r="A44" s="111">
        <v>12</v>
      </c>
      <c r="B44" s="117">
        <f>IF('Pulje 1'!D23="","",'Pulje 1'!D23)</f>
        <v>87.64</v>
      </c>
      <c r="C44" s="112" t="str">
        <f>IF('Pulje 1'!E23="","",'Pulje 1'!E23)</f>
        <v>M60</v>
      </c>
      <c r="D44" s="112" t="str">
        <f>IF('Pulje 1'!F23="","",'Pulje 1'!F23)</f>
        <v>+35</v>
      </c>
      <c r="E44" s="113">
        <f>IF('Pulje 1'!G23="","",'Pulje 1'!G23)</f>
        <v>23243</v>
      </c>
      <c r="F44" s="114" t="str">
        <f>IF('Pulje 1'!I23="","",'Pulje 1'!I23)</f>
        <v>Jørn Helgheeim</v>
      </c>
      <c r="G44" s="114" t="str">
        <f>IF('Pulje 1'!J23="","",'Pulje 1'!J23)</f>
        <v>Tambarskjelvar IL</v>
      </c>
      <c r="H44" s="116">
        <f>IF('Pulje 1'!Q23="","",'Pulje 1'!Q23)</f>
        <v>55</v>
      </c>
      <c r="I44" s="116">
        <f>IF('Pulje 1'!R23="","",'Pulje 1'!R23)</f>
        <v>72</v>
      </c>
      <c r="J44" s="117">
        <f>IF('Pulje 1'!V23="","",'Pulje 1'!V23)</f>
        <v>6.09</v>
      </c>
      <c r="K44" s="117">
        <f>IF('Pulje 1'!W23="","",'Pulje 1'!W23)</f>
        <v>10.199999999999999</v>
      </c>
      <c r="L44" s="117">
        <f>IF('Pulje 1'!X23="","",'Pulje 1'!X23)</f>
        <v>8.9</v>
      </c>
      <c r="M44" s="117">
        <f>IF('Pulje 1'!Z23="","",'Pulje 1'!Z23)</f>
        <v>475.65388356441628</v>
      </c>
    </row>
    <row r="45" spans="1:13" ht="16">
      <c r="A45" s="111">
        <v>13</v>
      </c>
      <c r="B45" s="117">
        <f>IF('Pulje 3'!D25="","",'Pulje 3'!D25)</f>
        <v>152</v>
      </c>
      <c r="C45" s="112" t="str">
        <f>IF('Pulje 3'!E25="","",'Pulje 3'!E25)</f>
        <v>UM</v>
      </c>
      <c r="D45" s="112" t="str">
        <f>IF('Pulje 3'!F25="","",'Pulje 3'!F25)</f>
        <v>15-16</v>
      </c>
      <c r="E45" s="113">
        <f>IF('Pulje 3'!G25="","",'Pulje 3'!G25)</f>
        <v>40418</v>
      </c>
      <c r="F45" s="114" t="str">
        <f>IF('Pulje 3'!I25="","",'Pulje 3'!I25)</f>
        <v>Albert Jonas Midtbø-Figueroa</v>
      </c>
      <c r="G45" s="114" t="str">
        <f>IF('Pulje 3'!J25="","",'Pulje 3'!J25)</f>
        <v>Tambarskjelvar IL</v>
      </c>
      <c r="H45" s="116">
        <f>IF('Pulje 3'!Q25="","",'Pulje 3'!Q25)</f>
        <v>80</v>
      </c>
      <c r="I45" s="116">
        <f>IF('Pulje 3'!R25="","",'Pulje 3'!R25)</f>
        <v>100</v>
      </c>
      <c r="J45" s="117">
        <f>IF('Pulje 3'!V25="","",'Pulje 3'!V25)</f>
        <v>5.82</v>
      </c>
      <c r="K45" s="117">
        <f>IF('Pulje 3'!W25="","",'Pulje 3'!W25)</f>
        <v>12.11</v>
      </c>
      <c r="L45" s="117">
        <f>IF('Pulje 3'!X25="","",'Pulje 3'!X25)</f>
        <v>18.8</v>
      </c>
      <c r="M45" s="117">
        <f>IF('Pulje 3'!Z26="","",'Pulje 3'!Z26)</f>
        <v>459.75205665992735</v>
      </c>
    </row>
    <row r="46" spans="1:13" ht="16">
      <c r="A46" s="111">
        <v>14</v>
      </c>
      <c r="B46" s="117">
        <f>IF('Pulje 3'!D17="","",'Pulje 3'!D17)</f>
        <v>57.7</v>
      </c>
      <c r="C46" s="112" t="str">
        <f>IF('Pulje 3'!E17="","",'Pulje 3'!E17)</f>
        <v>UM</v>
      </c>
      <c r="D46" s="112" t="str">
        <f>IF('Pulje 3'!F17="","",'Pulje 3'!F17)</f>
        <v>13-14</v>
      </c>
      <c r="E46" s="113">
        <f>IF('Pulje 3'!G17="","",'Pulje 3'!G17)</f>
        <v>41187</v>
      </c>
      <c r="F46" s="114" t="str">
        <f>IF('Pulje 3'!I17="","",'Pulje 3'!I17)</f>
        <v>Anton Rivera</v>
      </c>
      <c r="G46" s="114" t="str">
        <f>IF('Pulje 3'!J17="","",'Pulje 3'!J17)</f>
        <v>AK Bjørgvin</v>
      </c>
      <c r="H46" s="116">
        <f>IF('Pulje 3'!Q17="","",'Pulje 3'!Q17)</f>
        <v>24</v>
      </c>
      <c r="I46" s="116">
        <f>IF('Pulje 3'!R17="","",'Pulje 3'!R17)</f>
        <v>36</v>
      </c>
      <c r="J46" s="117">
        <f>IF('Pulje 3'!V17="","",'Pulje 3'!V17)</f>
        <v>6.15</v>
      </c>
      <c r="K46" s="117">
        <f>IF('Pulje 3'!W17="","",'Pulje 3'!W17)</f>
        <v>6.94</v>
      </c>
      <c r="L46" s="117">
        <f>IF('Pulje 3'!X17="","",'Pulje 3'!X17)</f>
        <v>7.9</v>
      </c>
      <c r="M46" s="117">
        <f>IF('Pulje 3'!Z18="","",'Pulje 3'!Z18)</f>
        <v>430.99081251286873</v>
      </c>
    </row>
    <row r="47" spans="1:13" s="10" customFormat="1" ht="16">
      <c r="A47" s="111">
        <v>15</v>
      </c>
      <c r="B47" s="117">
        <f>IF('Pulje 3'!D15="","",'Pulje 3'!D15)</f>
        <v>38.04</v>
      </c>
      <c r="C47" s="112" t="str">
        <f>IF('Pulje 3'!E15="","",'Pulje 3'!E15)</f>
        <v>UM</v>
      </c>
      <c r="D47" s="112" t="str">
        <f>IF('Pulje 3'!F15="","",'Pulje 3'!F15)</f>
        <v>13-14</v>
      </c>
      <c r="E47" s="113">
        <f>IF('Pulje 3'!G15="","",'Pulje 3'!G15)</f>
        <v>41265</v>
      </c>
      <c r="F47" s="114" t="str">
        <f>IF('Pulje 3'!I15="","",'Pulje 3'!I15)</f>
        <v>Vinjar Kronen</v>
      </c>
      <c r="G47" s="114" t="str">
        <f>IF('Pulje 3'!J15="","",'Pulje 3'!J15)</f>
        <v>AK Bjørgvin</v>
      </c>
      <c r="H47" s="116">
        <f>IF('Pulje 3'!Q15="","",'Pulje 3'!Q15)</f>
        <v>16</v>
      </c>
      <c r="I47" s="116">
        <f>IF('Pulje 3'!R15="","",'Pulje 3'!R15)</f>
        <v>20</v>
      </c>
      <c r="J47" s="117">
        <f>IF('Pulje 3'!V15="","",'Pulje 3'!V15)</f>
        <v>5.0999999999999996</v>
      </c>
      <c r="K47" s="117">
        <f>IF('Pulje 3'!W15="","",'Pulje 3'!W15)</f>
        <v>4.5199999999999996</v>
      </c>
      <c r="L47" s="117">
        <f>IF('Pulje 3'!X15="","",'Pulje 3'!X15)</f>
        <v>9</v>
      </c>
      <c r="M47" s="117">
        <f>IF('Pulje 3'!Z16="","",'Pulje 3'!Z16)</f>
        <v>344.95631487700626</v>
      </c>
    </row>
    <row r="48" spans="1:13" s="10" customFormat="1" ht="16">
      <c r="A48" s="111">
        <v>16</v>
      </c>
      <c r="B48" s="117">
        <f>IF('Pulje 3'!D11="","",'Pulje 3'!D11)</f>
        <v>51.35</v>
      </c>
      <c r="C48" s="112" t="str">
        <f>IF('Pulje 3'!E11="","",'Pulje 3'!E11)</f>
        <v>UM</v>
      </c>
      <c r="D48" s="112" t="str">
        <f>IF('Pulje 3'!F11="","",'Pulje 3'!F11)</f>
        <v>11-12</v>
      </c>
      <c r="E48" s="113">
        <f>IF('Pulje 3'!G11="","",'Pulje 3'!G11)</f>
        <v>41616</v>
      </c>
      <c r="F48" s="114" t="str">
        <f>IF('Pulje 3'!I11="","",'Pulje 3'!I11)</f>
        <v>Ådne Rydland Kalstveit</v>
      </c>
      <c r="G48" s="114" t="str">
        <f>IF('Pulje 3'!J11="","",'Pulje 3'!J11)</f>
        <v>AK Bjørgvin</v>
      </c>
      <c r="H48" s="116">
        <f>IF('Pulje 3'!Q11="","",'Pulje 3'!Q11)</f>
        <v>14</v>
      </c>
      <c r="I48" s="116">
        <f>IF('Pulje 3'!R11="","",'Pulje 3'!R11)</f>
        <v>19</v>
      </c>
      <c r="J48" s="117">
        <f>IF('Pulje 3'!V11="","",'Pulje 3'!V11)</f>
        <v>4.63</v>
      </c>
      <c r="K48" s="117">
        <f>IF('Pulje 3'!W11="","",'Pulje 3'!W11)</f>
        <v>6.24</v>
      </c>
      <c r="L48" s="117">
        <f>IF('Pulje 3'!X11="","",'Pulje 3'!X11)</f>
        <v>8.9</v>
      </c>
      <c r="M48" s="117">
        <f>IF('Pulje 3'!Z12="","",'Pulje 3'!Z12)</f>
        <v>313.90303711253517</v>
      </c>
    </row>
    <row r="49" spans="1:13" s="10" customFormat="1" ht="16">
      <c r="A49" s="111"/>
      <c r="B49" s="117">
        <f>IF('Pulje 3'!D13="","",'Pulje 3'!D13)</f>
        <v>53.4</v>
      </c>
      <c r="C49" s="112" t="str">
        <f>IF('Pulje 3'!E13="","",'Pulje 3'!E13)</f>
        <v>UM</v>
      </c>
      <c r="D49" s="112" t="str">
        <f>IF('Pulje 3'!F13="","",'Pulje 3'!F13)</f>
        <v>11-12</v>
      </c>
      <c r="E49" s="113">
        <f>IF('Pulje 3'!G13="","",'Pulje 3'!G13)</f>
        <v>41632</v>
      </c>
      <c r="F49" s="114" t="str">
        <f>IF('Pulje 3'!I13="","",'Pulje 3'!I13)</f>
        <v>Gard Røsjø-Magnusson</v>
      </c>
      <c r="G49" s="114" t="str">
        <f>IF('Pulje 3'!J13="","",'Pulje 3'!J13)</f>
        <v>AK Bjørgvin</v>
      </c>
      <c r="H49" s="116">
        <f>IF('Pulje 3'!Q13="","",'Pulje 3'!Q13)</f>
        <v>16</v>
      </c>
      <c r="I49" s="116">
        <f>IF('Pulje 3'!R13="","",'Pulje 3'!R13)</f>
        <v>20</v>
      </c>
      <c r="J49" s="117" t="str">
        <f>IF('Pulje 3'!V13="","",'Pulje 3'!V13)</f>
        <v/>
      </c>
      <c r="K49" s="117" t="str">
        <f>IF('Pulje 3'!W13="","",'Pulje 3'!W13)</f>
        <v/>
      </c>
      <c r="L49" s="117" t="str">
        <f>IF('Pulje 3'!X13="","",'Pulje 3'!X13)</f>
        <v/>
      </c>
      <c r="M49" s="117" t="str">
        <f>IF('Pulje 3'!Z14="","",'Pulje 3'!Z14)</f>
        <v/>
      </c>
    </row>
    <row r="50" spans="1:13" ht="16">
      <c r="A50" s="111"/>
      <c r="B50" s="117">
        <f>IF('Pulje 5'!D19="","",'Pulje 5'!D19)</f>
        <v>94.63</v>
      </c>
      <c r="C50" s="112" t="str">
        <f>IF('Pulje 5'!E19="","",'Pulje 5'!E19)</f>
        <v>SM</v>
      </c>
      <c r="D50" s="112" t="str">
        <f>IF('Pulje 5'!F19="","",'Pulje 5'!F19)</f>
        <v>24-34</v>
      </c>
      <c r="E50" s="113">
        <f>IF('Pulje 5'!G19="","",'Pulje 5'!G19)</f>
        <v>34617</v>
      </c>
      <c r="F50" s="114" t="str">
        <f>IF('Pulje 5'!I19="","",'Pulje 5'!I19)</f>
        <v>Lars Espedal</v>
      </c>
      <c r="G50" s="114" t="str">
        <f>IF('Pulje 5'!J19="","",'Pulje 5'!J19)</f>
        <v>AK Bjørgvin</v>
      </c>
      <c r="H50" s="116" t="str">
        <f>IF('Pulje 5'!Q19="","",'Pulje 5'!Q19)</f>
        <v/>
      </c>
      <c r="I50" s="116">
        <f>IF('Pulje 5'!R19="","",'Pulje 5'!R19)</f>
        <v>128</v>
      </c>
      <c r="J50" s="117" t="str">
        <f>IF('Pulje 5'!V19="","",'Pulje 5'!V19)</f>
        <v/>
      </c>
      <c r="K50" s="117" t="str">
        <f>IF('Pulje 5'!W19="","",'Pulje 5'!W19)</f>
        <v/>
      </c>
      <c r="L50" s="117" t="str">
        <f>IF('Pulje 5'!X19="","",'Pulje 5'!X19)</f>
        <v/>
      </c>
      <c r="M50" s="117" t="str">
        <f>IF('Pulje 5'!Z20="","",'Pulje 5'!Z20)</f>
        <v/>
      </c>
    </row>
    <row r="51" spans="1:13" ht="16">
      <c r="A51" s="111"/>
      <c r="B51" s="117">
        <f>IF('Pulje 3'!D21="","",'Pulje 3'!D21)</f>
        <v>78.05</v>
      </c>
      <c r="C51" s="112" t="str">
        <f>IF('Pulje 3'!E21="","",'Pulje 3'!E21)</f>
        <v>UM</v>
      </c>
      <c r="D51" s="112" t="str">
        <f>IF('Pulje 3'!F21="","",'Pulje 3'!F21)</f>
        <v>15-16</v>
      </c>
      <c r="E51" s="113">
        <f>IF('Pulje 3'!G21="","",'Pulje 3'!G21)</f>
        <v>40263</v>
      </c>
      <c r="F51" s="114" t="str">
        <f>IF('Pulje 3'!I21="","",'Pulje 3'!I21)</f>
        <v>Lyder Slagstad Aamot</v>
      </c>
      <c r="G51" s="114" t="str">
        <f>IF('Pulje 3'!J21="","",'Pulje 3'!J21)</f>
        <v>Tambarskjelvar IL</v>
      </c>
      <c r="H51" s="116">
        <f>IF('Pulje 3'!Q21="","",'Pulje 3'!Q21)</f>
        <v>65</v>
      </c>
      <c r="I51" s="116" t="str">
        <f>IF('Pulje 3'!R21="","",'Pulje 3'!R21)</f>
        <v/>
      </c>
      <c r="J51" s="117">
        <f>IF('Pulje 3'!V21="","",'Pulje 3'!V21)</f>
        <v>7.84</v>
      </c>
      <c r="K51" s="117">
        <f>IF('Pulje 3'!W21="","",'Pulje 3'!W21)</f>
        <v>10</v>
      </c>
      <c r="L51" s="117">
        <f>IF('Pulje 3'!X21="","",'Pulje 3'!X21)</f>
        <v>6.9</v>
      </c>
      <c r="M51" s="117" t="str">
        <f>IF('Pulje 3'!Z22="","",'Pulje 3'!Z22)</f>
        <v/>
      </c>
    </row>
    <row r="52" spans="1:13" ht="16">
      <c r="A52" s="111"/>
      <c r="B52" s="117">
        <f>IF('Pulje 3'!D23="","",'Pulje 3'!D23)</f>
        <v>65.81</v>
      </c>
      <c r="C52" s="112" t="str">
        <f>IF('Pulje 3'!E23="","",'Pulje 3'!E23)</f>
        <v>UM</v>
      </c>
      <c r="D52" s="112" t="str">
        <f>IF('Pulje 3'!F23="","",'Pulje 3'!F23)</f>
        <v>15-16</v>
      </c>
      <c r="E52" s="113">
        <f>IF('Pulje 3'!G23="","",'Pulje 3'!G23)</f>
        <v>39932</v>
      </c>
      <c r="F52" s="114" t="str">
        <f>IF('Pulje 3'!I23="","",'Pulje 3'!I23)</f>
        <v>Andreas Kvame</v>
      </c>
      <c r="G52" s="114" t="str">
        <f>IF('Pulje 3'!J23="","",'Pulje 3'!J23)</f>
        <v>Tambarskjelvar IL</v>
      </c>
      <c r="H52" s="116">
        <f>IF('Pulje 3'!Q23="","",'Pulje 3'!Q23)</f>
        <v>60</v>
      </c>
      <c r="I52" s="116" t="str">
        <f>IF('Pulje 3'!R23="","",'Pulje 3'!R23)</f>
        <v/>
      </c>
      <c r="J52" s="117">
        <f>IF('Pulje 3'!V23="","",'Pulje 3'!V23)</f>
        <v>7.42</v>
      </c>
      <c r="K52" s="117">
        <f>IF('Pulje 3'!W23="","",'Pulje 3'!W23)</f>
        <v>9.1999999999999993</v>
      </c>
      <c r="L52" s="117">
        <f>IF('Pulje 3'!X23="","",'Pulje 3'!X23)</f>
        <v>7.1</v>
      </c>
      <c r="M52" s="117" t="str">
        <f>IF('Pulje 3'!Z24="","",'Pulje 3'!Z24)</f>
        <v/>
      </c>
    </row>
  </sheetData>
  <sortState xmlns:xlrd2="http://schemas.microsoft.com/office/spreadsheetml/2017/richdata2" ref="A6:M26">
    <sortCondition descending="1" ref="M6:M26"/>
  </sortState>
  <mergeCells count="6">
    <mergeCell ref="A31:M31"/>
    <mergeCell ref="A1:M1"/>
    <mergeCell ref="A2:E2"/>
    <mergeCell ref="F2:I2"/>
    <mergeCell ref="J2:M2"/>
    <mergeCell ref="A4:M4"/>
  </mergeCells>
  <pageMargins left="0.74803149606299213" right="0.74803149606299213" top="0.98425196850393704" bottom="0.98425196850393704" header="0.51181102362204722" footer="0.51181102362204722"/>
  <pageSetup paperSize="9" scale="59" fitToHeight="0" orientation="portrait" horizontalDpi="300" verticalDpi="300" copies="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A2E1-2570-8A40-8A6A-B891E4DA631A}">
  <sheetPr>
    <pageSetUpPr fitToPage="1"/>
  </sheetPr>
  <dimension ref="A1:M59"/>
  <sheetViews>
    <sheetView zoomScale="120" zoomScaleNormal="120" zoomScalePageLayoutView="120" workbookViewId="0">
      <selection activeCell="M51" sqref="M51"/>
    </sheetView>
  </sheetViews>
  <sheetFormatPr baseColWidth="10" defaultColWidth="8.796875" defaultRowHeight="13"/>
  <cols>
    <col min="1" max="1" width="5.3984375" customWidth="1"/>
    <col min="2" max="3" width="7.59765625" customWidth="1"/>
    <col min="4" max="4" width="7.19921875" customWidth="1"/>
    <col min="5" max="5" width="10.3984375" customWidth="1"/>
    <col min="6" max="6" width="27.59765625" customWidth="1"/>
    <col min="7" max="7" width="20.59765625" customWidth="1"/>
    <col min="8" max="9" width="6.796875" customWidth="1"/>
    <col min="10" max="11" width="8.59765625" customWidth="1"/>
    <col min="12" max="12" width="9.59765625" customWidth="1"/>
    <col min="13" max="13" width="9.3984375" bestFit="1" customWidth="1"/>
  </cols>
  <sheetData>
    <row r="1" spans="1:13" ht="31" thickBot="1">
      <c r="A1" s="309" t="s">
        <v>82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</row>
    <row r="2" spans="1:13" s="64" customFormat="1" ht="24" customHeight="1" thickBot="1">
      <c r="A2" s="312" t="str">
        <f>IF('Pulje 1'!K5&gt;0,'Pulje 1'!K5,"")</f>
        <v>AK Bjørgvn</v>
      </c>
      <c r="B2" s="313"/>
      <c r="C2" s="313"/>
      <c r="D2" s="313"/>
      <c r="E2" s="313"/>
      <c r="F2" s="314" t="str">
        <f>IF('Pulje 1'!R5&gt;0,'Pulje 1'!R5,"")</f>
        <v/>
      </c>
      <c r="G2" s="313"/>
      <c r="H2" s="313"/>
      <c r="I2" s="313"/>
      <c r="J2" s="315" t="str">
        <f>IF('Pulje 1'!X5&gt;0,'Pulje 1'!X5,"")</f>
        <v/>
      </c>
      <c r="K2" s="316"/>
      <c r="L2" s="316"/>
      <c r="M2" s="316"/>
    </row>
    <row r="3" spans="1:13" s="10" customFormat="1" ht="14" thickBot="1">
      <c r="A3" s="61" t="s">
        <v>33</v>
      </c>
      <c r="B3" s="63" t="s">
        <v>34</v>
      </c>
      <c r="C3" s="63" t="s">
        <v>35</v>
      </c>
      <c r="D3" s="61" t="s">
        <v>36</v>
      </c>
      <c r="E3" s="61" t="s">
        <v>37</v>
      </c>
      <c r="F3" s="62" t="s">
        <v>6</v>
      </c>
      <c r="G3" s="62" t="s">
        <v>28</v>
      </c>
      <c r="H3" s="61" t="s">
        <v>8</v>
      </c>
      <c r="I3" s="61" t="s">
        <v>9</v>
      </c>
      <c r="J3" s="61" t="s">
        <v>38</v>
      </c>
      <c r="K3" s="61" t="s">
        <v>39</v>
      </c>
      <c r="L3" s="61" t="s">
        <v>23</v>
      </c>
      <c r="M3" s="61" t="s">
        <v>10</v>
      </c>
    </row>
    <row r="4" spans="1:13" ht="21" thickBot="1">
      <c r="A4" s="317" t="s">
        <v>63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</row>
    <row r="5" spans="1:13" s="10" customFormat="1" ht="11" customHeight="1">
      <c r="A5" s="61"/>
      <c r="B5" s="63"/>
      <c r="C5" s="63"/>
      <c r="D5" s="61"/>
      <c r="E5" s="61"/>
      <c r="F5" s="62"/>
      <c r="G5" s="62"/>
      <c r="H5" s="61"/>
      <c r="I5" s="61"/>
      <c r="J5" s="61"/>
      <c r="K5" s="61"/>
      <c r="L5" s="61"/>
      <c r="M5" s="61"/>
    </row>
    <row r="6" spans="1:13" ht="16">
      <c r="A6" s="111"/>
      <c r="B6" s="112">
        <f>IF('Pulje 2'!D23="","",'Pulje 2'!D23)</f>
        <v>51.79</v>
      </c>
      <c r="C6" s="112" t="str">
        <f>IF('Pulje 2'!E23="","",'Pulje 2'!E23)</f>
        <v>UK</v>
      </c>
      <c r="D6" s="112" t="str">
        <f>IF('Pulje 2'!F23="","",'Pulje 2'!F23)</f>
        <v>15-16</v>
      </c>
      <c r="E6" s="113">
        <f>IF('Pulje 2'!G23="","",'Pulje 2'!G23)</f>
        <v>40008</v>
      </c>
      <c r="F6" s="114" t="str">
        <f>IF('Pulje 2'!I23="","",'Pulje 2'!I23)</f>
        <v>Heidi Nævdal</v>
      </c>
      <c r="G6" s="114" t="str">
        <f>IF('Pulje 2'!J23="","",'Pulje 2'!J23)</f>
        <v>AK Bjørgvin</v>
      </c>
      <c r="H6" s="115">
        <f>IF('Pulje 2'!Q23="","",'Pulje 2'!Q23)</f>
        <v>56</v>
      </c>
      <c r="I6" s="115">
        <f>IF('Pulje 2'!R23="","",'Pulje 2'!R23)</f>
        <v>66</v>
      </c>
      <c r="J6" s="112">
        <f>IF('Pulje 2'!V23="","",'Pulje 2'!V23)</f>
        <v>6.67</v>
      </c>
      <c r="K6" s="112">
        <f>IF('Pulje 2'!W23="","",'Pulje 2'!W23)</f>
        <v>8.59</v>
      </c>
      <c r="L6" s="112">
        <f>IF('Pulje 2'!X23="","",'Pulje 2'!X23)</f>
        <v>7.4</v>
      </c>
      <c r="M6" s="112">
        <f>IF('Pulje 2'!Z24="","",'Pulje 2'!Z24)</f>
        <v>605.10018371908552</v>
      </c>
    </row>
    <row r="7" spans="1:13" s="10" customFormat="1" ht="16">
      <c r="A7" s="111"/>
      <c r="B7" s="112">
        <f>IF('Pulje 2'!D25="","",'Pulje 2'!D25)</f>
        <v>62.45</v>
      </c>
      <c r="C7" s="112" t="str">
        <f>IF('Pulje 2'!E25="","",'Pulje 2'!E25)</f>
        <v>UK</v>
      </c>
      <c r="D7" s="112" t="str">
        <f>IF('Pulje 2'!F25="","",'Pulje 2'!F25)</f>
        <v>15-16</v>
      </c>
      <c r="E7" s="113">
        <f>IF('Pulje 2'!G25="","",'Pulje 2'!G25)</f>
        <v>40263</v>
      </c>
      <c r="F7" s="114" t="str">
        <f>IF('Pulje 2'!I25="","",'Pulje 2'!I25)</f>
        <v>Sandra Viktoria N. Amundsen</v>
      </c>
      <c r="G7" s="114" t="str">
        <f>IF('Pulje 2'!J25="","",'Pulje 2'!J25)</f>
        <v>AK Bjørgvin</v>
      </c>
      <c r="H7" s="115">
        <f>IF('Pulje 2'!Q25="","",'Pulje 2'!Q25)</f>
        <v>66</v>
      </c>
      <c r="I7" s="115">
        <f>IF('Pulje 2'!R25="","",'Pulje 2'!R25)</f>
        <v>81</v>
      </c>
      <c r="J7" s="112">
        <f>IF('Pulje 2'!V25="","",'Pulje 2'!V25)</f>
        <v>5.84</v>
      </c>
      <c r="K7" s="112">
        <f>IF('Pulje 2'!W25="","",'Pulje 2'!W25)</f>
        <v>7.84</v>
      </c>
      <c r="L7" s="112">
        <f>IF('Pulje 2'!X25="","",'Pulje 2'!X25)</f>
        <v>7.5</v>
      </c>
      <c r="M7" s="112">
        <f>IF('Pulje 2'!Z26="","",'Pulje 2'!Z26)</f>
        <v>566.78685074618807</v>
      </c>
    </row>
    <row r="8" spans="1:13" s="10" customFormat="1" ht="16">
      <c r="A8" s="111"/>
      <c r="B8" s="112">
        <f>IF('Pulje 2'!D17="","",'Pulje 2'!D17)</f>
        <v>42.15</v>
      </c>
      <c r="C8" s="112" t="str">
        <f>IF('Pulje 2'!E17="","",'Pulje 2'!E17)</f>
        <v>UK</v>
      </c>
      <c r="D8" s="112" t="str">
        <f>IF('Pulje 2'!F17="","",'Pulje 2'!F17)</f>
        <v>13-14</v>
      </c>
      <c r="E8" s="113">
        <f>IF('Pulje 2'!G17="","",'Pulje 2'!G17)</f>
        <v>40848</v>
      </c>
      <c r="F8" s="114" t="str">
        <f>IF('Pulje 2'!I17="","",'Pulje 2'!I17)</f>
        <v>Ingrid Skag Skjefstad</v>
      </c>
      <c r="G8" s="114" t="str">
        <f>IF('Pulje 2'!J17="","",'Pulje 2'!J17)</f>
        <v>AK Bjørgvin</v>
      </c>
      <c r="H8" s="115">
        <f>IF('Pulje 2'!Q17="","",'Pulje 2'!Q17)</f>
        <v>42</v>
      </c>
      <c r="I8" s="115">
        <f>IF('Pulje 2'!R17="","",'Pulje 2'!R17)</f>
        <v>53</v>
      </c>
      <c r="J8" s="112">
        <f>IF('Pulje 2'!V17="","",'Pulje 2'!V17)</f>
        <v>5.9</v>
      </c>
      <c r="K8" s="112">
        <f>IF('Pulje 2'!W17="","",'Pulje 2'!W17)</f>
        <v>7.5</v>
      </c>
      <c r="L8" s="112">
        <f>IF('Pulje 2'!X17="","",'Pulje 2'!X17)</f>
        <v>7.9</v>
      </c>
      <c r="M8" s="112">
        <f>IF('Pulje 2'!Z18="","",'Pulje 2'!Z18)</f>
        <v>559.64459031189062</v>
      </c>
    </row>
    <row r="9" spans="1:13" s="10" customFormat="1" ht="16">
      <c r="A9" s="111"/>
      <c r="B9" s="112">
        <f>IF('Pulje 2'!D19="","",'Pulje 2'!D19)</f>
        <v>46.06</v>
      </c>
      <c r="C9" s="112" t="str">
        <f>IF('Pulje 2'!E19="","",'Pulje 2'!E19)</f>
        <v>UK</v>
      </c>
      <c r="D9" s="112" t="str">
        <f>IF('Pulje 2'!F19="","",'Pulje 2'!F19)</f>
        <v>13-14</v>
      </c>
      <c r="E9" s="113">
        <f>IF('Pulje 2'!G19="","",'Pulje 2'!G19)</f>
        <v>41227</v>
      </c>
      <c r="F9" s="114" t="str">
        <f>IF('Pulje 2'!I19="","",'Pulje 2'!I19)</f>
        <v>Lisa Nøstdal Lending</v>
      </c>
      <c r="G9" s="114" t="str">
        <f>IF('Pulje 2'!J19="","",'Pulje 2'!J19)</f>
        <v>Tambarskjelvar IL</v>
      </c>
      <c r="H9" s="115">
        <f>IF('Pulje 2'!Q19="","",'Pulje 2'!Q19)</f>
        <v>31</v>
      </c>
      <c r="I9" s="115">
        <f>IF('Pulje 2'!R19="","",'Pulje 2'!R19)</f>
        <v>37</v>
      </c>
      <c r="J9" s="112">
        <f>IF('Pulje 2'!V19="","",'Pulje 2'!V19)</f>
        <v>5.93</v>
      </c>
      <c r="K9" s="112">
        <f>IF('Pulje 2'!W19="","",'Pulje 2'!W19)</f>
        <v>6.08</v>
      </c>
      <c r="L9" s="112">
        <f>IF('Pulje 2'!X19="","",'Pulje 2'!X19)</f>
        <v>7.4</v>
      </c>
      <c r="M9" s="112">
        <f>IF('Pulje 2'!Z20="","",'Pulje 2'!Z20)</f>
        <v>472.82181731859112</v>
      </c>
    </row>
    <row r="10" spans="1:13" s="10" customFormat="1" ht="16">
      <c r="A10" s="111"/>
      <c r="B10" s="112">
        <f>IF('Pulje 2'!D27="","",'Pulje 2'!D27)</f>
        <v>78.03</v>
      </c>
      <c r="C10" s="112" t="str">
        <f>IF('Pulje 2'!E27="","",'Pulje 2'!E27)</f>
        <v>UK</v>
      </c>
      <c r="D10" s="112" t="str">
        <f>IF('Pulje 2'!F27="","",'Pulje 2'!F27)</f>
        <v>15-16</v>
      </c>
      <c r="E10" s="113">
        <f>IF('Pulje 2'!G27="","",'Pulje 2'!G27)</f>
        <v>40071</v>
      </c>
      <c r="F10" s="114" t="str">
        <f>IF('Pulje 2'!I27="","",'Pulje 2'!I27)</f>
        <v>Kristina Haugsbø Smådal</v>
      </c>
      <c r="G10" s="114" t="str">
        <f>IF('Pulje 2'!J27="","",'Pulje 2'!J27)</f>
        <v>Tambarskjelvar IL</v>
      </c>
      <c r="H10" s="115">
        <f>IF('Pulje 2'!Q27="","",'Pulje 2'!Q27)</f>
        <v>50</v>
      </c>
      <c r="I10" s="115">
        <f>IF('Pulje 2'!R27="","",'Pulje 2'!R27)</f>
        <v>57</v>
      </c>
      <c r="J10" s="112">
        <f>IF('Pulje 2'!V27="","",'Pulje 2'!V27)</f>
        <v>5.44</v>
      </c>
      <c r="K10" s="112">
        <f>IF('Pulje 2'!W27="","",'Pulje 2'!W27)</f>
        <v>7.5</v>
      </c>
      <c r="L10" s="112">
        <f>IF('Pulje 2'!X27="","",'Pulje 2'!X27)</f>
        <v>7.8</v>
      </c>
      <c r="M10" s="112">
        <f>IF('Pulje 2'!Z28="","",'Pulje 2'!Z28)</f>
        <v>444.25817569334509</v>
      </c>
    </row>
    <row r="11" spans="1:13" s="10" customFormat="1" ht="16">
      <c r="A11" s="111"/>
      <c r="B11" s="112">
        <f>IF('Pulje 2'!D13="","",'Pulje 2'!D13)</f>
        <v>42.03</v>
      </c>
      <c r="C11" s="112" t="str">
        <f>IF('Pulje 2'!E13="","",'Pulje 2'!E13)</f>
        <v>UK</v>
      </c>
      <c r="D11" s="112" t="str">
        <f>IF('Pulje 2'!F13="","",'Pulje 2'!F13)</f>
        <v>11-12</v>
      </c>
      <c r="E11" s="113">
        <f>IF('Pulje 2'!G13="","",'Pulje 2'!G13)</f>
        <v>41765</v>
      </c>
      <c r="F11" s="114" t="str">
        <f>IF('Pulje 2'!I13="","",'Pulje 2'!I13)</f>
        <v>Miriam Mella</v>
      </c>
      <c r="G11" s="114" t="str">
        <f>IF('Pulje 2'!J13="","",'Pulje 2'!J13)</f>
        <v>AK Bjørgvin</v>
      </c>
      <c r="H11" s="115">
        <f>IF('Pulje 2'!Q13="","",'Pulje 2'!Q13)</f>
        <v>31</v>
      </c>
      <c r="I11" s="115">
        <f>IF('Pulje 2'!R13="","",'Pulje 2'!R13)</f>
        <v>37</v>
      </c>
      <c r="J11" s="112">
        <f>IF('Pulje 2'!V13="","",'Pulje 2'!V13)</f>
        <v>5.88</v>
      </c>
      <c r="K11" s="112">
        <f>IF('Pulje 2'!W13="","",'Pulje 2'!W13)</f>
        <v>5.55</v>
      </c>
      <c r="L11" s="112">
        <f>IF('Pulje 2'!X13="","",'Pulje 2'!X13)</f>
        <v>8.4</v>
      </c>
      <c r="M11" s="112">
        <f>IF('Pulje 2'!Z14="","",'Pulje 2'!Z14)</f>
        <v>442.04524596057109</v>
      </c>
    </row>
    <row r="12" spans="1:13" s="10" customFormat="1" ht="16">
      <c r="A12" s="111"/>
      <c r="B12" s="112">
        <f>IF('Pulje 2'!D15="","",'Pulje 2'!D15)</f>
        <v>43.99</v>
      </c>
      <c r="C12" s="112" t="str">
        <f>IF('Pulje 2'!E15="","",'Pulje 2'!E15)</f>
        <v>UK</v>
      </c>
      <c r="D12" s="112" t="str">
        <f>IF('Pulje 2'!F15="","",'Pulje 2'!F15)</f>
        <v>13-14</v>
      </c>
      <c r="E12" s="113">
        <f>IF('Pulje 2'!G15="","",'Pulje 2'!G15)</f>
        <v>41022</v>
      </c>
      <c r="F12" s="114" t="str">
        <f>IF('Pulje 2'!I15="","",'Pulje 2'!I15)</f>
        <v>Oline Mella</v>
      </c>
      <c r="G12" s="114" t="str">
        <f>IF('Pulje 2'!J15="","",'Pulje 2'!J15)</f>
        <v>AK Bjørgvin</v>
      </c>
      <c r="H12" s="115">
        <f>IF('Pulje 2'!Q15="","",'Pulje 2'!Q15)</f>
        <v>28</v>
      </c>
      <c r="I12" s="115">
        <f>IF('Pulje 2'!R15="","",'Pulje 2'!R15)</f>
        <v>33</v>
      </c>
      <c r="J12" s="112">
        <f>IF('Pulje 2'!V15="","",'Pulje 2'!V15)</f>
        <v>5.37</v>
      </c>
      <c r="K12" s="112">
        <f>IF('Pulje 2'!W15="","",'Pulje 2'!W15)</f>
        <v>5.92</v>
      </c>
      <c r="L12" s="112">
        <f>IF('Pulje 2'!X15="","",'Pulje 2'!X15)</f>
        <v>7.8</v>
      </c>
      <c r="M12" s="112">
        <f>IF('Pulje 2'!Z16="","",'Pulje 2'!Z16)</f>
        <v>438.36195651852933</v>
      </c>
    </row>
    <row r="13" spans="1:13" s="10" customFormat="1" ht="16">
      <c r="A13" s="111"/>
      <c r="B13" s="112">
        <f>IF('Pulje 2'!D9="","",'Pulje 2'!D9)</f>
        <v>44.23</v>
      </c>
      <c r="C13" s="112" t="str">
        <f>IF('Pulje 2'!E9="","",'Pulje 2'!E9)</f>
        <v>UK</v>
      </c>
      <c r="D13" s="112" t="str">
        <f>IF('Pulje 2'!F9="","",'Pulje 2'!F9)</f>
        <v>11-12</v>
      </c>
      <c r="E13" s="113">
        <f>IF('Pulje 2'!G9="","",'Pulje 2'!G9)</f>
        <v>41367</v>
      </c>
      <c r="F13" s="114" t="str">
        <f>IF('Pulje 2'!I9="","",'Pulje 2'!I9)</f>
        <v>Othilie Løvik</v>
      </c>
      <c r="G13" s="114" t="str">
        <f>IF('Pulje 2'!J9="","",'Pulje 2'!J9)</f>
        <v>AK Bjørgvin</v>
      </c>
      <c r="H13" s="115">
        <f>IF('Pulje 2'!Q9="","",'Pulje 2'!Q9)</f>
        <v>19</v>
      </c>
      <c r="I13" s="115">
        <f>IF('Pulje 2'!R9="","",'Pulje 2'!R9)</f>
        <v>21</v>
      </c>
      <c r="J13" s="112">
        <f>IF('Pulje 2'!V9="","",'Pulje 2'!V9)</f>
        <v>5.59</v>
      </c>
      <c r="K13" s="112">
        <f>IF('Pulje 2'!W9="","",'Pulje 2'!W9)</f>
        <v>7.04</v>
      </c>
      <c r="L13" s="112">
        <f>IF('Pulje 2'!X9="","",'Pulje 2'!X9)</f>
        <v>7.7</v>
      </c>
      <c r="M13" s="112">
        <f>IF('Pulje 2'!Z10="","",'Pulje 2'!Z10)</f>
        <v>424.9504133711597</v>
      </c>
    </row>
    <row r="14" spans="1:13" s="10" customFormat="1" ht="16">
      <c r="A14" s="111"/>
      <c r="B14" s="112">
        <f>IF('Pulje 2'!D29="","",'Pulje 2'!D29)</f>
        <v>81.91</v>
      </c>
      <c r="C14" s="112" t="str">
        <f>IF('Pulje 2'!E29="","",'Pulje 2'!E29)</f>
        <v>UK</v>
      </c>
      <c r="D14" s="112" t="str">
        <f>IF('Pulje 2'!F29="","",'Pulje 2'!F29)</f>
        <v>15-16</v>
      </c>
      <c r="E14" s="113">
        <f>IF('Pulje 2'!G29="","",'Pulje 2'!G29)</f>
        <v>40113</v>
      </c>
      <c r="F14" s="114" t="str">
        <f>IF('Pulje 2'!I29="","",'Pulje 2'!I29)</f>
        <v>Madeleine Indrebø</v>
      </c>
      <c r="G14" s="114" t="str">
        <f>IF('Pulje 2'!J29="","",'Pulje 2'!J29)</f>
        <v>Tambarskjelvar IL</v>
      </c>
      <c r="H14" s="115">
        <f>IF('Pulje 2'!Q29="","",'Pulje 2'!Q29)</f>
        <v>35</v>
      </c>
      <c r="I14" s="115">
        <f>IF('Pulje 2'!R29="","",'Pulje 2'!R29)</f>
        <v>46</v>
      </c>
      <c r="J14" s="112">
        <f>IF('Pulje 2'!V29="","",'Pulje 2'!V29)</f>
        <v>5.61</v>
      </c>
      <c r="K14" s="112">
        <f>IF('Pulje 2'!W29="","",'Pulje 2'!W29)</f>
        <v>6.3</v>
      </c>
      <c r="L14" s="112">
        <f>IF('Pulje 2'!X29="","",'Pulje 2'!X29)</f>
        <v>8.3000000000000007</v>
      </c>
      <c r="M14" s="112">
        <f>IF('Pulje 2'!Z30="","",'Pulje 2'!Z30)</f>
        <v>370.98246126752622</v>
      </c>
    </row>
    <row r="15" spans="1:13" s="10" customFormat="1" ht="16">
      <c r="A15" s="111"/>
      <c r="B15" s="112">
        <f>IF('Pulje 2'!D21="","",'Pulje 2'!D21)</f>
        <v>49.27</v>
      </c>
      <c r="C15" s="112" t="str">
        <f>IF('Pulje 2'!E21="","",'Pulje 2'!E21)</f>
        <v>UK</v>
      </c>
      <c r="D15" s="112" t="str">
        <f>IF('Pulje 2'!F21="","",'Pulje 2'!F21)</f>
        <v>13-14</v>
      </c>
      <c r="E15" s="113">
        <f>IF('Pulje 2'!G21="","",'Pulje 2'!G21)</f>
        <v>41064</v>
      </c>
      <c r="F15" s="114" t="str">
        <f>IF('Pulje 2'!I21="","",'Pulje 2'!I21)</f>
        <v>Isabel Jensen Fauske</v>
      </c>
      <c r="G15" s="114" t="str">
        <f>IF('Pulje 2'!J21="","",'Pulje 2'!J21)</f>
        <v>Tambarskjelvar IL</v>
      </c>
      <c r="H15" s="115">
        <f>IF('Pulje 2'!Q21="","",'Pulje 2'!Q21)</f>
        <v>22</v>
      </c>
      <c r="I15" s="115">
        <f>IF('Pulje 2'!R21="","",'Pulje 2'!R21)</f>
        <v>28</v>
      </c>
      <c r="J15" s="112">
        <f>IF('Pulje 2'!V21="","",'Pulje 2'!V21)</f>
        <v>5.37</v>
      </c>
      <c r="K15" s="112">
        <f>IF('Pulje 2'!W21="","",'Pulje 2'!W21)</f>
        <v>5.15</v>
      </c>
      <c r="L15" s="112">
        <f>IF('Pulje 2'!X21="","",'Pulje 2'!X21)</f>
        <v>8.6</v>
      </c>
      <c r="M15" s="112">
        <f>IF('Pulje 2'!Z22="","",'Pulje 2'!Z22)</f>
        <v>349.5207426147831</v>
      </c>
    </row>
    <row r="16" spans="1:13" s="10" customFormat="1" ht="11" customHeight="1" thickBot="1">
      <c r="A16" s="103"/>
      <c r="B16" s="104"/>
      <c r="C16" s="104"/>
      <c r="D16" s="103"/>
      <c r="E16" s="103"/>
      <c r="F16" s="105"/>
      <c r="G16" s="105"/>
      <c r="H16" s="103"/>
      <c r="I16" s="103"/>
      <c r="J16" s="103"/>
      <c r="K16" s="103"/>
      <c r="L16" s="103"/>
      <c r="M16" s="103"/>
    </row>
    <row r="17" spans="1:13" ht="21" thickBot="1">
      <c r="A17" s="320" t="s">
        <v>64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2"/>
    </row>
    <row r="18" spans="1:13" s="10" customFormat="1" ht="11" customHeight="1">
      <c r="A18" s="61"/>
      <c r="B18" s="63"/>
      <c r="C18" s="63"/>
      <c r="D18" s="61"/>
      <c r="E18" s="61"/>
      <c r="F18" s="62"/>
      <c r="G18" s="62"/>
      <c r="H18" s="61"/>
      <c r="I18" s="61"/>
      <c r="J18" s="61"/>
      <c r="K18" s="61"/>
      <c r="L18" s="61"/>
      <c r="M18" s="61"/>
    </row>
    <row r="19" spans="1:13" ht="16">
      <c r="A19" s="111">
        <v>1</v>
      </c>
      <c r="B19" s="112">
        <f>IF('Pulje 3'!D31="","",'Pulje 3'!D31)</f>
        <v>92.77</v>
      </c>
      <c r="C19" s="112" t="str">
        <f>IF('Pulje 3'!E31="","",'Pulje 3'!E31)</f>
        <v>UM</v>
      </c>
      <c r="D19" s="112" t="str">
        <f>IF('Pulje 3'!F31="","",'Pulje 3'!F31)</f>
        <v>17-18</v>
      </c>
      <c r="E19" s="113">
        <f>IF('Pulje 3'!G31="","",'Pulje 3'!G31)</f>
        <v>39760</v>
      </c>
      <c r="F19" s="114" t="str">
        <f>IF('Pulje 3'!I31="","",'Pulje 3'!I31)</f>
        <v>Nikolai K. Aadland</v>
      </c>
      <c r="G19" s="114" t="str">
        <f>IF('Pulje 3'!J31="","",'Pulje 3'!J31)</f>
        <v>AK Bjørgvin</v>
      </c>
      <c r="H19" s="115">
        <f>IF('Pulje 3'!Q31="","",'Pulje 3'!Q31)</f>
        <v>117</v>
      </c>
      <c r="I19" s="115">
        <f>IF('Pulje 3'!R31="","",'Pulje 3'!R31)</f>
        <v>151</v>
      </c>
      <c r="J19" s="112">
        <f>IF('Pulje 3'!V31="","",'Pulje 3'!V31)</f>
        <v>7.54</v>
      </c>
      <c r="K19" s="112">
        <f>IF('Pulje 3'!W31="","",'Pulje 3'!W31)</f>
        <v>10.8</v>
      </c>
      <c r="L19" s="112">
        <f>IF('Pulje 3'!X31="","",'Pulje 3'!X31)</f>
        <v>6.8</v>
      </c>
      <c r="M19" s="112">
        <f>IF('Pulje 3'!Z32="","",'Pulje 3'!Z32)</f>
        <v>787.9577494160244</v>
      </c>
    </row>
    <row r="20" spans="1:13" ht="16">
      <c r="A20" s="111">
        <v>2</v>
      </c>
      <c r="B20" s="112">
        <f>IF('Pulje 3'!D27="","",'Pulje 3'!D27)</f>
        <v>84.31</v>
      </c>
      <c r="C20" s="112" t="str">
        <f>IF('Pulje 3'!E27="","",'Pulje 3'!E27)</f>
        <v>UM</v>
      </c>
      <c r="D20" s="112" t="str">
        <f>IF('Pulje 3'!F27="","",'Pulje 3'!F27)</f>
        <v>17-18</v>
      </c>
      <c r="E20" s="113">
        <f>IF('Pulje 3'!G27="","",'Pulje 3'!G27)</f>
        <v>39679</v>
      </c>
      <c r="F20" s="114" t="str">
        <f>IF('Pulje 3'!I27="","",'Pulje 3'!I27)</f>
        <v>Olai Slagstad Aaamot</v>
      </c>
      <c r="G20" s="114" t="str">
        <f>IF('Pulje 3'!J27="","",'Pulje 3'!J27)</f>
        <v>Tambarskjelvar IL</v>
      </c>
      <c r="H20" s="115">
        <f>IF('Pulje 3'!Q27="","",'Pulje 3'!Q27)</f>
        <v>95</v>
      </c>
      <c r="I20" s="115">
        <f>IF('Pulje 3'!R27="","",'Pulje 3'!R27)</f>
        <v>123</v>
      </c>
      <c r="J20" s="112">
        <f>IF('Pulje 3'!V27="","",'Pulje 3'!V27)</f>
        <v>8.6</v>
      </c>
      <c r="K20" s="112">
        <f>IF('Pulje 3'!W27="","",'Pulje 3'!W27)</f>
        <v>10.26</v>
      </c>
      <c r="L20" s="112">
        <f>IF('Pulje 3'!X27="","",'Pulje 3'!X27)</f>
        <v>6.6</v>
      </c>
      <c r="M20" s="112">
        <f>IF('Pulje 3'!Z28="","",'Pulje 3'!Z28)</f>
        <v>760.43408722818151</v>
      </c>
    </row>
    <row r="21" spans="1:13" ht="16">
      <c r="A21" s="111">
        <v>3</v>
      </c>
      <c r="B21" s="112">
        <f>IF('Pulje 3'!D29="","",'Pulje 3'!D29)</f>
        <v>79.83</v>
      </c>
      <c r="C21" s="112" t="str">
        <f>IF('Pulje 3'!E29="","",'Pulje 3'!E29)</f>
        <v>UM</v>
      </c>
      <c r="D21" s="112" t="str">
        <f>IF('Pulje 3'!F29="","",'Pulje 3'!F29)</f>
        <v>17-18</v>
      </c>
      <c r="E21" s="113">
        <f>IF('Pulje 3'!G29="","",'Pulje 3'!G29)</f>
        <v>39541</v>
      </c>
      <c r="F21" s="114" t="str">
        <f>IF('Pulje 3'!I29="","",'Pulje 3'!I29)</f>
        <v>Andreas Kvamsås Savland</v>
      </c>
      <c r="G21" s="114" t="str">
        <f>IF('Pulje 3'!J29="","",'Pulje 3'!J29)</f>
        <v>Tambarskjelvar IL</v>
      </c>
      <c r="H21" s="115">
        <f>IF('Pulje 3'!Q29="","",'Pulje 3'!Q29)</f>
        <v>85</v>
      </c>
      <c r="I21" s="115">
        <f>IF('Pulje 3'!R29="","",'Pulje 3'!R29)</f>
        <v>95</v>
      </c>
      <c r="J21" s="112">
        <f>IF('Pulje 3'!V29="","",'Pulje 3'!V29)</f>
        <v>7.52</v>
      </c>
      <c r="K21" s="112">
        <f>IF('Pulje 3'!W29="","",'Pulje 3'!W29)</f>
        <v>9.39</v>
      </c>
      <c r="L21" s="112">
        <f>IF('Pulje 3'!X29="","",'Pulje 3'!X29)</f>
        <v>6.7</v>
      </c>
      <c r="M21" s="112">
        <f>IF('Pulje 3'!Z30="","",'Pulje 3'!Z30)</f>
        <v>678.87809618559459</v>
      </c>
    </row>
    <row r="22" spans="1:13" ht="16">
      <c r="A22" s="111">
        <v>4</v>
      </c>
      <c r="B22" s="112">
        <f>IF('Pulje 3'!D19="","",'Pulje 3'!D19)</f>
        <v>54.14</v>
      </c>
      <c r="C22" s="112" t="str">
        <f>IF('Pulje 3'!E19="","",'Pulje 3'!E19)</f>
        <v>UM</v>
      </c>
      <c r="D22" s="112" t="str">
        <f>IF('Pulje 3'!F19="","",'Pulje 3'!F19)</f>
        <v>13-14</v>
      </c>
      <c r="E22" s="113">
        <f>IF('Pulje 3'!G19="","",'Pulje 3'!G19)</f>
        <v>40634</v>
      </c>
      <c r="F22" s="114" t="str">
        <f>IF('Pulje 3'!I19="","",'Pulje 3'!I19)</f>
        <v>Jardar Øvrebø-Feldt</v>
      </c>
      <c r="G22" s="114" t="str">
        <f>IF('Pulje 3'!J19="","",'Pulje 3'!J19)</f>
        <v>Breimsbygda IL</v>
      </c>
      <c r="H22" s="115">
        <f>IF('Pulje 3'!Q19="","",'Pulje 3'!Q19)</f>
        <v>38</v>
      </c>
      <c r="I22" s="115">
        <f>IF('Pulje 3'!R19="","",'Pulje 3'!R19)</f>
        <v>42</v>
      </c>
      <c r="J22" s="112">
        <f>IF('Pulje 3'!V19="","",'Pulje 3'!V19)</f>
        <v>6.71</v>
      </c>
      <c r="K22" s="112">
        <f>IF('Pulje 3'!W19="","",'Pulje 3'!W19)</f>
        <v>9.25</v>
      </c>
      <c r="L22" s="112">
        <f>IF('Pulje 3'!X19="","",'Pulje 3'!X19)</f>
        <v>7.5</v>
      </c>
      <c r="M22" s="112">
        <f>IF('Pulje 3'!Z20="","",'Pulje 3'!Z20)</f>
        <v>548.00823492228574</v>
      </c>
    </row>
    <row r="23" spans="1:13" ht="16">
      <c r="A23" s="111">
        <v>5</v>
      </c>
      <c r="B23" s="112">
        <f>IF('Pulje 3'!D25="","",'Pulje 3'!D25)</f>
        <v>152</v>
      </c>
      <c r="C23" s="112" t="str">
        <f>IF('Pulje 3'!E25="","",'Pulje 3'!E25)</f>
        <v>UM</v>
      </c>
      <c r="D23" s="112" t="str">
        <f>IF('Pulje 3'!F25="","",'Pulje 3'!F25)</f>
        <v>15-16</v>
      </c>
      <c r="E23" s="113">
        <f>IF('Pulje 3'!G25="","",'Pulje 3'!G25)</f>
        <v>40418</v>
      </c>
      <c r="F23" s="114" t="str">
        <f>IF('Pulje 3'!I25="","",'Pulje 3'!I25)</f>
        <v>Albert Jonas Midtbø-Figueroa</v>
      </c>
      <c r="G23" s="114" t="str">
        <f>IF('Pulje 3'!J25="","",'Pulje 3'!J25)</f>
        <v>Tambarskjelvar IL</v>
      </c>
      <c r="H23" s="115">
        <f>IF('Pulje 3'!Q25="","",'Pulje 3'!Q25)</f>
        <v>80</v>
      </c>
      <c r="I23" s="115">
        <f>IF('Pulje 3'!R25="","",'Pulje 3'!R25)</f>
        <v>100</v>
      </c>
      <c r="J23" s="112">
        <f>IF('Pulje 3'!V25="","",'Pulje 3'!V25)</f>
        <v>5.82</v>
      </c>
      <c r="K23" s="112">
        <f>IF('Pulje 3'!W25="","",'Pulje 3'!W25)</f>
        <v>12.11</v>
      </c>
      <c r="L23" s="112">
        <f>IF('Pulje 3'!X25="","",'Pulje 3'!X25)</f>
        <v>18.8</v>
      </c>
      <c r="M23" s="112">
        <f>IF('Pulje 3'!Z26="","",'Pulje 3'!Z26)</f>
        <v>459.75205665992735</v>
      </c>
    </row>
    <row r="24" spans="1:13" ht="16">
      <c r="A24" s="111">
        <v>6</v>
      </c>
      <c r="B24" s="112">
        <f>IF('Pulje 3'!D17="","",'Pulje 3'!D17)</f>
        <v>57.7</v>
      </c>
      <c r="C24" s="112" t="str">
        <f>IF('Pulje 3'!E17="","",'Pulje 3'!E17)</f>
        <v>UM</v>
      </c>
      <c r="D24" s="112" t="str">
        <f>IF('Pulje 3'!F17="","",'Pulje 3'!F17)</f>
        <v>13-14</v>
      </c>
      <c r="E24" s="113">
        <f>IF('Pulje 3'!G17="","",'Pulje 3'!G17)</f>
        <v>41187</v>
      </c>
      <c r="F24" s="114" t="str">
        <f>IF('Pulje 3'!I17="","",'Pulje 3'!I17)</f>
        <v>Anton Rivera</v>
      </c>
      <c r="G24" s="114" t="str">
        <f>IF('Pulje 3'!J17="","",'Pulje 3'!J17)</f>
        <v>AK Bjørgvin</v>
      </c>
      <c r="H24" s="115">
        <f>IF('Pulje 3'!Q17="","",'Pulje 3'!Q17)</f>
        <v>24</v>
      </c>
      <c r="I24" s="115">
        <f>IF('Pulje 3'!R17="","",'Pulje 3'!R17)</f>
        <v>36</v>
      </c>
      <c r="J24" s="112">
        <f>IF('Pulje 3'!V17="","",'Pulje 3'!V17)</f>
        <v>6.15</v>
      </c>
      <c r="K24" s="112">
        <f>IF('Pulje 3'!W17="","",'Pulje 3'!W17)</f>
        <v>6.94</v>
      </c>
      <c r="L24" s="112">
        <f>IF('Pulje 3'!X17="","",'Pulje 3'!X17)</f>
        <v>7.9</v>
      </c>
      <c r="M24" s="112">
        <f>IF('Pulje 3'!Z18="","",'Pulje 3'!Z18)</f>
        <v>430.99081251286873</v>
      </c>
    </row>
    <row r="25" spans="1:13" ht="16">
      <c r="A25" s="111">
        <v>7</v>
      </c>
      <c r="B25" s="112">
        <f>IF('Pulje 3'!D15="","",'Pulje 3'!D15)</f>
        <v>38.04</v>
      </c>
      <c r="C25" s="112" t="str">
        <f>IF('Pulje 3'!E15="","",'Pulje 3'!E15)</f>
        <v>UM</v>
      </c>
      <c r="D25" s="112" t="str">
        <f>IF('Pulje 3'!F15="","",'Pulje 3'!F15)</f>
        <v>13-14</v>
      </c>
      <c r="E25" s="113">
        <f>IF('Pulje 3'!G15="","",'Pulje 3'!G15)</f>
        <v>41265</v>
      </c>
      <c r="F25" s="114" t="str">
        <f>IF('Pulje 3'!I15="","",'Pulje 3'!I15)</f>
        <v>Vinjar Kronen</v>
      </c>
      <c r="G25" s="114" t="str">
        <f>IF('Pulje 3'!J15="","",'Pulje 3'!J15)</f>
        <v>AK Bjørgvin</v>
      </c>
      <c r="H25" s="115">
        <f>IF('Pulje 3'!Q15="","",'Pulje 3'!Q15)</f>
        <v>16</v>
      </c>
      <c r="I25" s="115">
        <f>IF('Pulje 3'!R15="","",'Pulje 3'!R15)</f>
        <v>20</v>
      </c>
      <c r="J25" s="112">
        <f>IF('Pulje 3'!V15="","",'Pulje 3'!V15)</f>
        <v>5.0999999999999996</v>
      </c>
      <c r="K25" s="112">
        <f>IF('Pulje 3'!W15="","",'Pulje 3'!W15)</f>
        <v>4.5199999999999996</v>
      </c>
      <c r="L25" s="112">
        <f>IF('Pulje 3'!X15="","",'Pulje 3'!X15)</f>
        <v>9</v>
      </c>
      <c r="M25" s="112">
        <f>IF('Pulje 3'!Z16="","",'Pulje 3'!Z16)</f>
        <v>344.95631487700626</v>
      </c>
    </row>
    <row r="26" spans="1:13" ht="16">
      <c r="A26" s="111">
        <v>8</v>
      </c>
      <c r="B26" s="112">
        <f>IF('Pulje 3'!D11="","",'Pulje 3'!D11)</f>
        <v>51.35</v>
      </c>
      <c r="C26" s="112" t="str">
        <f>IF('Pulje 3'!E11="","",'Pulje 3'!E11)</f>
        <v>UM</v>
      </c>
      <c r="D26" s="112" t="str">
        <f>IF('Pulje 3'!F11="","",'Pulje 3'!F11)</f>
        <v>11-12</v>
      </c>
      <c r="E26" s="113">
        <f>IF('Pulje 3'!G11="","",'Pulje 3'!G11)</f>
        <v>41616</v>
      </c>
      <c r="F26" s="114" t="str">
        <f>IF('Pulje 3'!I11="","",'Pulje 3'!I11)</f>
        <v>Ådne Rydland Kalstveit</v>
      </c>
      <c r="G26" s="114" t="str">
        <f>IF('Pulje 3'!J11="","",'Pulje 3'!J11)</f>
        <v>AK Bjørgvin</v>
      </c>
      <c r="H26" s="115">
        <f>IF('Pulje 3'!Q11="","",'Pulje 3'!Q11)</f>
        <v>14</v>
      </c>
      <c r="I26" s="115">
        <f>IF('Pulje 3'!R11="","",'Pulje 3'!R11)</f>
        <v>19</v>
      </c>
      <c r="J26" s="112">
        <f>IF('Pulje 3'!V11="","",'Pulje 3'!V11)</f>
        <v>4.63</v>
      </c>
      <c r="K26" s="112">
        <f>IF('Pulje 3'!W11="","",'Pulje 3'!W11)</f>
        <v>6.24</v>
      </c>
      <c r="L26" s="112">
        <f>IF('Pulje 3'!X11="","",'Pulje 3'!X11)</f>
        <v>8.9</v>
      </c>
      <c r="M26" s="112">
        <f>IF('Pulje 3'!Z12="","",'Pulje 3'!Z12)</f>
        <v>313.90303711253517</v>
      </c>
    </row>
    <row r="27" spans="1:13" ht="16">
      <c r="A27" s="111"/>
      <c r="B27" s="112">
        <f>IF('Pulje 3'!D21="","",'Pulje 3'!D21)</f>
        <v>78.05</v>
      </c>
      <c r="C27" s="112" t="str">
        <f>IF('Pulje 3'!E21="","",'Pulje 3'!E21)</f>
        <v>UM</v>
      </c>
      <c r="D27" s="112" t="str">
        <f>IF('Pulje 3'!F21="","",'Pulje 3'!F21)</f>
        <v>15-16</v>
      </c>
      <c r="E27" s="113">
        <f>IF('Pulje 3'!G21="","",'Pulje 3'!G21)</f>
        <v>40263</v>
      </c>
      <c r="F27" s="114" t="str">
        <f>IF('Pulje 3'!I21="","",'Pulje 3'!I21)</f>
        <v>Lyder Slagstad Aamot</v>
      </c>
      <c r="G27" s="114" t="str">
        <f>IF('Pulje 3'!J21="","",'Pulje 3'!J21)</f>
        <v>Tambarskjelvar IL</v>
      </c>
      <c r="H27" s="115">
        <f>IF('Pulje 3'!Q21="","",'Pulje 3'!Q21)</f>
        <v>65</v>
      </c>
      <c r="I27" s="115" t="str">
        <f>IF('Pulje 3'!R21="","",'Pulje 3'!R21)</f>
        <v/>
      </c>
      <c r="J27" s="112">
        <f>IF('Pulje 3'!V21="","",'Pulje 3'!V21)</f>
        <v>7.84</v>
      </c>
      <c r="K27" s="112">
        <f>IF('Pulje 3'!W21="","",'Pulje 3'!W21)</f>
        <v>10</v>
      </c>
      <c r="L27" s="112">
        <f>IF('Pulje 3'!X21="","",'Pulje 3'!X21)</f>
        <v>6.9</v>
      </c>
      <c r="M27" s="112" t="str">
        <f>IF('Pulje 3'!Z22="","",'Pulje 3'!Z22)</f>
        <v/>
      </c>
    </row>
    <row r="28" spans="1:13" ht="16">
      <c r="A28" s="111"/>
      <c r="B28" s="112">
        <f>IF('Pulje 3'!D23="","",'Pulje 3'!D23)</f>
        <v>65.81</v>
      </c>
      <c r="C28" s="112" t="str">
        <f>IF('Pulje 3'!E23="","",'Pulje 3'!E23)</f>
        <v>UM</v>
      </c>
      <c r="D28" s="112" t="str">
        <f>IF('Pulje 3'!F23="","",'Pulje 3'!F23)</f>
        <v>15-16</v>
      </c>
      <c r="E28" s="113">
        <f>IF('Pulje 3'!G23="","",'Pulje 3'!G23)</f>
        <v>39932</v>
      </c>
      <c r="F28" s="114" t="str">
        <f>IF('Pulje 3'!I23="","",'Pulje 3'!I23)</f>
        <v>Andreas Kvame</v>
      </c>
      <c r="G28" s="114" t="str">
        <f>IF('Pulje 3'!J23="","",'Pulje 3'!J23)</f>
        <v>Tambarskjelvar IL</v>
      </c>
      <c r="H28" s="115">
        <f>IF('Pulje 3'!Q23="","",'Pulje 3'!Q23)</f>
        <v>60</v>
      </c>
      <c r="I28" s="115" t="str">
        <f>IF('Pulje 3'!R23="","",'Pulje 3'!R23)</f>
        <v/>
      </c>
      <c r="J28" s="112">
        <f>IF('Pulje 3'!V23="","",'Pulje 3'!V23)</f>
        <v>7.42</v>
      </c>
      <c r="K28" s="112">
        <f>IF('Pulje 3'!W23="","",'Pulje 3'!W23)</f>
        <v>9.1999999999999993</v>
      </c>
      <c r="L28" s="112">
        <f>IF('Pulje 3'!X23="","",'Pulje 3'!X23)</f>
        <v>7.1</v>
      </c>
      <c r="M28" s="112" t="str">
        <f>IF('Pulje 3'!Z24="","",'Pulje 3'!Z24)</f>
        <v/>
      </c>
    </row>
    <row r="29" spans="1:13" ht="16">
      <c r="A29" s="111"/>
      <c r="B29" s="112">
        <f>IF('Pulje 3'!D13="","",'Pulje 3'!D13)</f>
        <v>53.4</v>
      </c>
      <c r="C29" s="112" t="str">
        <f>IF('Pulje 3'!E13="","",'Pulje 3'!E13)</f>
        <v>UM</v>
      </c>
      <c r="D29" s="112" t="str">
        <f>IF('Pulje 3'!F13="","",'Pulje 3'!F13)</f>
        <v>11-12</v>
      </c>
      <c r="E29" s="113">
        <f>IF('Pulje 3'!G13="","",'Pulje 3'!G13)</f>
        <v>41632</v>
      </c>
      <c r="F29" s="114" t="str">
        <f>IF('Pulje 3'!I13="","",'Pulje 3'!I13)</f>
        <v>Gard Røsjø-Magnusson</v>
      </c>
      <c r="G29" s="114" t="str">
        <f>IF('Pulje 3'!J13="","",'Pulje 3'!J13)</f>
        <v>AK Bjørgvin</v>
      </c>
      <c r="H29" s="115">
        <f>IF('Pulje 3'!Q13="","",'Pulje 3'!Q13)</f>
        <v>16</v>
      </c>
      <c r="I29" s="115">
        <f>IF('Pulje 3'!R13="","",'Pulje 3'!R13)</f>
        <v>20</v>
      </c>
      <c r="J29" s="112" t="str">
        <f>IF('Pulje 3'!V13="","",'Pulje 3'!V13)</f>
        <v/>
      </c>
      <c r="K29" s="112" t="str">
        <f>IF('Pulje 3'!W13="","",'Pulje 3'!W13)</f>
        <v/>
      </c>
      <c r="L29" s="112" t="str">
        <f>IF('Pulje 3'!X13="","",'Pulje 3'!X13)</f>
        <v/>
      </c>
      <c r="M29" s="112" t="str">
        <f>IF('Pulje 3'!Z14="","",'Pulje 3'!Z14)</f>
        <v/>
      </c>
    </row>
    <row r="30" spans="1:13" s="10" customFormat="1" ht="11" customHeight="1" thickBot="1">
      <c r="A30" s="106"/>
      <c r="B30" s="107"/>
      <c r="C30" s="107"/>
      <c r="D30" s="106"/>
      <c r="E30" s="106"/>
      <c r="F30" s="108"/>
      <c r="G30" s="108"/>
      <c r="H30" s="106"/>
      <c r="I30" s="106"/>
      <c r="J30" s="106"/>
      <c r="K30" s="106"/>
      <c r="L30" s="106"/>
      <c r="M30" s="106"/>
    </row>
    <row r="31" spans="1:13" ht="21" thickBot="1">
      <c r="A31" s="317" t="s">
        <v>65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9"/>
    </row>
    <row r="32" spans="1:13" s="10" customFormat="1" ht="11" customHeight="1">
      <c r="A32" s="61"/>
      <c r="B32" s="63"/>
      <c r="C32" s="63"/>
      <c r="D32" s="61"/>
      <c r="E32" s="61"/>
      <c r="F32" s="62"/>
      <c r="G32" s="62"/>
      <c r="H32" s="61"/>
      <c r="I32" s="61"/>
      <c r="J32" s="61"/>
      <c r="K32" s="61"/>
      <c r="L32" s="61"/>
      <c r="M32" s="61"/>
    </row>
    <row r="33" spans="1:13" ht="16">
      <c r="A33" s="111">
        <v>1</v>
      </c>
      <c r="B33" s="112">
        <f>IF('Pulje 4'!D17="","",'Pulje 4'!D17)</f>
        <v>75.45</v>
      </c>
      <c r="C33" s="112" t="str">
        <f>IF('Pulje 4'!E17="","",'Pulje 4'!E17)</f>
        <v>JK</v>
      </c>
      <c r="D33" s="112" t="str">
        <f>IF('Pulje 4'!F17="","",'Pulje 4'!F17)</f>
        <v>19-23</v>
      </c>
      <c r="E33" s="113">
        <f>IF('Pulje 4'!G17="","",'Pulje 4'!G17)</f>
        <v>38610</v>
      </c>
      <c r="F33" s="114" t="str">
        <f>IF('Pulje 4'!I17="","",'Pulje 4'!I17)</f>
        <v>Trine Endestad Hellevang</v>
      </c>
      <c r="G33" s="114" t="str">
        <f>IF('Pulje 4'!J17="","",'Pulje 4'!J17)</f>
        <v>Tambarskjelvar IL</v>
      </c>
      <c r="H33" s="115">
        <f>IF('Pulje 4'!Q17="","",'Pulje 4'!Q17)</f>
        <v>70</v>
      </c>
      <c r="I33" s="115">
        <f>IF('Pulje 4'!R17="","",'Pulje 4'!R17)</f>
        <v>90</v>
      </c>
      <c r="J33" s="112">
        <f>IF('Pulje 4'!V17="","",'Pulje 4'!V17)</f>
        <v>6.75</v>
      </c>
      <c r="K33" s="112">
        <f>IF('Pulje 4'!W17="","",'Pulje 4'!W17)</f>
        <v>12.5</v>
      </c>
      <c r="L33" s="112">
        <f>IF('Pulje 4'!X17="","",'Pulje 4'!X17)</f>
        <v>7.8</v>
      </c>
      <c r="M33" s="112">
        <f>IF('Pulje 4'!Z18="","",'Pulje 4'!Z18)</f>
        <v>616.49851054177986</v>
      </c>
    </row>
    <row r="34" spans="1:13" ht="16">
      <c r="A34" s="111">
        <v>2</v>
      </c>
      <c r="B34" s="112">
        <f>IF('Pulje 4'!D25="","",'Pulje 4'!D25)</f>
        <v>78.73</v>
      </c>
      <c r="C34" s="112" t="str">
        <f>IF('Pulje 4'!E25="","",'Pulje 4'!E25)</f>
        <v>JK</v>
      </c>
      <c r="D34" s="112" t="str">
        <f>IF('Pulje 4'!F25="","",'Pulje 4'!F25)</f>
        <v>19-23</v>
      </c>
      <c r="E34" s="113">
        <f>IF('Pulje 4'!G25="","",'Pulje 4'!G25)</f>
        <v>38599</v>
      </c>
      <c r="F34" s="114" t="str">
        <f>IF('Pulje 4'!I25="","",'Pulje 4'!I25)</f>
        <v>Malin Amundsen</v>
      </c>
      <c r="G34" s="114" t="str">
        <f>IF('Pulje 4'!J25="","",'Pulje 4'!J25)</f>
        <v>AK Bjørgvin</v>
      </c>
      <c r="H34" s="115">
        <f>IF('Pulje 4'!Q25="","",'Pulje 4'!Q25)</f>
        <v>82</v>
      </c>
      <c r="I34" s="115">
        <f>IF('Pulje 4'!R25="","",'Pulje 4'!R25)</f>
        <v>104</v>
      </c>
      <c r="J34" s="112">
        <f>IF('Pulje 4'!V25="","",'Pulje 4'!V25)</f>
        <v>5.9</v>
      </c>
      <c r="K34" s="112">
        <f>IF('Pulje 4'!W25="","",'Pulje 4'!W25)</f>
        <v>11.3</v>
      </c>
      <c r="L34" s="112">
        <f>IF('Pulje 4'!X25="","",'Pulje 4'!X25)</f>
        <v>8.1999999999999993</v>
      </c>
      <c r="M34" s="112">
        <f>IF('Pulje 4'!Z26="","",'Pulje 4'!Z26)</f>
        <v>595.83301936392161</v>
      </c>
    </row>
    <row r="35" spans="1:13" ht="16">
      <c r="A35" s="111">
        <v>3</v>
      </c>
      <c r="B35" s="112">
        <f>IF('Pulje 4'!D19="","",'Pulje 4'!D19)</f>
        <v>74.55</v>
      </c>
      <c r="C35" s="112" t="str">
        <f>IF('Pulje 4'!E19="","",'Pulje 4'!E19)</f>
        <v>JK</v>
      </c>
      <c r="D35" s="112" t="str">
        <f>IF('Pulje 4'!F19="","",'Pulje 4'!F19)</f>
        <v>19-23</v>
      </c>
      <c r="E35" s="113">
        <f>IF('Pulje 4'!G19="","",'Pulje 4'!G19)</f>
        <v>38534</v>
      </c>
      <c r="F35" s="114" t="str">
        <f>IF('Pulje 4'!I19="","",'Pulje 4'!I19)</f>
        <v>Mathilde Loy Enger</v>
      </c>
      <c r="G35" s="114" t="str">
        <f>IF('Pulje 4'!J19="","",'Pulje 4'!J19)</f>
        <v>AK Bjørgvin</v>
      </c>
      <c r="H35" s="115">
        <f>IF('Pulje 4'!Q19="","",'Pulje 4'!Q19)</f>
        <v>74</v>
      </c>
      <c r="I35" s="115">
        <f>IF('Pulje 4'!R19="","",'Pulje 4'!R19)</f>
        <v>95</v>
      </c>
      <c r="J35" s="112">
        <f>IF('Pulje 4'!V19="","",'Pulje 4'!V19)</f>
        <v>6</v>
      </c>
      <c r="K35" s="112">
        <f>IF('Pulje 4'!W19="","",'Pulje 4'!W19)</f>
        <v>9</v>
      </c>
      <c r="L35" s="112">
        <f>IF('Pulje 4'!X19="","",'Pulje 4'!X19)</f>
        <v>7.8</v>
      </c>
      <c r="M35" s="112">
        <f>IF('Pulje 4'!Z20="","",'Pulje 4'!Z20)</f>
        <v>570.36630635899701</v>
      </c>
    </row>
    <row r="36" spans="1:13" s="10" customFormat="1" ht="11" customHeight="1" thickBot="1">
      <c r="A36" s="106"/>
      <c r="B36" s="107"/>
      <c r="C36" s="107"/>
      <c r="D36" s="106"/>
      <c r="E36" s="106"/>
      <c r="F36" s="108"/>
      <c r="G36" s="108"/>
      <c r="H36" s="106"/>
      <c r="I36" s="106"/>
      <c r="J36" s="106"/>
      <c r="K36" s="106"/>
      <c r="L36" s="106"/>
      <c r="M36" s="106"/>
    </row>
    <row r="37" spans="1:13" ht="21" thickBot="1">
      <c r="A37" s="306" t="s">
        <v>66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8"/>
    </row>
    <row r="38" spans="1:13" s="10" customFormat="1" ht="11" customHeight="1">
      <c r="A38" s="61"/>
      <c r="B38" s="63"/>
      <c r="C38" s="63"/>
      <c r="D38" s="61"/>
      <c r="E38" s="61"/>
      <c r="F38" s="62"/>
      <c r="G38" s="62"/>
      <c r="H38" s="61"/>
      <c r="I38" s="61"/>
      <c r="J38" s="61"/>
      <c r="K38" s="61"/>
      <c r="L38" s="61"/>
      <c r="M38" s="61"/>
    </row>
    <row r="39" spans="1:13" ht="16">
      <c r="A39" s="111">
        <v>1</v>
      </c>
      <c r="B39" s="112">
        <f>IF('Pulje 5'!D11="","",'Pulje 5'!D11)</f>
        <v>69.010000000000005</v>
      </c>
      <c r="C39" s="112" t="str">
        <f>IF('Pulje 5'!E11="","",'Pulje 5'!E11)</f>
        <v>JM</v>
      </c>
      <c r="D39" s="112" t="str">
        <f>IF('Pulje 5'!F11="","",'Pulje 5'!F11)</f>
        <v>19-23</v>
      </c>
      <c r="E39" s="113">
        <f>IF('Pulje 5'!G11="","",'Pulje 5'!G11)</f>
        <v>38922</v>
      </c>
      <c r="F39" s="114" t="str">
        <f>IF('Pulje 5'!I11="","",'Pulje 5'!I11)</f>
        <v>Aksel Lykkebø Svorstøl</v>
      </c>
      <c r="G39" s="114" t="str">
        <f>IF('Pulje 5'!J11="","",'Pulje 5'!J11)</f>
        <v>Tambarskjelvar IL</v>
      </c>
      <c r="H39" s="115">
        <f>IF('Pulje 5'!Q11="","",'Pulje 5'!Q11)</f>
        <v>93</v>
      </c>
      <c r="I39" s="115">
        <f>IF('Pulje 5'!R11="","",'Pulje 5'!R11)</f>
        <v>115</v>
      </c>
      <c r="J39" s="112">
        <f>IF('Pulje 5'!V11="","",'Pulje 5'!V11)</f>
        <v>7.75</v>
      </c>
      <c r="K39" s="112">
        <f>IF('Pulje 5'!W11="","",'Pulje 5'!W11)</f>
        <v>13</v>
      </c>
      <c r="L39" s="112">
        <f>IF('Pulje 5'!X11="","",'Pulje 5'!X11)</f>
        <v>6</v>
      </c>
      <c r="M39" s="112">
        <f>IF('Pulje 5'!Z12="","",'Pulje 5'!Z12)</f>
        <v>845.14697144276658</v>
      </c>
    </row>
    <row r="40" spans="1:13" ht="16">
      <c r="A40" s="111">
        <v>2</v>
      </c>
      <c r="B40" s="112">
        <f>IF('Pulje 5'!D13="","",'Pulje 5'!D13)</f>
        <v>92.89</v>
      </c>
      <c r="C40" s="112" t="str">
        <f>IF('Pulje 5'!E13="","",'Pulje 5'!E13)</f>
        <v>JM</v>
      </c>
      <c r="D40" s="112" t="str">
        <f>IF('Pulje 5'!F13="","",'Pulje 5'!F13)</f>
        <v>19-23</v>
      </c>
      <c r="E40" s="113">
        <f>IF('Pulje 5'!G13="","",'Pulje 5'!G13)</f>
        <v>38951</v>
      </c>
      <c r="F40" s="114" t="str">
        <f>IF('Pulje 5'!I13="","",'Pulje 5'!I13)</f>
        <v>Jakub Karol Kudyba</v>
      </c>
      <c r="G40" s="114" t="str">
        <f>IF('Pulje 5'!J13="","",'Pulje 5'!J13)</f>
        <v>Tambarskjelvar IL</v>
      </c>
      <c r="H40" s="115">
        <f>IF('Pulje 5'!Q13="","",'Pulje 5'!Q13)</f>
        <v>101</v>
      </c>
      <c r="I40" s="115">
        <f>IF('Pulje 5'!R13="","",'Pulje 5'!R13)</f>
        <v>120</v>
      </c>
      <c r="J40" s="112">
        <f>IF('Pulje 5'!V13="","",'Pulje 5'!V13)</f>
        <v>8.23</v>
      </c>
      <c r="K40" s="112">
        <f>IF('Pulje 5'!W13="","",'Pulje 5'!W13)</f>
        <v>13.35</v>
      </c>
      <c r="L40" s="112">
        <f>IF('Pulje 5'!X13="","",'Pulje 5'!X13)</f>
        <v>6.7</v>
      </c>
      <c r="M40" s="112">
        <f>IF('Pulje 5'!Z14="","",'Pulje 5'!Z14)</f>
        <v>768.8535720007626</v>
      </c>
    </row>
    <row r="41" spans="1:13" ht="16">
      <c r="A41" s="111">
        <v>3</v>
      </c>
      <c r="B41" s="112">
        <f>IF('Pulje 5'!D9="","",'Pulje 5'!D9)</f>
        <v>77.010000000000005</v>
      </c>
      <c r="C41" s="112" t="str">
        <f>IF('Pulje 5'!E9="","",'Pulje 5'!E9)</f>
        <v>JM</v>
      </c>
      <c r="D41" s="112" t="str">
        <f>IF('Pulje 5'!F9="","",'Pulje 5'!F9)</f>
        <v>19-23</v>
      </c>
      <c r="E41" s="113">
        <f>IF('Pulje 5'!G9="","",'Pulje 5'!G9)</f>
        <v>39076</v>
      </c>
      <c r="F41" s="114" t="str">
        <f>IF('Pulje 5'!I9="","",'Pulje 5'!I9)</f>
        <v>Brede Tengsel Lesto</v>
      </c>
      <c r="G41" s="114" t="str">
        <f>IF('Pulje 5'!J9="","",'Pulje 5'!J9)</f>
        <v>Tambarskjelvar IL</v>
      </c>
      <c r="H41" s="115">
        <f>IF('Pulje 5'!Q9="","",'Pulje 5'!Q9)</f>
        <v>80</v>
      </c>
      <c r="I41" s="115">
        <f>IF('Pulje 5'!R9="","",'Pulje 5'!R9)</f>
        <v>105</v>
      </c>
      <c r="J41" s="112">
        <f>IF('Pulje 5'!V9="","",'Pulje 5'!V9)</f>
        <v>8.76</v>
      </c>
      <c r="K41" s="112">
        <f>IF('Pulje 5'!W9="","",'Pulje 5'!W9)</f>
        <v>12.6</v>
      </c>
      <c r="L41" s="112">
        <f>IF('Pulje 5'!X9="","",'Pulje 5'!X9)</f>
        <v>6.8</v>
      </c>
      <c r="M41" s="112">
        <f>IF('Pulje 5'!Z10="","",'Pulje 5'!Z10)</f>
        <v>757.60191830735494</v>
      </c>
    </row>
    <row r="42" spans="1:13" s="10" customFormat="1" ht="11" customHeight="1" thickBot="1">
      <c r="A42" s="106"/>
      <c r="B42" s="107"/>
      <c r="C42" s="107"/>
      <c r="D42" s="106"/>
      <c r="E42" s="106"/>
      <c r="F42" s="108"/>
      <c r="G42" s="108"/>
      <c r="H42" s="106"/>
      <c r="I42" s="106"/>
      <c r="J42" s="106"/>
      <c r="K42" s="106"/>
      <c r="L42" s="106"/>
      <c r="M42" s="106"/>
    </row>
    <row r="43" spans="1:13" ht="21" thickBot="1">
      <c r="A43" s="317" t="s">
        <v>86</v>
      </c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9"/>
    </row>
    <row r="44" spans="1:13" s="10" customFormat="1" ht="11" customHeight="1">
      <c r="A44" s="61"/>
      <c r="B44" s="63"/>
      <c r="C44" s="63"/>
      <c r="D44" s="61"/>
      <c r="E44" s="61"/>
      <c r="F44" s="62"/>
      <c r="G44" s="62"/>
      <c r="H44" s="61"/>
      <c r="I44" s="61"/>
      <c r="J44" s="61"/>
      <c r="K44" s="61"/>
      <c r="L44" s="61"/>
      <c r="M44" s="61"/>
    </row>
    <row r="45" spans="1:13" ht="16">
      <c r="A45" s="111">
        <v>1</v>
      </c>
      <c r="B45" s="112">
        <f>IF('Pulje 4'!D13="","",'Pulje 4'!D13)</f>
        <v>70.94</v>
      </c>
      <c r="C45" s="112" t="str">
        <f>IF('Pulje 4'!E13="","",'Pulje 4'!E13)</f>
        <v>SK</v>
      </c>
      <c r="D45" s="112" t="str">
        <f>IF('Pulje 4'!F13="","",'Pulje 4'!F13)</f>
        <v>19-23</v>
      </c>
      <c r="E45" s="113">
        <f>IF('Pulje 4'!G13="","",'Pulje 4'!G13)</f>
        <v>37315</v>
      </c>
      <c r="F45" s="114" t="str">
        <f>IF('Pulje 4'!I13="","",'Pulje 4'!I13)</f>
        <v>Julia Jordanger Loen</v>
      </c>
      <c r="G45" s="114" t="str">
        <f>IF('Pulje 4'!J13="","",'Pulje 4'!J13)</f>
        <v>Breimsbygda IL</v>
      </c>
      <c r="H45" s="115">
        <f>IF('Pulje 4'!Q13="","",'Pulje 4'!Q13)</f>
        <v>90</v>
      </c>
      <c r="I45" s="115">
        <f>IF('Pulje 4'!R13="","",'Pulje 4'!R13)</f>
        <v>111</v>
      </c>
      <c r="J45" s="112">
        <f>IF('Pulje 4'!V13="","",'Pulje 4'!V13)</f>
        <v>7.6</v>
      </c>
      <c r="K45" s="112">
        <f>IF('Pulje 4'!W13="","",'Pulje 4'!W13)</f>
        <v>14.5</v>
      </c>
      <c r="L45" s="112">
        <f>IF('Pulje 4'!X13="","",'Pulje 4'!X13)</f>
        <v>7</v>
      </c>
      <c r="M45" s="112">
        <f>IF('Pulje 4'!Z14="","",'Pulje 4'!Z14)</f>
        <v>766.90389219131589</v>
      </c>
    </row>
    <row r="46" spans="1:13" ht="16">
      <c r="A46" s="111">
        <v>2</v>
      </c>
      <c r="B46" s="112">
        <f>IF('Pulje 4'!D11="","",'Pulje 4'!D11)</f>
        <v>72.27</v>
      </c>
      <c r="C46" s="112" t="str">
        <f>IF('Pulje 4'!E11="","",'Pulje 4'!E11)</f>
        <v>SK</v>
      </c>
      <c r="D46" s="112" t="str">
        <f>IF('Pulje 4'!F11="","",'Pulje 4'!F11)</f>
        <v>19-23</v>
      </c>
      <c r="E46" s="113">
        <f>IF('Pulje 4'!G11="","",'Pulje 4'!G11)</f>
        <v>37318</v>
      </c>
      <c r="F46" s="114" t="str">
        <f>IF('Pulje 4'!I11="","",'Pulje 4'!I11)</f>
        <v>Emelia Tveitå</v>
      </c>
      <c r="G46" s="114" t="str">
        <f>IF('Pulje 4'!J11="","",'Pulje 4'!J11)</f>
        <v>AK Bjørgvin</v>
      </c>
      <c r="H46" s="115">
        <f>IF('Pulje 4'!Q11="","",'Pulje 4'!Q11)</f>
        <v>53</v>
      </c>
      <c r="I46" s="115">
        <f>IF('Pulje 4'!R11="","",'Pulje 4'!R11)</f>
        <v>68</v>
      </c>
      <c r="J46" s="112">
        <f>IF('Pulje 4'!V11="","",'Pulje 4'!V11)</f>
        <v>7.85</v>
      </c>
      <c r="K46" s="112">
        <f>IF('Pulje 4'!W11="","",'Pulje 4'!W11)</f>
        <v>16.399999999999999</v>
      </c>
      <c r="L46" s="112">
        <f>IF('Pulje 4'!X11="","",'Pulje 4'!X11)</f>
        <v>6.6</v>
      </c>
      <c r="M46" s="112">
        <f>IF('Pulje 4'!Z12="","",'Pulje 4'!Z12)</f>
        <v>691.87467511060629</v>
      </c>
    </row>
    <row r="47" spans="1:13" ht="16">
      <c r="A47" s="111">
        <v>3</v>
      </c>
      <c r="B47" s="112">
        <f>IF('Pulje 1'!D13="","",'Pulje 1'!D13)</f>
        <v>69.069999999999993</v>
      </c>
      <c r="C47" s="112" t="str">
        <f>IF('Pulje 1'!E13="","",'Pulje 1'!E13)</f>
        <v>SK</v>
      </c>
      <c r="D47" s="112" t="str">
        <f>IF('Pulje 1'!F13="","",'Pulje 1'!F13)</f>
        <v>24-34</v>
      </c>
      <c r="E47" s="113">
        <f>IF('Pulje 1'!G13="","",'Pulje 1'!G13)</f>
        <v>33707</v>
      </c>
      <c r="F47" s="114" t="str">
        <f>IF('Pulje 1'!I13="","",'Pulje 1'!I13)</f>
        <v>Caroline Røsbø</v>
      </c>
      <c r="G47" s="114" t="str">
        <f>IF('Pulje 1'!J13="","",'Pulje 1'!J13)</f>
        <v>AK Bjørgvin</v>
      </c>
      <c r="H47" s="115">
        <f>IF('Pulje 1'!Q13="","",'Pulje 1'!Q13)</f>
        <v>69</v>
      </c>
      <c r="I47" s="115">
        <f>IF('Pulje 1'!R13="","",'Pulje 1'!R13)</f>
        <v>85</v>
      </c>
      <c r="J47" s="112">
        <f>IF('Pulje 1'!V13="","",'Pulje 1'!V13)</f>
        <v>7.07</v>
      </c>
      <c r="K47" s="112">
        <f>IF('Pulje 1'!W13="","",'Pulje 1'!W13)</f>
        <v>11.9</v>
      </c>
      <c r="L47" s="112">
        <f>IF('Pulje 1'!X13="","",'Pulje 1'!X13)</f>
        <v>7.2</v>
      </c>
      <c r="M47" s="112">
        <f>IF('Pulje 1'!Z14="","",'Pulje 1'!Z14)</f>
        <v>649.51954684719567</v>
      </c>
    </row>
    <row r="48" spans="1:13" ht="16">
      <c r="A48" s="111">
        <v>4</v>
      </c>
      <c r="B48" s="112">
        <f>IF('Pulje 4'!D15="","",'Pulje 4'!D15)</f>
        <v>72.55</v>
      </c>
      <c r="C48" s="112" t="str">
        <f>IF('Pulje 4'!E15="","",'Pulje 4'!E15)</f>
        <v>SK</v>
      </c>
      <c r="D48" s="112" t="str">
        <f>IF('Pulje 4'!F15="","",'Pulje 4'!F15)</f>
        <v>19-23</v>
      </c>
      <c r="E48" s="113">
        <f>IF('Pulje 4'!G15="","",'Pulje 4'!G15)</f>
        <v>38134</v>
      </c>
      <c r="F48" s="114" t="str">
        <f>IF('Pulje 4'!I15="","",'Pulje 4'!I15)</f>
        <v>Laila Therese K. Bjørnarheim</v>
      </c>
      <c r="G48" s="114" t="str">
        <f>IF('Pulje 4'!J15="","",'Pulje 4'!J15)</f>
        <v>Breimsbygda IL</v>
      </c>
      <c r="H48" s="115">
        <f>IF('Pulje 4'!Q15="","",'Pulje 4'!Q15)</f>
        <v>73</v>
      </c>
      <c r="I48" s="115">
        <f>IF('Pulje 4'!R15="","",'Pulje 4'!R15)</f>
        <v>90</v>
      </c>
      <c r="J48" s="112">
        <f>IF('Pulje 4'!V15="","",'Pulje 4'!V15)</f>
        <v>6.9</v>
      </c>
      <c r="K48" s="112">
        <f>IF('Pulje 4'!W15="","",'Pulje 4'!W15)</f>
        <v>11.5</v>
      </c>
      <c r="L48" s="112">
        <f>IF('Pulje 4'!X15="","",'Pulje 4'!X15)</f>
        <v>7.6</v>
      </c>
      <c r="M48" s="112">
        <f>IF('Pulje 4'!Z16="","",'Pulje 4'!Z16)</f>
        <v>626.8080511511007</v>
      </c>
    </row>
    <row r="49" spans="1:13" s="10" customFormat="1" ht="16">
      <c r="A49" s="111">
        <v>5</v>
      </c>
      <c r="B49" s="112">
        <f>IF('Pulje 1'!D9="","",'Pulje 1'!D9)</f>
        <v>70.91</v>
      </c>
      <c r="C49" s="112" t="str">
        <f>IF('Pulje 1'!E9="","",'Pulje 1'!E9)</f>
        <v>SK</v>
      </c>
      <c r="D49" s="112" t="str">
        <f>IF('Pulje 1'!F9="","",'Pulje 1'!F9)</f>
        <v>24-34</v>
      </c>
      <c r="E49" s="113">
        <f>IF('Pulje 1'!G9="","",'Pulje 1'!G9)</f>
        <v>36614</v>
      </c>
      <c r="F49" s="114" t="str">
        <f>IF('Pulje 1'!I9="","",'Pulje 1'!I9)</f>
        <v>Lilly Småland</v>
      </c>
      <c r="G49" s="114" t="str">
        <f>IF('Pulje 1'!J9="","",'Pulje 1'!J9)</f>
        <v>AK Bjørgvin</v>
      </c>
      <c r="H49" s="115">
        <f>IF('Pulje 1'!Q9="","",'Pulje 1'!Q9)</f>
        <v>69</v>
      </c>
      <c r="I49" s="115">
        <f>IF('Pulje 1'!R9="","",'Pulje 1'!R9)</f>
        <v>88</v>
      </c>
      <c r="J49" s="112">
        <f>IF('Pulje 1'!V9="","",'Pulje 1'!V9)</f>
        <v>6.75</v>
      </c>
      <c r="K49" s="112">
        <f>IF('Pulje 1'!W9="","",'Pulje 1'!W9)</f>
        <v>11.6</v>
      </c>
      <c r="L49" s="112">
        <f>IF('Pulje 1'!X9="","",'Pulje 1'!X9)</f>
        <v>7.5</v>
      </c>
      <c r="M49" s="112">
        <f>IF('Pulje 1'!Z10="","",'Pulje 1'!Z10)</f>
        <v>625.42248375123791</v>
      </c>
    </row>
    <row r="50" spans="1:13" s="10" customFormat="1" ht="16">
      <c r="A50" s="111">
        <v>6</v>
      </c>
      <c r="B50" s="112">
        <f>IF('Pulje 1'!D11="","",'Pulje 1'!D11)</f>
        <v>76.25</v>
      </c>
      <c r="C50" s="112" t="str">
        <f>IF('Pulje 1'!E11="","",'Pulje 1'!E11)</f>
        <v>SK</v>
      </c>
      <c r="D50" s="112" t="str">
        <f>IF('Pulje 1'!F11="","",'Pulje 1'!F11)</f>
        <v>24-34</v>
      </c>
      <c r="E50" s="113">
        <f>IF('Pulje 1'!G11="","",'Pulje 1'!G11)</f>
        <v>35145</v>
      </c>
      <c r="F50" s="114" t="str">
        <f>IF('Pulje 1'!I11="","",'Pulje 1'!I11)</f>
        <v>Kaia Arnøy Høyheim</v>
      </c>
      <c r="G50" s="114" t="str">
        <f>IF('Pulje 1'!J11="","",'Pulje 1'!J11)</f>
        <v>AK Bjørgvin</v>
      </c>
      <c r="H50" s="115">
        <f>IF('Pulje 1'!Q11="","",'Pulje 1'!Q11)</f>
        <v>64</v>
      </c>
      <c r="I50" s="115">
        <f>IF('Pulje 1'!R11="","",'Pulje 1'!R11)</f>
        <v>82</v>
      </c>
      <c r="J50" s="112">
        <f>IF('Pulje 1'!V11="","",'Pulje 1'!V11)</f>
        <v>6.68</v>
      </c>
      <c r="K50" s="112">
        <f>IF('Pulje 1'!W11="","",'Pulje 1'!W11)</f>
        <v>11.6</v>
      </c>
      <c r="L50" s="112">
        <f>IF('Pulje 1'!X11="","",'Pulje 1'!X11)</f>
        <v>7.7</v>
      </c>
      <c r="M50" s="112">
        <f>IF('Pulje 1'!Z12="","",'Pulje 1'!Z12)</f>
        <v>585.22083705070395</v>
      </c>
    </row>
    <row r="51" spans="1:13" s="10" customFormat="1" ht="16">
      <c r="A51" s="111">
        <v>7</v>
      </c>
      <c r="B51" s="112">
        <f>IF('Pulje 4'!D9="","",'Pulje 4'!D9)</f>
        <v>51.87</v>
      </c>
      <c r="C51" s="112" t="str">
        <f>IF('Pulje 4'!E9="","",'Pulje 4'!E9)</f>
        <v>SK</v>
      </c>
      <c r="D51" s="112" t="str">
        <f>IF('Pulje 4'!F9="","",'Pulje 4'!F9)</f>
        <v>19-23</v>
      </c>
      <c r="E51" s="113">
        <f>IF('Pulje 4'!G9="","",'Pulje 4'!G9)</f>
        <v>37301</v>
      </c>
      <c r="F51" s="114" t="str">
        <f>IF('Pulje 4'!I9="","",'Pulje 4'!I9)</f>
        <v>Maria Sæterstøl</v>
      </c>
      <c r="G51" s="114" t="str">
        <f>IF('Pulje 4'!J9="","",'Pulje 4'!J9)</f>
        <v>AK Bjørgvin</v>
      </c>
      <c r="H51" s="115">
        <f>IF('Pulje 4'!Q9="","",'Pulje 4'!Q9)</f>
        <v>40</v>
      </c>
      <c r="I51" s="115">
        <f>IF('Pulje 4'!R9="","",'Pulje 4'!R9)</f>
        <v>53</v>
      </c>
      <c r="J51" s="112">
        <f>IF('Pulje 4'!V9="","",'Pulje 4'!V9)</f>
        <v>6.1</v>
      </c>
      <c r="K51" s="112">
        <f>IF('Pulje 4'!W9="","",'Pulje 4'!W9)</f>
        <v>8.9</v>
      </c>
      <c r="L51" s="112">
        <f>IF('Pulje 4'!X9="","",'Pulje 4'!X9)</f>
        <v>7.3</v>
      </c>
      <c r="M51" s="112">
        <f>IF('Pulje 4'!Z10="","",'Pulje 4'!Z10)</f>
        <v>550.50152574536014</v>
      </c>
    </row>
    <row r="52" spans="1:13" ht="16">
      <c r="A52" s="111"/>
      <c r="B52" s="112">
        <f>IF('Pulje 4'!D21="","",'Pulje 4'!D21)</f>
        <v>74.47</v>
      </c>
      <c r="C52" s="112" t="str">
        <f>IF('Pulje 4'!E21="","",'Pulje 4'!E21)</f>
        <v>SK</v>
      </c>
      <c r="D52" s="112" t="str">
        <f>IF('Pulje 4'!F21="","",'Pulje 4'!F21)</f>
        <v>19-23</v>
      </c>
      <c r="E52" s="113">
        <f>IF('Pulje 4'!G21="","",'Pulje 4'!G21)</f>
        <v>38060</v>
      </c>
      <c r="F52" s="114" t="str">
        <f>IF('Pulje 4'!I21="","",'Pulje 4'!I21)</f>
        <v>Tine Rognaldsen Pedersen</v>
      </c>
      <c r="G52" s="114" t="str">
        <f>IF('Pulje 4'!J21="","",'Pulje 4'!J21)</f>
        <v>Tambarskjelvar IL</v>
      </c>
      <c r="H52" s="115">
        <f>IF('Pulje 4'!Q21="","",'Pulje 4'!Q21)</f>
        <v>84</v>
      </c>
      <c r="I52" s="115">
        <f>IF('Pulje 4'!R21="","",'Pulje 4'!R21)</f>
        <v>108</v>
      </c>
      <c r="J52" s="112" t="str">
        <f>IF('Pulje 4'!V21="","",'Pulje 4'!V21)</f>
        <v/>
      </c>
      <c r="K52" s="112" t="str">
        <f>IF('Pulje 4'!W21="","",'Pulje 4'!W21)</f>
        <v/>
      </c>
      <c r="L52" s="112" t="str">
        <f>IF('Pulje 4'!X21="","",'Pulje 4'!X21)</f>
        <v/>
      </c>
      <c r="M52" s="112" t="str">
        <f>IF('Pulje 4'!Z22="","",'Pulje 4'!Z22)</f>
        <v/>
      </c>
    </row>
    <row r="53" spans="1:13" s="10" customFormat="1" ht="11" customHeight="1" thickBot="1">
      <c r="A53" s="106"/>
      <c r="B53" s="107"/>
      <c r="C53" s="107"/>
      <c r="D53" s="106"/>
      <c r="E53" s="106"/>
      <c r="F53" s="108"/>
      <c r="G53" s="108"/>
      <c r="H53" s="106"/>
      <c r="I53" s="106"/>
      <c r="J53" s="106"/>
      <c r="K53" s="106"/>
      <c r="L53" s="106"/>
      <c r="M53" s="106"/>
    </row>
    <row r="54" spans="1:13" ht="21" thickBot="1">
      <c r="A54" s="306" t="s">
        <v>87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8"/>
    </row>
    <row r="55" spans="1:13" s="10" customFormat="1" ht="11" customHeight="1">
      <c r="A55" s="61"/>
      <c r="B55" s="63"/>
      <c r="C55" s="63"/>
      <c r="D55" s="61"/>
      <c r="E55" s="61"/>
      <c r="F55" s="62"/>
      <c r="G55" s="62"/>
      <c r="H55" s="61"/>
      <c r="I55" s="61"/>
      <c r="J55" s="61"/>
      <c r="K55" s="61"/>
      <c r="L55" s="61"/>
      <c r="M55" s="61"/>
    </row>
    <row r="56" spans="1:13" ht="16">
      <c r="A56" s="111">
        <v>1</v>
      </c>
      <c r="B56" s="112">
        <f>IF('Pulje 5'!D17="","",'Pulje 5'!D17)</f>
        <v>84.45</v>
      </c>
      <c r="C56" s="112" t="str">
        <f>IF('Pulje 5'!E17="","",'Pulje 5'!E17)</f>
        <v>SM</v>
      </c>
      <c r="D56" s="112" t="str">
        <f>IF('Pulje 5'!F17="","",'Pulje 5'!F17)</f>
        <v>24-34</v>
      </c>
      <c r="E56" s="113">
        <f>IF('Pulje 5'!G17="","",'Pulje 5'!G17)</f>
        <v>36505</v>
      </c>
      <c r="F56" s="114" t="str">
        <f>IF('Pulje 5'!I17="","",'Pulje 5'!I17)</f>
        <v>Adrian Henneli</v>
      </c>
      <c r="G56" s="114" t="str">
        <f>IF('Pulje 5'!J17="","",'Pulje 5'!J17)</f>
        <v>AK Bjørgvin</v>
      </c>
      <c r="H56" s="115">
        <f>IF('Pulje 5'!Q17="","",'Pulje 5'!Q17)</f>
        <v>116</v>
      </c>
      <c r="I56" s="115">
        <f>IF('Pulje 5'!R17="","",'Pulje 5'!R17)</f>
        <v>142</v>
      </c>
      <c r="J56" s="112">
        <f>IF('Pulje 5'!V17="","",'Pulje 5'!V17)</f>
        <v>9.2899999999999991</v>
      </c>
      <c r="K56" s="112">
        <f>IF('Pulje 5'!W17="","",'Pulje 5'!W17)</f>
        <v>15.6</v>
      </c>
      <c r="L56" s="112">
        <f>IF('Pulje 5'!X17="","",'Pulje 5'!X17)</f>
        <v>6.5</v>
      </c>
      <c r="M56" s="112">
        <f>IF('Pulje 5'!Z18="","",'Pulje 5'!Z18)</f>
        <v>903.69995361680958</v>
      </c>
    </row>
    <row r="57" spans="1:13" ht="16">
      <c r="A57" s="111">
        <v>2</v>
      </c>
      <c r="B57" s="112">
        <f>IF('Pulje 5'!D15="","",'Pulje 5'!D15)</f>
        <v>86.33</v>
      </c>
      <c r="C57" s="112" t="str">
        <f>IF('Pulje 5'!E15="","",'Pulje 5'!E15)</f>
        <v>SM</v>
      </c>
      <c r="D57" s="112" t="str">
        <f>IF('Pulje 5'!F15="","",'Pulje 5'!F15)</f>
        <v>24-34</v>
      </c>
      <c r="E57" s="113">
        <f>IF('Pulje 5'!G15="","",'Pulje 5'!G15)</f>
        <v>36748</v>
      </c>
      <c r="F57" s="114" t="str">
        <f>IF('Pulje 5'!I15="","",'Pulje 5'!I15)</f>
        <v>Bent André Midtbø</v>
      </c>
      <c r="G57" s="114" t="str">
        <f>IF('Pulje 5'!J15="","",'Pulje 5'!J15)</f>
        <v>AK Bjørgvin</v>
      </c>
      <c r="H57" s="115">
        <f>IF('Pulje 5'!Q15="","",'Pulje 5'!Q15)</f>
        <v>100</v>
      </c>
      <c r="I57" s="115">
        <f>IF('Pulje 5'!R15="","",'Pulje 5'!R15)</f>
        <v>136</v>
      </c>
      <c r="J57" s="112">
        <f>IF('Pulje 5'!V15="","",'Pulje 5'!V15)</f>
        <v>9.44</v>
      </c>
      <c r="K57" s="112">
        <f>IF('Pulje 5'!W15="","",'Pulje 5'!W15)</f>
        <v>15.7</v>
      </c>
      <c r="L57" s="112">
        <f>IF('Pulje 5'!X15="","",'Pulje 5'!X15)</f>
        <v>6</v>
      </c>
      <c r="M57" s="112">
        <f>IF('Pulje 5'!Z16="","",'Pulje 5'!Z16)</f>
        <v>889.02577519631359</v>
      </c>
    </row>
    <row r="58" spans="1:13" ht="16">
      <c r="A58" s="111">
        <v>3</v>
      </c>
      <c r="B58" s="112">
        <f>IF('Pulje 5'!D21="","",'Pulje 5'!D21)</f>
        <v>89.95</v>
      </c>
      <c r="C58" s="112" t="str">
        <f>IF('Pulje 5'!E21="","",'Pulje 5'!E21)</f>
        <v>SM</v>
      </c>
      <c r="D58" s="112" t="str">
        <f>IF('Pulje 5'!F21="","",'Pulje 5'!F21)</f>
        <v>24-34</v>
      </c>
      <c r="E58" s="113">
        <f>IF('Pulje 5'!G21="","",'Pulje 5'!G21)</f>
        <v>34035</v>
      </c>
      <c r="F58" s="114" t="str">
        <f>IF('Pulje 5'!I21="","",'Pulje 5'!I21)</f>
        <v>Laurits Hamre</v>
      </c>
      <c r="G58" s="114" t="str">
        <f>IF('Pulje 5'!J21="","",'Pulje 5'!J21)</f>
        <v>AK Bjørgvin</v>
      </c>
      <c r="H58" s="115">
        <f>IF('Pulje 5'!Q21="","",'Pulje 5'!Q21)</f>
        <v>106</v>
      </c>
      <c r="I58" s="115">
        <f>IF('Pulje 5'!R21="","",'Pulje 5'!R21)</f>
        <v>140</v>
      </c>
      <c r="J58" s="112">
        <f>IF('Pulje 5'!V21="","",'Pulje 5'!V21)</f>
        <v>8.7100000000000009</v>
      </c>
      <c r="K58" s="112">
        <f>IF('Pulje 5'!W21="","",'Pulje 5'!W21)</f>
        <v>12.6</v>
      </c>
      <c r="L58" s="112">
        <f>IF('Pulje 5'!X21="","",'Pulje 5'!X21)</f>
        <v>6.3</v>
      </c>
      <c r="M58" s="112">
        <f>IF('Pulje 5'!Z22="","",'Pulje 5'!Z22)</f>
        <v>828.72207413868023</v>
      </c>
    </row>
    <row r="59" spans="1:13" ht="16">
      <c r="A59" s="111"/>
      <c r="B59" s="112">
        <f>IF('Pulje 5'!D19="","",'Pulje 5'!D19)</f>
        <v>94.63</v>
      </c>
      <c r="C59" s="112" t="str">
        <f>IF('Pulje 5'!E19="","",'Pulje 5'!E19)</f>
        <v>SM</v>
      </c>
      <c r="D59" s="112" t="str">
        <f>IF('Pulje 5'!F19="","",'Pulje 5'!F19)</f>
        <v>24-34</v>
      </c>
      <c r="E59" s="113">
        <f>IF('Pulje 5'!G19="","",'Pulje 5'!G19)</f>
        <v>34617</v>
      </c>
      <c r="F59" s="114" t="str">
        <f>IF('Pulje 5'!I19="","",'Pulje 5'!I19)</f>
        <v>Lars Espedal</v>
      </c>
      <c r="G59" s="114" t="str">
        <f>IF('Pulje 5'!J19="","",'Pulje 5'!J19)</f>
        <v>AK Bjørgvin</v>
      </c>
      <c r="H59" s="115" t="str">
        <f>IF('Pulje 5'!Q19="","",'Pulje 5'!Q19)</f>
        <v/>
      </c>
      <c r="I59" s="115">
        <f>IF('Pulje 5'!R19="","",'Pulje 5'!R19)</f>
        <v>128</v>
      </c>
      <c r="J59" s="112" t="str">
        <f>IF('Pulje 5'!V19="","",'Pulje 5'!V19)</f>
        <v/>
      </c>
      <c r="K59" s="112" t="str">
        <f>IF('Pulje 5'!W19="","",'Pulje 5'!W19)</f>
        <v/>
      </c>
      <c r="L59" s="112" t="str">
        <f>IF('Pulje 5'!X19="","",'Pulje 5'!X19)</f>
        <v/>
      </c>
      <c r="M59" s="112" t="str">
        <f>IF('Pulje 5'!Z20="","",'Pulje 5'!Z20)</f>
        <v/>
      </c>
    </row>
  </sheetData>
  <sortState xmlns:xlrd2="http://schemas.microsoft.com/office/spreadsheetml/2017/richdata2" ref="A6:M15">
    <sortCondition descending="1" ref="M6:M15"/>
  </sortState>
  <mergeCells count="10">
    <mergeCell ref="A1:M1"/>
    <mergeCell ref="A2:E2"/>
    <mergeCell ref="F2:I2"/>
    <mergeCell ref="J2:M2"/>
    <mergeCell ref="A4:M4"/>
    <mergeCell ref="A43:M43"/>
    <mergeCell ref="A54:M54"/>
    <mergeCell ref="A17:M17"/>
    <mergeCell ref="A31:M31"/>
    <mergeCell ref="A37:M37"/>
  </mergeCells>
  <pageMargins left="0.74803149606299213" right="0.74803149606299213" top="0.98425196850393704" bottom="0.98425196850393704" header="0.51181102362204722" footer="0.51181102362204722"/>
  <pageSetup paperSize="9" scale="59" fitToHeight="0" orientation="portrait" horizontalDpi="300" verticalDpi="300" copies="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>
    <pageSetUpPr fitToPage="1"/>
  </sheetPr>
  <dimension ref="A1:P30"/>
  <sheetViews>
    <sheetView showGridLines="0" showZeros="0" workbookViewId="0">
      <selection activeCell="D19" sqref="D19"/>
    </sheetView>
  </sheetViews>
  <sheetFormatPr baseColWidth="10" defaultColWidth="8.796875" defaultRowHeight="13"/>
  <cols>
    <col min="1" max="1" width="5.59765625" customWidth="1"/>
    <col min="2" max="2" width="7.59765625" customWidth="1"/>
    <col min="3" max="3" width="27.59765625" customWidth="1"/>
    <col min="4" max="14" width="7.3984375" customWidth="1"/>
    <col min="15" max="15" width="9.3984375" customWidth="1"/>
    <col min="16" max="16" width="4.59765625" style="7" customWidth="1"/>
  </cols>
  <sheetData>
    <row r="1" spans="1:16" ht="23">
      <c r="A1" s="327" t="s">
        <v>46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2"/>
      <c r="P1" s="12"/>
    </row>
    <row r="2" spans="1:16" ht="15" customHeight="1">
      <c r="B2" s="13" t="s">
        <v>41</v>
      </c>
      <c r="C2" s="329" t="str">
        <f>IF('Pulje 1'!E5&gt;0,'Pulje 1'!E5,"")</f>
        <v/>
      </c>
      <c r="D2" s="329"/>
      <c r="E2" s="329"/>
      <c r="F2" s="329"/>
      <c r="G2" s="329"/>
      <c r="H2" s="12"/>
      <c r="I2" s="12"/>
      <c r="J2" s="12"/>
      <c r="K2" s="12"/>
      <c r="L2" s="12"/>
      <c r="M2" s="12"/>
      <c r="N2" s="12"/>
      <c r="O2" s="12"/>
      <c r="P2" s="12"/>
    </row>
    <row r="3" spans="1:16" ht="16">
      <c r="A3" s="328" t="s">
        <v>0</v>
      </c>
      <c r="B3" s="328"/>
      <c r="C3" s="329" t="str">
        <f>IF('Pulje 1'!K5&gt;0,'Pulje 1'!K5,"")</f>
        <v>AK Bjørgvn</v>
      </c>
      <c r="D3" s="329"/>
      <c r="E3" s="14" t="s">
        <v>1</v>
      </c>
      <c r="F3" s="330" t="str">
        <f>IF('Pulje 1'!R5&gt;0,'Pulje 1'!R5,"")</f>
        <v/>
      </c>
      <c r="G3" s="331"/>
      <c r="H3" s="331"/>
      <c r="I3" s="331"/>
      <c r="J3" s="15" t="s">
        <v>2</v>
      </c>
      <c r="K3" s="332" t="str">
        <f>IF('Pulje 1'!X5&gt;0,'Pulje 1'!X5,"")</f>
        <v/>
      </c>
      <c r="L3" s="332"/>
      <c r="M3" s="15" t="s">
        <v>15</v>
      </c>
      <c r="N3" s="58">
        <v>1</v>
      </c>
      <c r="O3" s="57"/>
      <c r="P3" s="16"/>
    </row>
    <row r="4" spans="1:16" ht="15" thickBot="1">
      <c r="B4" s="323" t="s">
        <v>62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15"/>
      <c r="P4" s="16"/>
    </row>
    <row r="5" spans="1:16" s="17" customFormat="1" ht="14">
      <c r="B5" s="18" t="s">
        <v>18</v>
      </c>
      <c r="C5" s="19" t="s">
        <v>6</v>
      </c>
      <c r="D5" s="324" t="s">
        <v>21</v>
      </c>
      <c r="E5" s="324"/>
      <c r="F5" s="324"/>
      <c r="G5" s="324"/>
      <c r="H5" s="325" t="s">
        <v>22</v>
      </c>
      <c r="I5" s="325"/>
      <c r="J5" s="325"/>
      <c r="K5" s="325"/>
      <c r="L5" s="326" t="s">
        <v>42</v>
      </c>
      <c r="M5" s="326"/>
      <c r="N5" s="326"/>
      <c r="O5" s="20"/>
      <c r="P5" s="21"/>
    </row>
    <row r="6" spans="1:16" ht="14" thickBot="1">
      <c r="B6" s="95" t="s">
        <v>24</v>
      </c>
      <c r="C6" s="22" t="s">
        <v>28</v>
      </c>
      <c r="D6" s="23">
        <v>1</v>
      </c>
      <c r="E6" s="23">
        <v>2</v>
      </c>
      <c r="F6" s="24">
        <v>3</v>
      </c>
      <c r="G6" s="25" t="s">
        <v>43</v>
      </c>
      <c r="H6" s="26">
        <v>1</v>
      </c>
      <c r="I6" s="23">
        <v>2</v>
      </c>
      <c r="J6" s="24">
        <v>3</v>
      </c>
      <c r="K6" s="25" t="s">
        <v>43</v>
      </c>
      <c r="L6" s="26">
        <v>1</v>
      </c>
      <c r="M6" s="24">
        <v>2</v>
      </c>
      <c r="N6" s="27" t="s">
        <v>43</v>
      </c>
    </row>
    <row r="7" spans="1:16" ht="16.5" customHeight="1">
      <c r="B7" s="101" t="str">
        <f>IF('Pulje 1'!F9="","",'Pulje 1'!F9)</f>
        <v>24-34</v>
      </c>
      <c r="C7" s="96" t="str">
        <f>IF('Pulje 1'!I9="","",'Pulje 1'!I9)</f>
        <v>Lilly Småland</v>
      </c>
      <c r="D7" s="45">
        <v>6.75</v>
      </c>
      <c r="E7" s="45"/>
      <c r="F7" s="46"/>
      <c r="G7" s="28">
        <f>IF(MAX(D7,E7,F7)&gt;0,MAX(D7,E7,F7),"")</f>
        <v>6.75</v>
      </c>
      <c r="H7" s="49">
        <v>11.6</v>
      </c>
      <c r="I7" s="45"/>
      <c r="J7" s="45"/>
      <c r="K7" s="28">
        <f>IF(MAX(H7,I7,J7)&gt;0,MAX(H7,I7,J7),"")</f>
        <v>11.6</v>
      </c>
      <c r="L7" s="82">
        <v>7.5</v>
      </c>
      <c r="M7" s="46"/>
      <c r="N7" s="28">
        <f>IF(MIN(L7,M7)&gt;0,MIN(L7,M7),"")</f>
        <v>7.5</v>
      </c>
      <c r="O7" s="29"/>
      <c r="P7" s="30"/>
    </row>
    <row r="8" spans="1:16" ht="16.5" customHeight="1">
      <c r="B8" s="31"/>
      <c r="C8" s="97" t="str">
        <f>IF('Pulje 1'!J9="","",'Pulje 1'!J9)</f>
        <v>AK Bjørgvin</v>
      </c>
      <c r="D8" s="38"/>
      <c r="E8" s="38"/>
      <c r="F8" s="39"/>
      <c r="G8" s="32"/>
      <c r="H8" s="41"/>
      <c r="I8" s="38"/>
      <c r="J8" s="39"/>
      <c r="K8" s="33"/>
      <c r="L8" s="41"/>
      <c r="M8" s="39"/>
      <c r="N8" s="34"/>
      <c r="O8" s="35" t="str">
        <f>IF(SUM(L8:N8)&gt;0,SUM(L8:N8),"")</f>
        <v/>
      </c>
      <c r="P8" s="11"/>
    </row>
    <row r="9" spans="1:16" ht="16.5" customHeight="1">
      <c r="B9" s="99" t="str">
        <f>IF('Pulje 1'!F11="","",'Pulje 1'!F11)</f>
        <v>24-34</v>
      </c>
      <c r="C9" s="98" t="str">
        <f>IF('Pulje 1'!I11="","",'Pulje 1'!I11)</f>
        <v>Kaia Arnøy Høyheim</v>
      </c>
      <c r="D9" s="47">
        <v>6.68</v>
      </c>
      <c r="E9" s="47"/>
      <c r="F9" s="48"/>
      <c r="G9" s="36">
        <f>IF(MAX(D9,E9,F9)&gt;0,MAX(D9,E9,F9),"")</f>
        <v>6.68</v>
      </c>
      <c r="H9" s="50">
        <v>11.6</v>
      </c>
      <c r="I9" s="47"/>
      <c r="J9" s="47"/>
      <c r="K9" s="37">
        <f>IF(MAX(H9,I9,J9)&gt;0,MAX(H9,I9,J9),"")</f>
        <v>11.6</v>
      </c>
      <c r="L9" s="52">
        <v>7.7</v>
      </c>
      <c r="M9" s="48"/>
      <c r="N9" s="37">
        <f>IF(MIN(L9,M9)&gt;0,MIN(L9,M9),"")</f>
        <v>7.7</v>
      </c>
      <c r="O9" s="29"/>
      <c r="P9" s="30"/>
    </row>
    <row r="10" spans="1:16" ht="16.5" customHeight="1">
      <c r="B10" s="31"/>
      <c r="C10" s="97" t="str">
        <f>IF('Pulje 1'!J11="","",'Pulje 1'!J11)</f>
        <v>AK Bjørgvin</v>
      </c>
      <c r="D10" s="38"/>
      <c r="E10" s="38"/>
      <c r="F10" s="39"/>
      <c r="G10" s="32"/>
      <c r="H10" s="41"/>
      <c r="I10" s="38"/>
      <c r="J10" s="39"/>
      <c r="K10" s="33"/>
      <c r="L10" s="41"/>
      <c r="M10" s="39"/>
      <c r="N10" s="34"/>
      <c r="O10" s="35" t="str">
        <f>IF(SUM(L10:N10)&gt;0,SUM(L10:N10),"")</f>
        <v/>
      </c>
      <c r="P10" s="11"/>
    </row>
    <row r="11" spans="1:16" ht="16.5" customHeight="1">
      <c r="B11" s="99" t="str">
        <f>IF('Pulje 1'!F13="","",'Pulje 1'!F13)</f>
        <v>24-34</v>
      </c>
      <c r="C11" s="98" t="str">
        <f>IF('Pulje 1'!I13="","",'Pulje 1'!I13)</f>
        <v>Caroline Røsbø</v>
      </c>
      <c r="D11" s="47">
        <v>7.07</v>
      </c>
      <c r="E11" s="47"/>
      <c r="F11" s="48"/>
      <c r="G11" s="36">
        <f>IF(MAX(D11,E11,F11)&gt;0,MAX(D11,E11,F11),"")</f>
        <v>7.07</v>
      </c>
      <c r="H11" s="50">
        <v>11.9</v>
      </c>
      <c r="I11" s="47"/>
      <c r="J11" s="47"/>
      <c r="K11" s="37">
        <f>IF(MAX(H11,I11,J11)&gt;0,MAX(H11,I11,J11),"")</f>
        <v>11.9</v>
      </c>
      <c r="L11" s="52">
        <v>7.2</v>
      </c>
      <c r="M11" s="48"/>
      <c r="N11" s="37">
        <f>IF(MIN(L11,M11)&gt;0,MIN(L11,M11),"")</f>
        <v>7.2</v>
      </c>
      <c r="O11" s="29"/>
      <c r="P11" s="30"/>
    </row>
    <row r="12" spans="1:16" ht="16.5" customHeight="1">
      <c r="B12" s="31"/>
      <c r="C12" s="97" t="str">
        <f>IF('Pulje 1'!J13="","",'Pulje 1'!J13)</f>
        <v>AK Bjørgvin</v>
      </c>
      <c r="D12" s="38"/>
      <c r="E12" s="38"/>
      <c r="F12" s="39"/>
      <c r="G12" s="32"/>
      <c r="H12" s="41"/>
      <c r="I12" s="38"/>
      <c r="J12" s="39"/>
      <c r="K12" s="33"/>
      <c r="L12" s="41"/>
      <c r="M12" s="39"/>
      <c r="N12" s="34"/>
      <c r="O12" s="35" t="str">
        <f>IF(SUM(L12:N12)&gt;0,SUM(L12:N12),"")</f>
        <v/>
      </c>
      <c r="P12" s="11"/>
    </row>
    <row r="13" spans="1:16" ht="16.5" customHeight="1">
      <c r="B13" s="99" t="str">
        <f>IF('Pulje 1'!F15="","",'Pulje 1'!F15)</f>
        <v>+35</v>
      </c>
      <c r="C13" s="98" t="str">
        <f>IF('Pulje 1'!I15="","",'Pulje 1'!I15)</f>
        <v>Iselin Hatlenes</v>
      </c>
      <c r="D13" s="47">
        <v>6.77</v>
      </c>
      <c r="E13" s="47"/>
      <c r="F13" s="48"/>
      <c r="G13" s="36">
        <f>IF(MAX(D13,E13,F13)&gt;0,MAX(D13,E13,F13),"")</f>
        <v>6.77</v>
      </c>
      <c r="H13" s="50">
        <v>12.7</v>
      </c>
      <c r="I13" s="47"/>
      <c r="J13" s="47"/>
      <c r="K13" s="37">
        <f>IF(MAX(H13,I13,J13)&gt;0,MAX(H13,I13,J13),"")</f>
        <v>12.7</v>
      </c>
      <c r="L13" s="52">
        <v>7.1</v>
      </c>
      <c r="M13" s="48"/>
      <c r="N13" s="37">
        <f>IF(MIN(L13,M13)&gt;0,MIN(L13,M13),"")</f>
        <v>7.1</v>
      </c>
      <c r="O13" s="29"/>
      <c r="P13" s="30"/>
    </row>
    <row r="14" spans="1:16" ht="16.5" customHeight="1">
      <c r="B14" s="31"/>
      <c r="C14" s="97" t="str">
        <f>IF('Pulje 1'!J15="","",'Pulje 1'!J15)</f>
        <v>AK Bjørgvin</v>
      </c>
      <c r="D14" s="38"/>
      <c r="E14" s="38"/>
      <c r="F14" s="39"/>
      <c r="G14" s="32"/>
      <c r="H14" s="41"/>
      <c r="I14" s="38"/>
      <c r="J14" s="39"/>
      <c r="K14" s="33"/>
      <c r="L14" s="41"/>
      <c r="M14" s="39"/>
      <c r="N14" s="34"/>
      <c r="O14" s="35" t="str">
        <f>IF(SUM(L14:N14)&gt;0,SUM(L14:N14),"")</f>
        <v/>
      </c>
      <c r="P14" s="11"/>
    </row>
    <row r="15" spans="1:16" ht="16.5" customHeight="1">
      <c r="B15" s="99" t="str">
        <f>IF('Pulje 1'!F17="","",'Pulje 1'!F17)</f>
        <v>+35</v>
      </c>
      <c r="C15" s="98" t="str">
        <f>IF('Pulje 1'!I17="","",'Pulje 1'!I17)</f>
        <v>Ingeborg Endresen</v>
      </c>
      <c r="D15" s="47"/>
      <c r="E15" s="47"/>
      <c r="F15" s="48"/>
      <c r="G15" s="36" t="str">
        <f>IF(MAX(D15,E15,F15)&gt;0,MAX(D15,E15,F15),"")</f>
        <v/>
      </c>
      <c r="H15" s="50"/>
      <c r="I15" s="47"/>
      <c r="J15" s="47"/>
      <c r="K15" s="37" t="str">
        <f>IF(MAX(H15,I15,J15)&gt;0,MAX(H15,I15,J15),"")</f>
        <v/>
      </c>
      <c r="L15" s="52"/>
      <c r="M15" s="48"/>
      <c r="N15" s="37" t="str">
        <f>IF(MIN(L15,M15)&gt;0,MIN(L15,M15),"")</f>
        <v/>
      </c>
      <c r="O15" s="29"/>
      <c r="P15" s="30"/>
    </row>
    <row r="16" spans="1:16" ht="16.5" customHeight="1">
      <c r="B16" s="31"/>
      <c r="C16" s="97" t="str">
        <f>IF('Pulje 1'!J17="","",'Pulje 1'!J17)</f>
        <v>AK Bjørgvin</v>
      </c>
      <c r="D16" s="38"/>
      <c r="E16" s="38"/>
      <c r="F16" s="39"/>
      <c r="G16" s="32"/>
      <c r="H16" s="41"/>
      <c r="I16" s="38"/>
      <c r="J16" s="39"/>
      <c r="K16" s="33"/>
      <c r="L16" s="41"/>
      <c r="M16" s="39"/>
      <c r="N16" s="34"/>
      <c r="O16" s="35" t="str">
        <f>IF(SUM(L16:N16)&gt;0,SUM(L16:N16),"")</f>
        <v/>
      </c>
      <c r="P16" s="11"/>
    </row>
    <row r="17" spans="2:16" ht="16.5" customHeight="1">
      <c r="B17" s="99" t="str">
        <f>IF('Pulje 1'!F19="","",'Pulje 1'!F19)</f>
        <v>+35</v>
      </c>
      <c r="C17" s="98" t="str">
        <f>IF('Pulje 1'!I19="","",'Pulje 1'!I19)</f>
        <v>Line Søfteland</v>
      </c>
      <c r="D17" s="47"/>
      <c r="E17" s="47"/>
      <c r="F17" s="48"/>
      <c r="G17" s="36" t="str">
        <f>IF(MAX(D17,E17,F17)&gt;0,MAX(D17,E17,F17),"")</f>
        <v/>
      </c>
      <c r="H17" s="50"/>
      <c r="I17" s="47"/>
      <c r="J17" s="47"/>
      <c r="K17" s="37" t="str">
        <f>IF(MAX(H17,I17,J17)&gt;0,MAX(H17,I17,J17),"")</f>
        <v/>
      </c>
      <c r="L17" s="52"/>
      <c r="M17" s="48"/>
      <c r="N17" s="37" t="str">
        <f>IF(MIN(L17,M17)&gt;0,MIN(L17,M17),"")</f>
        <v/>
      </c>
      <c r="O17" s="29"/>
      <c r="P17" s="30"/>
    </row>
    <row r="18" spans="2:16" ht="16.5" customHeight="1">
      <c r="B18" s="31"/>
      <c r="C18" s="97" t="str">
        <f>IF('Pulje 1'!J19="","",'Pulje 1'!J19)</f>
        <v>AK Bjørgvin</v>
      </c>
      <c r="D18" s="38"/>
      <c r="E18" s="38"/>
      <c r="F18" s="39"/>
      <c r="G18" s="32"/>
      <c r="H18" s="41"/>
      <c r="I18" s="38"/>
      <c r="J18" s="39"/>
      <c r="K18" s="33"/>
      <c r="L18" s="41"/>
      <c r="M18" s="39"/>
      <c r="N18" s="34"/>
      <c r="O18" s="35" t="str">
        <f>IF(SUM(L18:N18)&gt;0,SUM(L18:N18),"")</f>
        <v/>
      </c>
      <c r="P18" s="11"/>
    </row>
    <row r="19" spans="2:16" ht="16.5" customHeight="1">
      <c r="B19" s="99" t="str">
        <f>IF('Pulje 1'!F21="","",'Pulje 1'!F21)</f>
        <v>+35</v>
      </c>
      <c r="C19" s="98" t="str">
        <f>IF('Pulje 1'!I21="","",'Pulje 1'!I21)</f>
        <v>Børge Aadland</v>
      </c>
      <c r="D19" s="47">
        <v>7.63</v>
      </c>
      <c r="E19" s="47"/>
      <c r="F19" s="48"/>
      <c r="G19" s="36">
        <f>IF(MAX(D19,E19,F19)&gt;0,MAX(D19,E19,F19),"")</f>
        <v>7.63</v>
      </c>
      <c r="H19" s="50">
        <v>11.7</v>
      </c>
      <c r="I19" s="47"/>
      <c r="J19" s="47"/>
      <c r="K19" s="37">
        <f>IF(MAX(H19,I19,J19)&gt;0,MAX(H19,I19,J19),"")</f>
        <v>11.7</v>
      </c>
      <c r="L19" s="52">
        <v>8.1999999999999993</v>
      </c>
      <c r="M19" s="48"/>
      <c r="N19" s="37">
        <f>IF(MIN(L19,M19)&gt;0,MIN(L19,M19),"")</f>
        <v>8.1999999999999993</v>
      </c>
      <c r="O19" s="29"/>
      <c r="P19" s="30"/>
    </row>
    <row r="20" spans="2:16" ht="16.5" customHeight="1">
      <c r="B20" s="31"/>
      <c r="C20" s="97" t="str">
        <f>IF('Pulje 1'!J21="","",'Pulje 1'!J21)</f>
        <v>AK Bjørgvin</v>
      </c>
      <c r="D20" s="38"/>
      <c r="E20" s="38"/>
      <c r="F20" s="39"/>
      <c r="G20" s="32"/>
      <c r="H20" s="41"/>
      <c r="I20" s="38"/>
      <c r="J20" s="39"/>
      <c r="K20" s="33"/>
      <c r="L20" s="41"/>
      <c r="M20" s="39"/>
      <c r="N20" s="34"/>
      <c r="O20" s="35" t="str">
        <f>IF(SUM(L20:N20)&gt;0,SUM(L20:N20),"")</f>
        <v/>
      </c>
      <c r="P20" s="11"/>
    </row>
    <row r="21" spans="2:16" ht="16.5" customHeight="1">
      <c r="B21" s="99" t="str">
        <f>IF('Pulje 1'!F23="","",'Pulje 1'!F23)</f>
        <v>+35</v>
      </c>
      <c r="C21" s="98" t="str">
        <f>IF('Pulje 1'!I23="","",'Pulje 1'!I23)</f>
        <v>Jørn Helgheeim</v>
      </c>
      <c r="D21" s="47">
        <v>6.09</v>
      </c>
      <c r="E21" s="47"/>
      <c r="F21" s="48"/>
      <c r="G21" s="36">
        <f>IF(MAX(D21,E21,F21)&gt;0,MAX(D21,E21,F21),"")</f>
        <v>6.09</v>
      </c>
      <c r="H21" s="50">
        <v>10.199999999999999</v>
      </c>
      <c r="I21" s="47"/>
      <c r="J21" s="47"/>
      <c r="K21" s="37">
        <f>IF(MAX(H21,I21,J21)&gt;0,MAX(H21,I21,J21),"")</f>
        <v>10.199999999999999</v>
      </c>
      <c r="L21" s="52">
        <v>8.9</v>
      </c>
      <c r="M21" s="48"/>
      <c r="N21" s="37">
        <f>IF(MIN(L21,M21)&gt;0,MIN(L21,M21),"")</f>
        <v>8.9</v>
      </c>
      <c r="O21" s="29"/>
      <c r="P21" s="30"/>
    </row>
    <row r="22" spans="2:16" ht="16.5" customHeight="1">
      <c r="B22" s="31"/>
      <c r="C22" s="97" t="str">
        <f>IF('Pulje 1'!J23="","",'Pulje 1'!J23)</f>
        <v>Tambarskjelvar IL</v>
      </c>
      <c r="D22" s="38"/>
      <c r="E22" s="38"/>
      <c r="F22" s="39"/>
      <c r="G22" s="40"/>
      <c r="H22" s="41"/>
      <c r="I22" s="38"/>
      <c r="J22" s="39"/>
      <c r="K22" s="42"/>
      <c r="L22" s="41"/>
      <c r="M22" s="39"/>
      <c r="N22" s="34"/>
      <c r="O22" s="35" t="str">
        <f>IF(SUM(L22:N22)&gt;0,SUM(L22:N22),"")</f>
        <v/>
      </c>
      <c r="P22" s="11"/>
    </row>
    <row r="23" spans="2:16" ht="16.5" customHeight="1">
      <c r="B23" s="99" t="str">
        <f>IF('Pulje 1'!F25="","",'Pulje 1'!F25)</f>
        <v/>
      </c>
      <c r="C23" s="98" t="str">
        <f>IF('Pulje 1'!I25="","",'Pulje 1'!I25)</f>
        <v/>
      </c>
      <c r="D23" s="47"/>
      <c r="E23" s="47"/>
      <c r="F23" s="48"/>
      <c r="G23" s="36" t="str">
        <f>IF(MAX(D23,E23,F23)&gt;0,MAX(D23,E23,F23),"")</f>
        <v/>
      </c>
      <c r="H23" s="50"/>
      <c r="I23" s="47"/>
      <c r="J23" s="47"/>
      <c r="K23" s="37" t="str">
        <f>IF(MAX(H23,I23,J23)&gt;0,MAX(H23,I23,J23),"")</f>
        <v/>
      </c>
      <c r="L23" s="52"/>
      <c r="M23" s="48"/>
      <c r="N23" s="37" t="str">
        <f>IF(MIN(L23,M23)&gt;0,MIN(L23,M23),"")</f>
        <v/>
      </c>
      <c r="O23" s="29"/>
      <c r="P23" s="30"/>
    </row>
    <row r="24" spans="2:16" ht="16.5" customHeight="1">
      <c r="B24" s="31"/>
      <c r="C24" s="97" t="str">
        <f>IF('Pulje 1'!J25="","",'Pulje 1'!J25)</f>
        <v/>
      </c>
      <c r="D24" s="38"/>
      <c r="E24" s="38"/>
      <c r="F24" s="39"/>
      <c r="G24" s="32"/>
      <c r="H24" s="41"/>
      <c r="I24" s="38"/>
      <c r="J24" s="39"/>
      <c r="K24" s="33"/>
      <c r="L24" s="41"/>
      <c r="M24" s="39"/>
      <c r="N24" s="34"/>
      <c r="O24" s="35" t="str">
        <f>IF(SUM(L24:N24)&gt;0,SUM(L24:N24),"")</f>
        <v/>
      </c>
      <c r="P24" s="11"/>
    </row>
    <row r="25" spans="2:16" ht="16.5" customHeight="1">
      <c r="B25" s="99" t="str">
        <f>IF('Pulje 1'!F27="","",'Pulje 1'!F27)</f>
        <v/>
      </c>
      <c r="C25" s="98" t="str">
        <f>IF('Pulje 1'!I27="","",'Pulje 1'!I27)</f>
        <v/>
      </c>
      <c r="D25" s="47"/>
      <c r="E25" s="47"/>
      <c r="F25" s="48"/>
      <c r="G25" s="36" t="str">
        <f>IF(MAX(D25,E25,F25)&gt;0,MAX(D25,E25,F25),"")</f>
        <v/>
      </c>
      <c r="H25" s="50"/>
      <c r="I25" s="47"/>
      <c r="J25" s="47"/>
      <c r="K25" s="37" t="str">
        <f>IF(MAX(H25,I25,J25)&gt;0,MAX(H25,I25,J25),"")</f>
        <v/>
      </c>
      <c r="L25" s="52"/>
      <c r="M25" s="48"/>
      <c r="N25" s="37" t="str">
        <f>IF(MIN(L25,M25)&gt;0,MIN(L25,M25),"")</f>
        <v/>
      </c>
      <c r="O25" s="29"/>
      <c r="P25" s="30"/>
    </row>
    <row r="26" spans="2:16" ht="16.5" customHeight="1">
      <c r="B26" s="31"/>
      <c r="C26" s="97" t="str">
        <f>IF('Pulje 1'!J27="","",'Pulje 1'!J27)</f>
        <v/>
      </c>
      <c r="D26" s="38"/>
      <c r="E26" s="38"/>
      <c r="F26" s="39"/>
      <c r="G26" s="32"/>
      <c r="H26" s="41"/>
      <c r="I26" s="38"/>
      <c r="J26" s="39"/>
      <c r="K26" s="33"/>
      <c r="L26" s="41"/>
      <c r="M26" s="39"/>
      <c r="N26" s="34"/>
      <c r="O26" s="35" t="str">
        <f>IF(SUM(L26:N26)&gt;0,SUM(L26:N26),"")</f>
        <v/>
      </c>
      <c r="P26" s="11"/>
    </row>
    <row r="27" spans="2:16" ht="16.5" customHeight="1">
      <c r="B27" s="99" t="str">
        <f>IF('Pulje 1'!F29="","",'Pulje 1'!F29)</f>
        <v/>
      </c>
      <c r="C27" s="98" t="str">
        <f>IF('Pulje 1'!I29="","",'Pulje 1'!I29)</f>
        <v/>
      </c>
      <c r="D27" s="47"/>
      <c r="E27" s="47"/>
      <c r="F27" s="48"/>
      <c r="G27" s="36" t="str">
        <f>IF(MAX(D27,E27,F27)&gt;0,MAX(D27,E27,F27),"")</f>
        <v/>
      </c>
      <c r="H27" s="50"/>
      <c r="I27" s="47"/>
      <c r="J27" s="47"/>
      <c r="K27" s="37" t="str">
        <f>IF(MAX(H27,I27,J27)&gt;0,MAX(H27,I27,J27),"")</f>
        <v/>
      </c>
      <c r="L27" s="52"/>
      <c r="M27" s="48"/>
      <c r="N27" s="37" t="str">
        <f>IF(MIN(L27,M27)&gt;0,MIN(L27,M27),"")</f>
        <v/>
      </c>
      <c r="O27" s="29"/>
      <c r="P27" s="30"/>
    </row>
    <row r="28" spans="2:16" ht="16.5" customHeight="1">
      <c r="B28" s="31"/>
      <c r="C28" s="97" t="str">
        <f>IF('Pulje 1'!J29="","",'Pulje 1'!J29)</f>
        <v/>
      </c>
      <c r="D28" s="38"/>
      <c r="E28" s="38"/>
      <c r="F28" s="39"/>
      <c r="G28" s="32"/>
      <c r="H28" s="41"/>
      <c r="I28" s="38"/>
      <c r="J28" s="39"/>
      <c r="K28" s="33"/>
      <c r="L28" s="53"/>
      <c r="M28" s="39"/>
      <c r="N28" s="34"/>
      <c r="O28" s="35" t="str">
        <f>IF(SUM(L28:N28)&gt;0,SUM(L28:N28),"")</f>
        <v/>
      </c>
      <c r="P28" s="11"/>
    </row>
    <row r="29" spans="2:16" ht="16.5" customHeight="1">
      <c r="B29" s="99" t="str">
        <f>IF('Pulje 1'!F31="","",'Pulje 1'!F31)</f>
        <v/>
      </c>
      <c r="C29" s="98" t="str">
        <f>IF('Pulje 1'!I31="","",'Pulje 1'!I31)</f>
        <v/>
      </c>
      <c r="D29" s="47"/>
      <c r="E29" s="47"/>
      <c r="F29" s="48"/>
      <c r="G29" s="36" t="str">
        <f>IF(MAX(D29,E29,F29)&gt;0,MAX(D29,E29,F29),"")</f>
        <v/>
      </c>
      <c r="H29" s="50"/>
      <c r="I29" s="47"/>
      <c r="J29" s="47"/>
      <c r="K29" s="37" t="str">
        <f>IF(MAX(H29,I29,J29)&gt;0,MAX(H29,I29,J29),"")</f>
        <v/>
      </c>
      <c r="L29" s="54"/>
      <c r="M29" s="48"/>
      <c r="N29" s="37" t="str">
        <f>IF(MIN(L29,M29)&gt;0,MIN(L29,M29),"")</f>
        <v/>
      </c>
      <c r="O29" s="29"/>
      <c r="P29" s="30"/>
    </row>
    <row r="30" spans="2:16" ht="16.5" customHeight="1">
      <c r="B30" s="56"/>
      <c r="C30" s="97" t="str">
        <f>IF('Pulje 1'!J31="","",'Pulje 1'!J31)</f>
        <v/>
      </c>
      <c r="D30" s="38"/>
      <c r="E30" s="38"/>
      <c r="F30" s="39"/>
      <c r="G30" s="43"/>
      <c r="H30" s="41"/>
      <c r="I30" s="38"/>
      <c r="J30" s="39"/>
      <c r="K30" s="40"/>
      <c r="L30" s="41"/>
      <c r="M30" s="39"/>
      <c r="N30" s="44"/>
      <c r="O30" s="35" t="str">
        <f>IF(SUM(L30:N30)&gt;0,SUM(L30:N30),"")</f>
        <v/>
      </c>
      <c r="P30" s="11"/>
    </row>
  </sheetData>
  <mergeCells count="10">
    <mergeCell ref="B4:N4"/>
    <mergeCell ref="D5:G5"/>
    <mergeCell ref="H5:K5"/>
    <mergeCell ref="L5:N5"/>
    <mergeCell ref="A1:N1"/>
    <mergeCell ref="A3:B3"/>
    <mergeCell ref="C3:D3"/>
    <mergeCell ref="F3:I3"/>
    <mergeCell ref="K3:L3"/>
    <mergeCell ref="C2:G2"/>
  </mergeCells>
  <phoneticPr fontId="17" type="noConversion"/>
  <pageMargins left="0.27559055118110198" right="0.27559055118110198" top="0.27559055118110198" bottom="0.27559055118110198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13</vt:i4>
      </vt:variant>
    </vt:vector>
  </HeadingPairs>
  <TitlesOfParts>
    <vt:vector size="27" baseType="lpstr">
      <vt:lpstr>Pulje 1</vt:lpstr>
      <vt:lpstr>Pulje 2</vt:lpstr>
      <vt:lpstr>Pulje 3</vt:lpstr>
      <vt:lpstr>Pulje 4</vt:lpstr>
      <vt:lpstr>Pulje 5</vt:lpstr>
      <vt:lpstr>Res RM 5-kamp kategori</vt:lpstr>
      <vt:lpstr>Res RM 5-kamp ranking</vt:lpstr>
      <vt:lpstr>Resultat RM 5-KAMP NC2 U, J, S</vt:lpstr>
      <vt:lpstr>K1</vt:lpstr>
      <vt:lpstr>K2</vt:lpstr>
      <vt:lpstr>K3</vt:lpstr>
      <vt:lpstr>K4</vt:lpstr>
      <vt:lpstr>K5</vt:lpstr>
      <vt:lpstr>Meltzer-Faber</vt:lpstr>
      <vt:lpstr>'K1'!Utskriftsområde</vt:lpstr>
      <vt:lpstr>'K2'!Utskriftsområde</vt:lpstr>
      <vt:lpstr>'K3'!Utskriftsområde</vt:lpstr>
      <vt:lpstr>'K4'!Utskriftsområde</vt:lpstr>
      <vt:lpstr>'K5'!Utskriftsområde</vt:lpstr>
      <vt:lpstr>'Pulje 1'!Utskriftsområde</vt:lpstr>
      <vt:lpstr>'Pulje 2'!Utskriftsområde</vt:lpstr>
      <vt:lpstr>'Pulje 3'!Utskriftsområde</vt:lpstr>
      <vt:lpstr>'Pulje 4'!Utskriftsområde</vt:lpstr>
      <vt:lpstr>'Pulje 5'!Utskriftsområde</vt:lpstr>
      <vt:lpstr>'Res RM 5-kamp kategori'!Utskriftsområde</vt:lpstr>
      <vt:lpstr>'Res RM 5-kamp ranking'!Utskriftsområde</vt:lpstr>
      <vt:lpstr>'Resultat RM 5-KAMP NC2 U, J, 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Arne Haavald Pedersen</cp:lastModifiedBy>
  <cp:lastPrinted>2025-06-24T16:45:52Z</cp:lastPrinted>
  <dcterms:created xsi:type="dcterms:W3CDTF">2001-08-31T20:44:44Z</dcterms:created>
  <dcterms:modified xsi:type="dcterms:W3CDTF">2025-06-24T17:43:25Z</dcterms:modified>
</cp:coreProperties>
</file>