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F66DC893-A094-3A48-9BA1-F90311247758}" xr6:coauthVersionLast="47" xr6:coauthVersionMax="47" xr10:uidLastSave="{00000000-0000-0000-0000-000000000000}"/>
  <bookViews>
    <workbookView xWindow="13720" yWindow="500" windowWidth="28920" windowHeight="16600" tabRatio="408" activeTab="3" xr2:uid="{00000000-000D-0000-FFFF-FFFF00000000}"/>
  </bookViews>
  <sheets>
    <sheet name="Pulje 1" sheetId="34" r:id="rId1"/>
    <sheet name="Pulje 2" sheetId="36" r:id="rId2"/>
    <sheet name="Pulje 3" sheetId="37" r:id="rId3"/>
    <sheet name="Pulje 4" sheetId="38" r:id="rId4"/>
    <sheet name="Meltzer-Faber" sheetId="23" state="hidden" r:id="rId5"/>
    <sheet name="Module1" sheetId="2" state="veryHidden" r:id="rId6"/>
  </sheets>
  <definedNames>
    <definedName name="_xlnm.Print_Area" localSheetId="0">'Pulje 1'!$B$1:$AB$46</definedName>
    <definedName name="_xlnm.Print_Area" localSheetId="1">'Pulje 2'!$B$1:$AB$46</definedName>
    <definedName name="_xlnm.Print_Area" localSheetId="2">'Pulje 3'!$B$1:$AB$46</definedName>
    <definedName name="_xlnm.Print_Area" localSheetId="3">'Pulje 4'!$B$1:$AB$46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1" i="38" l="1"/>
  <c r="T29" i="38"/>
  <c r="T27" i="38"/>
  <c r="T31" i="37"/>
  <c r="T29" i="37"/>
  <c r="T27" i="37"/>
  <c r="T31" i="36"/>
  <c r="T29" i="36"/>
  <c r="T31" i="34"/>
  <c r="T29" i="34"/>
  <c r="T27" i="34"/>
  <c r="AH25" i="34"/>
  <c r="AG25" i="34"/>
  <c r="AH31" i="34"/>
  <c r="AG31" i="34"/>
  <c r="Q9" i="34"/>
  <c r="AF33" i="38"/>
  <c r="AE33" i="38"/>
  <c r="X32" i="38"/>
  <c r="W32" i="38"/>
  <c r="Y32" i="38" s="1"/>
  <c r="V32" i="38"/>
  <c r="AJ31" i="38"/>
  <c r="AE31" i="38"/>
  <c r="AF31" i="38" s="1"/>
  <c r="AD31" i="38"/>
  <c r="AC31" i="38"/>
  <c r="R31" i="38"/>
  <c r="Q31" i="38"/>
  <c r="X30" i="38"/>
  <c r="W30" i="38"/>
  <c r="V30" i="38"/>
  <c r="AJ29" i="38"/>
  <c r="AD29" i="38"/>
  <c r="AC29" i="38"/>
  <c r="AE29" i="38" s="1"/>
  <c r="AF29" i="38" s="1"/>
  <c r="R29" i="38"/>
  <c r="Q29" i="38"/>
  <c r="X28" i="38"/>
  <c r="W28" i="38"/>
  <c r="V28" i="38"/>
  <c r="AJ27" i="38"/>
  <c r="AD27" i="38"/>
  <c r="AC27" i="38"/>
  <c r="AE27" i="38" s="1"/>
  <c r="R27" i="38"/>
  <c r="Q27" i="38"/>
  <c r="X26" i="38"/>
  <c r="W26" i="38"/>
  <c r="V26" i="38"/>
  <c r="Y26" i="38" s="1"/>
  <c r="AJ25" i="38"/>
  <c r="AE25" i="38"/>
  <c r="AF25" i="38" s="1"/>
  <c r="AH25" i="38" s="1"/>
  <c r="AD25" i="38"/>
  <c r="AC25" i="38"/>
  <c r="R25" i="38"/>
  <c r="Q25" i="38"/>
  <c r="X24" i="38"/>
  <c r="W24" i="38"/>
  <c r="V24" i="38"/>
  <c r="AJ23" i="38"/>
  <c r="AE23" i="38"/>
  <c r="AD23" i="38"/>
  <c r="AC23" i="38"/>
  <c r="R23" i="38"/>
  <c r="Q23" i="38"/>
  <c r="S23" i="38" s="1"/>
  <c r="T23" i="38" s="1"/>
  <c r="S24" i="38" s="1"/>
  <c r="X22" i="38"/>
  <c r="W22" i="38"/>
  <c r="V22" i="38"/>
  <c r="AJ21" i="38"/>
  <c r="AD21" i="38"/>
  <c r="AC21" i="38"/>
  <c r="AE21" i="38" s="1"/>
  <c r="R21" i="38"/>
  <c r="Q21" i="38"/>
  <c r="X20" i="38"/>
  <c r="W20" i="38"/>
  <c r="V20" i="38"/>
  <c r="AJ19" i="38"/>
  <c r="AD19" i="38"/>
  <c r="AC19" i="38"/>
  <c r="AE19" i="38" s="1"/>
  <c r="AF19" i="38" s="1"/>
  <c r="R19" i="38"/>
  <c r="Q19" i="38"/>
  <c r="X18" i="38"/>
  <c r="W18" i="38"/>
  <c r="V18" i="38"/>
  <c r="AJ17" i="38"/>
  <c r="AE17" i="38"/>
  <c r="AF17" i="38" s="1"/>
  <c r="AD17" i="38"/>
  <c r="AC17" i="38"/>
  <c r="R17" i="38"/>
  <c r="Q17" i="38"/>
  <c r="X16" i="38"/>
  <c r="W16" i="38"/>
  <c r="V16" i="38"/>
  <c r="AJ15" i="38"/>
  <c r="AD15" i="38"/>
  <c r="AC15" i="38"/>
  <c r="AE15" i="38" s="1"/>
  <c r="R15" i="38"/>
  <c r="Q15" i="38"/>
  <c r="X14" i="38"/>
  <c r="W14" i="38"/>
  <c r="V14" i="38"/>
  <c r="AJ13" i="38"/>
  <c r="AE13" i="38"/>
  <c r="AF13" i="38" s="1"/>
  <c r="AD13" i="38"/>
  <c r="AC13" i="38"/>
  <c r="R13" i="38"/>
  <c r="Q13" i="38"/>
  <c r="X12" i="38"/>
  <c r="W12" i="38"/>
  <c r="V12" i="38"/>
  <c r="AJ11" i="38"/>
  <c r="AD11" i="38"/>
  <c r="AC11" i="38"/>
  <c r="AE11" i="38" s="1"/>
  <c r="R11" i="38"/>
  <c r="Q11" i="38"/>
  <c r="X10" i="38"/>
  <c r="W10" i="38"/>
  <c r="V10" i="38"/>
  <c r="AJ9" i="38"/>
  <c r="AD9" i="38"/>
  <c r="AC9" i="38"/>
  <c r="AE9" i="38" s="1"/>
  <c r="R9" i="38"/>
  <c r="Q9" i="38"/>
  <c r="AF33" i="37"/>
  <c r="AE33" i="37"/>
  <c r="X32" i="37"/>
  <c r="W32" i="37"/>
  <c r="V32" i="37"/>
  <c r="Y32" i="37" s="1"/>
  <c r="AJ31" i="37"/>
  <c r="AE31" i="37"/>
  <c r="AF31" i="37" s="1"/>
  <c r="AD31" i="37"/>
  <c r="AI31" i="37" s="1"/>
  <c r="AC31" i="37"/>
  <c r="R31" i="37"/>
  <c r="Q31" i="37"/>
  <c r="S31" i="37" s="1"/>
  <c r="X30" i="37"/>
  <c r="Y30" i="37" s="1"/>
  <c r="W30" i="37"/>
  <c r="V30" i="37"/>
  <c r="AJ29" i="37"/>
  <c r="AI29" i="37"/>
  <c r="AD29" i="37"/>
  <c r="AC29" i="37"/>
  <c r="AE29" i="37" s="1"/>
  <c r="S29" i="37"/>
  <c r="S30" i="37" s="1"/>
  <c r="R29" i="37"/>
  <c r="Q29" i="37"/>
  <c r="X28" i="37"/>
  <c r="W28" i="37"/>
  <c r="Y28" i="37" s="1"/>
  <c r="V28" i="37"/>
  <c r="AJ27" i="37"/>
  <c r="AD27" i="37"/>
  <c r="AC27" i="37"/>
  <c r="AE27" i="37" s="1"/>
  <c r="R27" i="37"/>
  <c r="Q27" i="37"/>
  <c r="S27" i="37" s="1"/>
  <c r="X26" i="37"/>
  <c r="W26" i="37"/>
  <c r="V26" i="37"/>
  <c r="AJ25" i="37"/>
  <c r="AE25" i="37"/>
  <c r="AF25" i="37" s="1"/>
  <c r="AD25" i="37"/>
  <c r="AC25" i="37"/>
  <c r="R25" i="37"/>
  <c r="Q25" i="37"/>
  <c r="X24" i="37"/>
  <c r="W24" i="37"/>
  <c r="V24" i="37"/>
  <c r="AJ23" i="37"/>
  <c r="AD23" i="37"/>
  <c r="AC23" i="37"/>
  <c r="AE23" i="37" s="1"/>
  <c r="R23" i="37"/>
  <c r="Q23" i="37"/>
  <c r="X22" i="37"/>
  <c r="W22" i="37"/>
  <c r="V22" i="37"/>
  <c r="AJ21" i="37"/>
  <c r="AD21" i="37"/>
  <c r="AC21" i="37"/>
  <c r="AE21" i="37" s="1"/>
  <c r="R21" i="37"/>
  <c r="Q21" i="37"/>
  <c r="X20" i="37"/>
  <c r="W20" i="37"/>
  <c r="V20" i="37"/>
  <c r="AJ19" i="37"/>
  <c r="AE19" i="37"/>
  <c r="AF19" i="37" s="1"/>
  <c r="AD19" i="37"/>
  <c r="AC19" i="37"/>
  <c r="R19" i="37"/>
  <c r="Q19" i="37"/>
  <c r="X18" i="37"/>
  <c r="W18" i="37"/>
  <c r="V18" i="37"/>
  <c r="AJ17" i="37"/>
  <c r="AD17" i="37"/>
  <c r="AC17" i="37"/>
  <c r="AE17" i="37" s="1"/>
  <c r="R17" i="37"/>
  <c r="Q17" i="37"/>
  <c r="X16" i="37"/>
  <c r="W16" i="37"/>
  <c r="V16" i="37"/>
  <c r="AJ15" i="37"/>
  <c r="AD15" i="37"/>
  <c r="AC15" i="37"/>
  <c r="AE15" i="37" s="1"/>
  <c r="R15" i="37"/>
  <c r="Q15" i="37"/>
  <c r="X14" i="37"/>
  <c r="W14" i="37"/>
  <c r="V14" i="37"/>
  <c r="AJ13" i="37"/>
  <c r="AE13" i="37"/>
  <c r="AF13" i="37" s="1"/>
  <c r="AD13" i="37"/>
  <c r="AC13" i="37"/>
  <c r="R13" i="37"/>
  <c r="Q13" i="37"/>
  <c r="X12" i="37"/>
  <c r="W12" i="37"/>
  <c r="V12" i="37"/>
  <c r="AJ11" i="37"/>
  <c r="AE11" i="37"/>
  <c r="AD11" i="37"/>
  <c r="AC11" i="37"/>
  <c r="R11" i="37"/>
  <c r="Q11" i="37"/>
  <c r="X10" i="37"/>
  <c r="W10" i="37"/>
  <c r="V10" i="37"/>
  <c r="AJ9" i="37"/>
  <c r="AD9" i="37"/>
  <c r="AC9" i="37"/>
  <c r="AE9" i="37" s="1"/>
  <c r="AF9" i="37" s="1"/>
  <c r="AG9" i="37" s="1"/>
  <c r="R9" i="37"/>
  <c r="Q9" i="37"/>
  <c r="AF33" i="36"/>
  <c r="AE33" i="36"/>
  <c r="X32" i="36"/>
  <c r="W32" i="36"/>
  <c r="V32" i="36"/>
  <c r="Y32" i="36" s="1"/>
  <c r="AJ31" i="36"/>
  <c r="AE31" i="36"/>
  <c r="AF31" i="36" s="1"/>
  <c r="AD31" i="36"/>
  <c r="AI31" i="36" s="1"/>
  <c r="AC31" i="36"/>
  <c r="R31" i="36"/>
  <c r="Q31" i="36"/>
  <c r="S31" i="36" s="1"/>
  <c r="X30" i="36"/>
  <c r="W30" i="36"/>
  <c r="V30" i="36"/>
  <c r="Y30" i="36" s="1"/>
  <c r="AJ29" i="36"/>
  <c r="AE29" i="36"/>
  <c r="AD29" i="36"/>
  <c r="AI29" i="36" s="1"/>
  <c r="AC29" i="36"/>
  <c r="S29" i="36"/>
  <c r="S30" i="36" s="1"/>
  <c r="R29" i="36"/>
  <c r="Q29" i="36"/>
  <c r="X28" i="36"/>
  <c r="W28" i="36"/>
  <c r="V28" i="36"/>
  <c r="AJ27" i="36"/>
  <c r="AD27" i="36"/>
  <c r="AC27" i="36"/>
  <c r="AE27" i="36" s="1"/>
  <c r="R27" i="36"/>
  <c r="Q27" i="36"/>
  <c r="X26" i="36"/>
  <c r="W26" i="36"/>
  <c r="V26" i="36"/>
  <c r="Y26" i="36" s="1"/>
  <c r="AJ25" i="36"/>
  <c r="AE25" i="36"/>
  <c r="AD25" i="36"/>
  <c r="AC25" i="36"/>
  <c r="R25" i="36"/>
  <c r="Q25" i="36"/>
  <c r="X24" i="36"/>
  <c r="W24" i="36"/>
  <c r="V24" i="36"/>
  <c r="AJ23" i="36"/>
  <c r="AD23" i="36"/>
  <c r="AC23" i="36"/>
  <c r="AE23" i="36" s="1"/>
  <c r="R23" i="36"/>
  <c r="Q23" i="36"/>
  <c r="X22" i="36"/>
  <c r="V22" i="36"/>
  <c r="AJ21" i="36"/>
  <c r="W22" i="36" s="1"/>
  <c r="AD21" i="36"/>
  <c r="AC21" i="36"/>
  <c r="AE21" i="36" s="1"/>
  <c r="R21" i="36"/>
  <c r="Q21" i="36"/>
  <c r="X20" i="36"/>
  <c r="W20" i="36"/>
  <c r="V20" i="36"/>
  <c r="AJ19" i="36"/>
  <c r="AD19" i="36"/>
  <c r="AC19" i="36"/>
  <c r="AE19" i="36" s="1"/>
  <c r="R19" i="36"/>
  <c r="Q19" i="36"/>
  <c r="X18" i="36"/>
  <c r="W18" i="36"/>
  <c r="V18" i="36"/>
  <c r="AJ17" i="36"/>
  <c r="AD17" i="36"/>
  <c r="AC17" i="36"/>
  <c r="AE17" i="36" s="1"/>
  <c r="R17" i="36"/>
  <c r="Q17" i="36"/>
  <c r="X16" i="36"/>
  <c r="W16" i="36"/>
  <c r="V16" i="36"/>
  <c r="AJ15" i="36"/>
  <c r="AD15" i="36"/>
  <c r="AC15" i="36"/>
  <c r="AE15" i="36" s="1"/>
  <c r="R15" i="36"/>
  <c r="Q15" i="36"/>
  <c r="X14" i="36"/>
  <c r="W14" i="36"/>
  <c r="V14" i="36"/>
  <c r="AJ13" i="36"/>
  <c r="AE13" i="36"/>
  <c r="AF13" i="36" s="1"/>
  <c r="AD13" i="36"/>
  <c r="AC13" i="36"/>
  <c r="R13" i="36"/>
  <c r="Q13" i="36"/>
  <c r="X12" i="36"/>
  <c r="W12" i="36"/>
  <c r="V12" i="36"/>
  <c r="AJ11" i="36"/>
  <c r="AD11" i="36"/>
  <c r="AC11" i="36"/>
  <c r="AE11" i="36" s="1"/>
  <c r="R11" i="36"/>
  <c r="Q11" i="36"/>
  <c r="X10" i="36"/>
  <c r="W10" i="36"/>
  <c r="V10" i="36"/>
  <c r="AJ9" i="36"/>
  <c r="AD9" i="36"/>
  <c r="AC9" i="36"/>
  <c r="AE9" i="36" s="1"/>
  <c r="R9" i="36"/>
  <c r="Q9" i="36"/>
  <c r="R29" i="34"/>
  <c r="Q29" i="34"/>
  <c r="R27" i="34"/>
  <c r="Q27" i="34"/>
  <c r="R13" i="34"/>
  <c r="Q13" i="34"/>
  <c r="R11" i="34"/>
  <c r="Q11" i="34"/>
  <c r="S27" i="36" l="1"/>
  <c r="T27" i="36" s="1"/>
  <c r="S28" i="36" s="1"/>
  <c r="Z28" i="36" s="1"/>
  <c r="Y28" i="36"/>
  <c r="Y18" i="36"/>
  <c r="S17" i="36"/>
  <c r="T17" i="36" s="1"/>
  <c r="S18" i="36" s="1"/>
  <c r="Z18" i="36" s="1"/>
  <c r="S32" i="37"/>
  <c r="S28" i="37"/>
  <c r="S32" i="36"/>
  <c r="Y20" i="38"/>
  <c r="Y22" i="38"/>
  <c r="Y10" i="38"/>
  <c r="Y22" i="37"/>
  <c r="Y18" i="37"/>
  <c r="Y16" i="37"/>
  <c r="Y12" i="37"/>
  <c r="Y22" i="36"/>
  <c r="Y20" i="36"/>
  <c r="Y14" i="36"/>
  <c r="Y10" i="36"/>
  <c r="S25" i="38"/>
  <c r="T25" i="38" s="1"/>
  <c r="S26" i="38" s="1"/>
  <c r="Z26" i="38" s="1"/>
  <c r="S31" i="38"/>
  <c r="S32" i="38" s="1"/>
  <c r="Z32" i="38" s="1"/>
  <c r="S13" i="38"/>
  <c r="T13" i="38" s="1"/>
  <c r="S14" i="38" s="1"/>
  <c r="Z14" i="38" s="1"/>
  <c r="S29" i="38"/>
  <c r="S30" i="38" s="1"/>
  <c r="Z30" i="38" s="1"/>
  <c r="S11" i="38"/>
  <c r="T11" i="38" s="1"/>
  <c r="S12" i="38" s="1"/>
  <c r="Z12" i="38" s="1"/>
  <c r="S27" i="38"/>
  <c r="S28" i="38" s="1"/>
  <c r="Z28" i="38" s="1"/>
  <c r="S9" i="38"/>
  <c r="T9" i="38" s="1"/>
  <c r="S10" i="38" s="1"/>
  <c r="Z10" i="38" s="1"/>
  <c r="S15" i="38"/>
  <c r="T15" i="38" s="1"/>
  <c r="S16" i="38" s="1"/>
  <c r="Z16" i="38" s="1"/>
  <c r="S19" i="38"/>
  <c r="T19" i="38" s="1"/>
  <c r="S20" i="38" s="1"/>
  <c r="Z20" i="38" s="1"/>
  <c r="S17" i="38"/>
  <c r="T17" i="38" s="1"/>
  <c r="S18" i="38" s="1"/>
  <c r="Z18" i="38" s="1"/>
  <c r="S21" i="38"/>
  <c r="T21" i="38" s="1"/>
  <c r="S22" i="38" s="1"/>
  <c r="Z22" i="38" s="1"/>
  <c r="S11" i="37"/>
  <c r="T11" i="37" s="1"/>
  <c r="S12" i="37" s="1"/>
  <c r="Z12" i="37" s="1"/>
  <c r="S25" i="37"/>
  <c r="T25" i="37" s="1"/>
  <c r="S26" i="37" s="1"/>
  <c r="Z26" i="37" s="1"/>
  <c r="S23" i="37"/>
  <c r="T23" i="37" s="1"/>
  <c r="S24" i="37" s="1"/>
  <c r="Z24" i="37" s="1"/>
  <c r="S13" i="37"/>
  <c r="T13" i="37" s="1"/>
  <c r="S14" i="37" s="1"/>
  <c r="Z14" i="37" s="1"/>
  <c r="S17" i="37"/>
  <c r="T17" i="37" s="1"/>
  <c r="S18" i="37" s="1"/>
  <c r="Z18" i="37" s="1"/>
  <c r="S21" i="37"/>
  <c r="T21" i="37" s="1"/>
  <c r="S22" i="37" s="1"/>
  <c r="Z22" i="37" s="1"/>
  <c r="S19" i="37"/>
  <c r="T19" i="37" s="1"/>
  <c r="S20" i="37" s="1"/>
  <c r="Z20" i="37" s="1"/>
  <c r="S15" i="37"/>
  <c r="T15" i="37" s="1"/>
  <c r="S16" i="37" s="1"/>
  <c r="Z16" i="37" s="1"/>
  <c r="S9" i="37"/>
  <c r="T9" i="37" s="1"/>
  <c r="S10" i="37" s="1"/>
  <c r="Z10" i="37" s="1"/>
  <c r="S19" i="36"/>
  <c r="T19" i="36" s="1"/>
  <c r="S20" i="36" s="1"/>
  <c r="Z20" i="36" s="1"/>
  <c r="S9" i="36"/>
  <c r="T9" i="36" s="1"/>
  <c r="S10" i="36" s="1"/>
  <c r="Z10" i="36" s="1"/>
  <c r="S11" i="36"/>
  <c r="T11" i="36" s="1"/>
  <c r="S12" i="36" s="1"/>
  <c r="Z12" i="36" s="1"/>
  <c r="S23" i="36"/>
  <c r="T23" i="36" s="1"/>
  <c r="S24" i="36" s="1"/>
  <c r="Z24" i="36" s="1"/>
  <c r="S21" i="36"/>
  <c r="T21" i="36" s="1"/>
  <c r="S22" i="36" s="1"/>
  <c r="Z22" i="36" s="1"/>
  <c r="S25" i="36"/>
  <c r="T25" i="36" s="1"/>
  <c r="S26" i="36" s="1"/>
  <c r="Z26" i="36" s="1"/>
  <c r="S13" i="36"/>
  <c r="T13" i="36" s="1"/>
  <c r="S14" i="36" s="1"/>
  <c r="Z14" i="36" s="1"/>
  <c r="S15" i="36"/>
  <c r="T15" i="36" s="1"/>
  <c r="S16" i="36" s="1"/>
  <c r="Z16" i="36" s="1"/>
  <c r="Y18" i="38"/>
  <c r="Y28" i="38"/>
  <c r="U25" i="38"/>
  <c r="AG25" i="38"/>
  <c r="AI25" i="38" s="1"/>
  <c r="Y30" i="38"/>
  <c r="Y14" i="38"/>
  <c r="AH13" i="38"/>
  <c r="AG13" i="38"/>
  <c r="AI13" i="38" s="1"/>
  <c r="U13" i="38"/>
  <c r="Y16" i="38"/>
  <c r="Y12" i="38"/>
  <c r="Z30" i="36"/>
  <c r="Y12" i="36"/>
  <c r="Y14" i="37"/>
  <c r="Y20" i="37"/>
  <c r="Y26" i="37"/>
  <c r="Y10" i="37"/>
  <c r="Y16" i="36"/>
  <c r="Z24" i="38"/>
  <c r="Y24" i="38"/>
  <c r="Y24" i="37"/>
  <c r="Y24" i="36"/>
  <c r="AF9" i="38"/>
  <c r="AG17" i="38"/>
  <c r="AI17" i="38" s="1"/>
  <c r="U17" i="38"/>
  <c r="AH17" i="38"/>
  <c r="AF21" i="38"/>
  <c r="AF15" i="38"/>
  <c r="AF27" i="38"/>
  <c r="AG29" i="38"/>
  <c r="AI29" i="38" s="1"/>
  <c r="AH29" i="38"/>
  <c r="U29" i="38"/>
  <c r="AG19" i="38"/>
  <c r="AI19" i="38" s="1"/>
  <c r="AH19" i="38"/>
  <c r="U19" i="38"/>
  <c r="AG31" i="38"/>
  <c r="AI31" i="38" s="1"/>
  <c r="AH31" i="38"/>
  <c r="U31" i="38"/>
  <c r="AF11" i="38"/>
  <c r="AF23" i="38"/>
  <c r="AF15" i="37"/>
  <c r="AG31" i="37"/>
  <c r="AH31" i="37"/>
  <c r="U31" i="37"/>
  <c r="AH25" i="37"/>
  <c r="AI25" i="37" s="1"/>
  <c r="U25" i="37"/>
  <c r="AG25" i="37"/>
  <c r="AF29" i="37"/>
  <c r="Z30" i="37"/>
  <c r="AG19" i="37"/>
  <c r="AH19" i="37"/>
  <c r="AI19" i="37" s="1"/>
  <c r="U19" i="37"/>
  <c r="AF27" i="37"/>
  <c r="AH13" i="37"/>
  <c r="AI13" i="37" s="1"/>
  <c r="U13" i="37"/>
  <c r="AG13" i="37"/>
  <c r="AF17" i="37"/>
  <c r="AF21" i="37"/>
  <c r="AF23" i="37"/>
  <c r="U9" i="37"/>
  <c r="AH9" i="37"/>
  <c r="AI9" i="37" s="1"/>
  <c r="Z32" i="37"/>
  <c r="AF11" i="37"/>
  <c r="AF11" i="36"/>
  <c r="AF9" i="36"/>
  <c r="AF23" i="36"/>
  <c r="AF17" i="36"/>
  <c r="AF21" i="36"/>
  <c r="AH13" i="36"/>
  <c r="U13" i="36"/>
  <c r="AG13" i="36"/>
  <c r="AI13" i="36" s="1"/>
  <c r="AF19" i="36"/>
  <c r="AH31" i="36"/>
  <c r="U31" i="36"/>
  <c r="AG31" i="36"/>
  <c r="AF25" i="36"/>
  <c r="AF15" i="36"/>
  <c r="AF27" i="36"/>
  <c r="AF29" i="36"/>
  <c r="Z32" i="36"/>
  <c r="W32" i="34"/>
  <c r="W30" i="34"/>
  <c r="AH15" i="38" l="1"/>
  <c r="U15" i="38"/>
  <c r="AG15" i="38"/>
  <c r="AI15" i="38" s="1"/>
  <c r="AH9" i="38"/>
  <c r="U9" i="38"/>
  <c r="AG9" i="38"/>
  <c r="AI9" i="38" s="1"/>
  <c r="AH23" i="38"/>
  <c r="AG23" i="38"/>
  <c r="AI23" i="38" s="1"/>
  <c r="U23" i="38"/>
  <c r="AH27" i="38"/>
  <c r="U27" i="38"/>
  <c r="AG27" i="38"/>
  <c r="AI27" i="38" s="1"/>
  <c r="AH11" i="38"/>
  <c r="AG11" i="38"/>
  <c r="AI11" i="38" s="1"/>
  <c r="U11" i="38"/>
  <c r="AH21" i="38"/>
  <c r="U21" i="38"/>
  <c r="AG21" i="38"/>
  <c r="AI21" i="38" s="1"/>
  <c r="AH27" i="37"/>
  <c r="AI27" i="37" s="1"/>
  <c r="Z28" i="37" s="1"/>
  <c r="AG27" i="37"/>
  <c r="AG17" i="37"/>
  <c r="AH17" i="37"/>
  <c r="AI17" i="37" s="1"/>
  <c r="U17" i="37"/>
  <c r="AH15" i="37"/>
  <c r="AI15" i="37" s="1"/>
  <c r="U15" i="37"/>
  <c r="AG15" i="37"/>
  <c r="AH23" i="37"/>
  <c r="AI23" i="37" s="1"/>
  <c r="U23" i="37"/>
  <c r="AG23" i="37"/>
  <c r="AH11" i="37"/>
  <c r="AI11" i="37" s="1"/>
  <c r="U11" i="37"/>
  <c r="AG11" i="37"/>
  <c r="AG21" i="37"/>
  <c r="AH21" i="37"/>
  <c r="AI21" i="37" s="1"/>
  <c r="U21" i="37"/>
  <c r="AG29" i="37"/>
  <c r="U29" i="37"/>
  <c r="AH29" i="37"/>
  <c r="AH19" i="36"/>
  <c r="U19" i="36"/>
  <c r="AG19" i="36"/>
  <c r="AI19" i="36" s="1"/>
  <c r="AG29" i="36"/>
  <c r="AH29" i="36"/>
  <c r="U29" i="36"/>
  <c r="AH27" i="36"/>
  <c r="U27" i="36"/>
  <c r="AG27" i="36"/>
  <c r="AI27" i="36" s="1"/>
  <c r="AG21" i="36"/>
  <c r="AH21" i="36"/>
  <c r="AI21" i="36" s="1"/>
  <c r="U21" i="36"/>
  <c r="AH25" i="36"/>
  <c r="U25" i="36"/>
  <c r="AG25" i="36"/>
  <c r="AI25" i="36" s="1"/>
  <c r="AG17" i="36"/>
  <c r="AI17" i="36" s="1"/>
  <c r="AH17" i="36"/>
  <c r="U17" i="36"/>
  <c r="AH9" i="36"/>
  <c r="U9" i="36"/>
  <c r="AG9" i="36"/>
  <c r="AI9" i="36" s="1"/>
  <c r="AG11" i="36"/>
  <c r="AI11" i="36" s="1"/>
  <c r="AH11" i="36"/>
  <c r="U11" i="36"/>
  <c r="AH15" i="36"/>
  <c r="AI15" i="36" s="1"/>
  <c r="U15" i="36"/>
  <c r="AG15" i="36"/>
  <c r="AH23" i="36"/>
  <c r="U23" i="36"/>
  <c r="AG23" i="36"/>
  <c r="AI23" i="36" s="1"/>
  <c r="AJ31" i="34"/>
  <c r="AJ29" i="34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U27" i="37" l="1"/>
  <c r="AC9" i="34"/>
  <c r="AE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Y32" i="34" l="1"/>
  <c r="Y30" i="34"/>
  <c r="AF31" i="34"/>
  <c r="AI31" i="34" s="1"/>
  <c r="AF27" i="34"/>
  <c r="AH27" i="34" s="1"/>
  <c r="AF29" i="34"/>
  <c r="AG29" i="34" s="1"/>
  <c r="AF17" i="34"/>
  <c r="AG17" i="34" s="1"/>
  <c r="AF25" i="34"/>
  <c r="AF21" i="34"/>
  <c r="AH21" i="34" s="1"/>
  <c r="AI21" i="34" s="1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F9" i="34"/>
  <c r="AG9" i="34" s="1"/>
  <c r="Y26" i="34"/>
  <c r="Y22" i="34"/>
  <c r="Y28" i="34"/>
  <c r="Y12" i="34"/>
  <c r="AG23" i="34"/>
  <c r="Y14" i="34"/>
  <c r="Y18" i="34"/>
  <c r="AH15" i="34" l="1"/>
  <c r="AI15" i="34" s="1"/>
  <c r="AG19" i="34"/>
  <c r="AG27" i="34"/>
  <c r="AI27" i="34" s="1"/>
  <c r="AH17" i="34"/>
  <c r="AI17" i="34" s="1"/>
  <c r="AI25" i="34"/>
  <c r="AG21" i="34"/>
  <c r="AI13" i="34"/>
  <c r="AG13" i="34"/>
  <c r="AH11" i="34"/>
  <c r="AI11" i="34" s="1"/>
  <c r="AH9" i="34"/>
  <c r="AI9" i="34" s="1"/>
  <c r="AH29" i="34"/>
  <c r="AI29" i="34" s="1"/>
  <c r="U31" i="34"/>
  <c r="U17" i="34"/>
  <c r="R31" i="34" l="1"/>
  <c r="Q31" i="34"/>
  <c r="S27" i="34"/>
  <c r="U27" i="34" s="1"/>
  <c r="R25" i="34"/>
  <c r="Q25" i="34"/>
  <c r="S31" i="34" l="1"/>
  <c r="S32" i="34" s="1"/>
  <c r="Z32" i="34" s="1"/>
  <c r="S29" i="34"/>
  <c r="S25" i="34"/>
  <c r="T25" i="34" s="1"/>
  <c r="S28" i="34"/>
  <c r="Z28" i="34" l="1"/>
  <c r="S30" i="34"/>
  <c r="Z30" i="34" s="1"/>
  <c r="U29" i="34"/>
  <c r="S26" i="34"/>
  <c r="Z26" i="34" s="1"/>
  <c r="U25" i="34"/>
  <c r="R23" i="34"/>
  <c r="R21" i="34"/>
  <c r="R19" i="34"/>
  <c r="R17" i="34"/>
  <c r="R15" i="34"/>
  <c r="Q23" i="34"/>
  <c r="Q21" i="34"/>
  <c r="Q19" i="34"/>
  <c r="Q17" i="34"/>
  <c r="Q15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S9" i="34" l="1"/>
  <c r="S23" i="34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T9" i="34"/>
  <c r="U9" i="34" s="1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88F4DB4B-F936-4C40-BB98-37172C23A695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A2D79357-2395-4F31-8019-D210B84B223E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FE0AE80F-CFBC-4F75-A4B7-48E9FAE6E4B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2E83458E-7C21-46B3-A093-39B2660BD10B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FE5BEECF-B583-4782-85C7-5FC64BE5378C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21AA9AD5-43D2-4946-9880-D397751F92B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653989D4-3456-40D8-A0F2-CD622403460E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3293FCB7-7A5F-43CA-B427-1F2080AF6F87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1B8B9143-CF46-4DD5-B853-249A47E9706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F2481048-8B66-42C2-A78B-7CF1F7775CC8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868CF80E-3E2F-4DF8-84F4-EE1E2147BA9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1DED6401-265B-40F9-A79B-31AC13BF1F31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AD6DC7BC-CDD3-4CA1-8501-A06C11AED20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1DCF83A1-5AB6-4BAE-8DFC-C029CCD04AD8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58DAD7-84FE-43C0-A42F-244BB9A17F84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522167CE-0393-4FC4-8E57-5DFBAF68F458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AFFC90B6-DB34-49D1-9C04-EEB223AC98B3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42510DE6-2BEF-4BC3-BE95-1BE84162544F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1412E14C-E164-4403-A18A-B4808A453415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0DBAD372-98F1-4063-B5EE-74A67C939D27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9C7634EE-615A-4BA7-83D8-D7632BB0FC7F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64B3CE7-919B-4ADD-A8CA-87E4631A68A8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30648FE-3199-4F8E-BA0E-1AF9EF3E06D7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7A5440BD-06CB-426D-BF80-BED24ECD5156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2EB2076-1B71-4127-B991-E8BD3DABD9F6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4CB53097-5010-4763-94AE-DFA8CDA2D81A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1DBE0CF1-B7CA-4071-8197-83823196F612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7577B55-4999-419D-8CB2-7A778DCA0F56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CC2EE9FF-0D4A-4CD5-A351-1620EF5740B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3B6DF3B6-C459-44B8-9BF4-AEB326208D9C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4690550C-21CA-4A94-BC33-AA6318A1F716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A167D870-9116-411C-9693-9873B66DE569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E86661DA-255B-40E7-A911-120C0CD7715A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A6BE2A12-C8D4-43F6-9BF7-3AB879EBB4B6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44F53623-2675-406A-9B1F-D7573878229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D2C145F-BF54-4625-B069-282A8AD27B01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FEB9979E-84FC-4107-925A-C0453A8119C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AEC1DF43-96D9-494B-B3FF-DABF6905E19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9CA46FD5-3256-47CA-9D6C-437CCA2729D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<sst xmlns="http://schemas.openxmlformats.org/spreadsheetml/2006/main" count="679" uniqueCount="209">
  <si>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</si>
  <si>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</si>
  <si>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</si>
  <si>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</si>
  <si>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</si>
  <si>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</si>
  <si>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</si>
  <si>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</si>
  <si>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</si>
  <si>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</si>
  <si>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</si>
  <si>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</si>
  <si>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</si>
  <si>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</si>
  <si>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</si>
  <si>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</si>
  <si>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</si>
  <si>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</si>
  <si>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</si>
  <si>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</si>
  <si>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</si>
  <si>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</si>
  <si>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</si>
  <si>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</si>
  <si>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</si>
  <si>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</si>
  <si>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</si>
  <si>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</si>
  <si>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</si>
  <si>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</si>
  <si>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</si>
  <si>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</si>
  <si>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</si>
  <si>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</si>
  <si>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</si>
  <si>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</si>
  <si>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</si>
  <si>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</si>
  <si>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</si>
  <si>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</si>
  <si>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</si>
  <si>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</si>
  <si>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</si>
  <si>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</si>
  <si>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</si>
  <si>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</si>
  <si>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</si>
  <si>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</si>
  <si>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</si>
  <si>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</si>
  <si>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</si>
  <si>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</si>
  <si>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</si>
  <si>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</si>
  <si>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</si>
  <si>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</si>
  <si>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</si>
  <si>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</si>
  <si>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</si>
  <si>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</si>
  <si>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</si>
  <si>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Jørn Helgheim</t>
  </si>
  <si>
    <t>Tina Sægrov</t>
  </si>
  <si>
    <t>Lone Kalland</t>
  </si>
  <si>
    <t>Ine Andersson</t>
  </si>
  <si>
    <t>Oline Mella</t>
  </si>
  <si>
    <t>Børge Aadland</t>
  </si>
  <si>
    <t>Marit Årdalsbakke</t>
  </si>
  <si>
    <t>Andreas Kvame</t>
  </si>
  <si>
    <t>Mathias Birkeland</t>
  </si>
  <si>
    <t>Heidi Nævdal</t>
  </si>
  <si>
    <t>Nikolai Aadland</t>
  </si>
  <si>
    <t>Sandra Nævdal</t>
  </si>
  <si>
    <t>Tuva Lodtz</t>
  </si>
  <si>
    <t>Ida Johannessen</t>
  </si>
  <si>
    <t>Caroline Røsbø</t>
  </si>
  <si>
    <t>Laila T.K. Bjørnarheim</t>
  </si>
  <si>
    <t>Lukas Haukefær</t>
  </si>
  <si>
    <t>Adrian Henneli</t>
  </si>
  <si>
    <t>Lars Espedal</t>
  </si>
  <si>
    <t>15-16</t>
  </si>
  <si>
    <t>Sara H Øvsthus</t>
  </si>
  <si>
    <t>Breimsbygda</t>
  </si>
  <si>
    <t>19-23</t>
  </si>
  <si>
    <t>24-34</t>
  </si>
  <si>
    <t>Erik Orasmäe</t>
  </si>
  <si>
    <t>Sindre K Nesheim</t>
  </si>
  <si>
    <t>17-18</t>
  </si>
  <si>
    <t>Robert Andre Moldestad</t>
  </si>
  <si>
    <t>Live Thune Vaulen</t>
  </si>
  <si>
    <t>Sandra Amundsen</t>
  </si>
  <si>
    <t>+35</t>
  </si>
  <si>
    <t>11-12</t>
  </si>
  <si>
    <t>13-14</t>
  </si>
  <si>
    <t>2012012</t>
  </si>
  <si>
    <t>2010004</t>
  </si>
  <si>
    <t>1976003</t>
  </si>
  <si>
    <t>2009007</t>
  </si>
  <si>
    <t>2008009</t>
  </si>
  <si>
    <t>2005012</t>
  </si>
  <si>
    <t>2002013</t>
  </si>
  <si>
    <t>1992011</t>
  </si>
  <si>
    <t>2005005</t>
  </si>
  <si>
    <t>2003004</t>
  </si>
  <si>
    <t>1994014</t>
  </si>
  <si>
    <t>2007022</t>
  </si>
  <si>
    <t>2001014</t>
  </si>
  <si>
    <t>1999007</t>
  </si>
  <si>
    <t>1994027</t>
  </si>
  <si>
    <t>Iris Luna Millstein</t>
  </si>
  <si>
    <t>M60</t>
  </si>
  <si>
    <t>89</t>
  </si>
  <si>
    <t>Lilly Småland</t>
  </si>
  <si>
    <t>M45</t>
  </si>
  <si>
    <t>UK</t>
  </si>
  <si>
    <t>K35</t>
  </si>
  <si>
    <t>SK</t>
  </si>
  <si>
    <t>JK</t>
  </si>
  <si>
    <t>Lars Erik Jordanger Loen</t>
  </si>
  <si>
    <t>Julia Jordanger Loen</t>
  </si>
  <si>
    <t>UM</t>
  </si>
  <si>
    <t>JM</t>
  </si>
  <si>
    <t>SM</t>
  </si>
  <si>
    <t>81</t>
  </si>
  <si>
    <t>73</t>
  </si>
  <si>
    <t>67</t>
  </si>
  <si>
    <t>61</t>
  </si>
  <si>
    <t>55</t>
  </si>
  <si>
    <t>5.</t>
  </si>
  <si>
    <t>1.</t>
  </si>
  <si>
    <t>2.</t>
  </si>
  <si>
    <t>3.</t>
  </si>
  <si>
    <t>4.</t>
  </si>
  <si>
    <t>6.</t>
  </si>
  <si>
    <t>76</t>
  </si>
  <si>
    <t>64</t>
  </si>
  <si>
    <t>71</t>
  </si>
  <si>
    <t>up.</t>
  </si>
  <si>
    <t>109</t>
  </si>
  <si>
    <t>40</t>
  </si>
  <si>
    <t>49</t>
  </si>
  <si>
    <t>59</t>
  </si>
  <si>
    <t>87</t>
  </si>
  <si>
    <t>96</t>
  </si>
  <si>
    <t>+109</t>
  </si>
  <si>
    <t>Bent Andre Midtbø</t>
  </si>
  <si>
    <t>Ove Varlid</t>
  </si>
  <si>
    <t>Ove Farsund</t>
  </si>
  <si>
    <t>Anette Skjærli</t>
  </si>
  <si>
    <t>Ann Elen Endestad</t>
  </si>
  <si>
    <t>Steinar Kvame</t>
  </si>
  <si>
    <t>Jantsen Øverår</t>
  </si>
  <si>
    <t>Regionsmesterskap</t>
  </si>
  <si>
    <t>Naustdal</t>
  </si>
  <si>
    <t>Kaia Arnøy Høyheim</t>
  </si>
  <si>
    <t>Jantsn Øverås</t>
  </si>
  <si>
    <t>Tambarskjelvar IL</t>
  </si>
  <si>
    <t>Daniel Holstad</t>
  </si>
  <si>
    <t xml:space="preserve">Steinar Kvame </t>
  </si>
  <si>
    <t xml:space="preserve">Naustdal </t>
  </si>
  <si>
    <t>Jantsen Øverås</t>
  </si>
  <si>
    <t>2004022</t>
  </si>
  <si>
    <t>2002003</t>
  </si>
  <si>
    <t>2007026</t>
  </si>
  <si>
    <t>2000009</t>
  </si>
  <si>
    <t>2000010</t>
  </si>
  <si>
    <t>Tambarskelvar IL</t>
  </si>
  <si>
    <t>AK Bjørgvin</t>
  </si>
  <si>
    <t>AKBjørgvin</t>
  </si>
  <si>
    <t>Breimsbygda IL</t>
  </si>
  <si>
    <t>Breimsbygda il</t>
  </si>
  <si>
    <t>Tambareskjelvar IL</t>
  </si>
  <si>
    <t>Emine Tefre Grønnevik</t>
  </si>
  <si>
    <t>2009027</t>
  </si>
  <si>
    <t>1992005</t>
  </si>
  <si>
    <t>1989005</t>
  </si>
  <si>
    <t>2011015</t>
  </si>
  <si>
    <t>2011014</t>
  </si>
  <si>
    <t>Lilje Kristine M. Røyseth</t>
  </si>
  <si>
    <t>2010017</t>
  </si>
  <si>
    <t>1988001</t>
  </si>
  <si>
    <t>1992004</t>
  </si>
  <si>
    <t>Olai Slagstad Aamot</t>
  </si>
  <si>
    <t>2009026</t>
  </si>
  <si>
    <t>Mariell Endestad Hellevang</t>
  </si>
  <si>
    <t>2008004</t>
  </si>
  <si>
    <t>2008033</t>
  </si>
  <si>
    <t>Lyder Slagstad Aamot</t>
  </si>
  <si>
    <t>2010015</t>
  </si>
  <si>
    <t>Ragnar G. Holme</t>
  </si>
  <si>
    <t>2001004</t>
  </si>
  <si>
    <t>Alvolai Myrvang Røyseth</t>
  </si>
  <si>
    <t>2006011</t>
  </si>
  <si>
    <t>Andreas Kvamsås Savland</t>
  </si>
  <si>
    <t>2008023</t>
  </si>
  <si>
    <t>Trine Endestad Hellevang</t>
  </si>
  <si>
    <t>Aksel Lykkebø Svorstøl</t>
  </si>
  <si>
    <t>2006026</t>
  </si>
  <si>
    <t>Jakub Karol Kudyba</t>
  </si>
  <si>
    <t>Nima Berntsen Lama</t>
  </si>
  <si>
    <t>2006024</t>
  </si>
  <si>
    <t>Brede Tengel Lesto</t>
  </si>
  <si>
    <t>2006025</t>
  </si>
  <si>
    <t>2007015</t>
  </si>
  <si>
    <t>Førde IL</t>
  </si>
  <si>
    <t>Fredrik Eskil Myrvang</t>
  </si>
  <si>
    <t>Jonathan H. Gustafsen</t>
  </si>
  <si>
    <t>Bryggen AK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</si>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</sst>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</numFmts>
  <fonts count="32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1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21" fillId="0" borderId="16" xfId="7" applyFont="1" applyBorder="1" applyAlignment="1">
      <alignment horizontal="center"/>
    </xf>
    <xf numFmtId="2" fontId="21" fillId="0" borderId="16" xfId="7" applyNumberFormat="1" applyFont="1" applyBorder="1" applyAlignment="1">
      <alignment horizontal="center"/>
    </xf>
    <xf numFmtId="0" fontId="4" fillId="0" borderId="33" xfId="6" quotePrefix="1" applyFont="1" applyBorder="1" applyAlignment="1" applyProtection="1">
      <alignment horizontal="right" vertical="center"/>
      <protection locked="0"/>
    </xf>
    <xf numFmtId="169" fontId="26" fillId="0" borderId="33" xfId="0" applyNumberFormat="1" applyFont="1" applyBorder="1" applyAlignment="1">
      <alignment horizontal="center" vertical="center"/>
    </xf>
    <xf numFmtId="1" fontId="25" fillId="0" borderId="33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 wrapText="1"/>
    </xf>
    <xf numFmtId="2" fontId="27" fillId="0" borderId="33" xfId="0" applyNumberFormat="1" applyFont="1" applyBorder="1" applyAlignment="1">
      <alignment horizontal="center" vertical="center"/>
    </xf>
    <xf numFmtId="1" fontId="9" fillId="0" borderId="33" xfId="7" applyNumberFormat="1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2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>
      <alignment horizontal="center" vertical="center"/>
    </xf>
    <xf numFmtId="14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 applyProtection="1">
      <alignment horizontal="left" vertical="center"/>
      <protection locked="0"/>
    </xf>
    <xf numFmtId="2" fontId="9" fillId="0" borderId="33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 wrapText="1"/>
    </xf>
    <xf numFmtId="1" fontId="9" fillId="0" borderId="33" xfId="7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2" fontId="23" fillId="0" borderId="33" xfId="7" applyNumberFormat="1" applyFont="1" applyBorder="1" applyAlignment="1" applyProtection="1">
      <alignment horizontal="center" vertical="center"/>
      <protection locked="0"/>
    </xf>
    <xf numFmtId="2" fontId="23" fillId="0" borderId="33" xfId="7" applyNumberFormat="1" applyFont="1" applyBorder="1" applyAlignment="1">
      <alignment horizontal="center" vertical="center"/>
    </xf>
    <xf numFmtId="2" fontId="9" fillId="0" borderId="33" xfId="7" applyNumberFormat="1" applyFont="1" applyBorder="1" applyAlignment="1" applyProtection="1">
      <alignment horizontal="center" vertical="center"/>
      <protection locked="0"/>
    </xf>
    <xf numFmtId="49" fontId="9" fillId="0" borderId="33" xfId="7" applyNumberFormat="1" applyFont="1" applyBorder="1" applyAlignment="1" applyProtection="1">
      <alignment horizontal="center" vertical="center"/>
      <protection locked="0"/>
    </xf>
    <xf numFmtId="1" fontId="9" fillId="0" borderId="33" xfId="7" quotePrefix="1" applyNumberFormat="1" applyFont="1" applyBorder="1" applyAlignment="1" applyProtection="1">
      <alignment horizontal="center" vertical="center"/>
      <protection locked="0"/>
    </xf>
    <xf numFmtId="1" fontId="9" fillId="0" borderId="33" xfId="0" applyNumberFormat="1" applyFont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67" fontId="9" fillId="0" borderId="33" xfId="7" applyNumberFormat="1" applyFont="1" applyBorder="1" applyAlignment="1" applyProtection="1">
      <alignment horizontal="center" vertical="center"/>
      <protection locked="0"/>
    </xf>
    <xf numFmtId="169" fontId="10" fillId="0" borderId="33" xfId="7" quotePrefix="1" applyNumberFormat="1" applyFont="1" applyBorder="1" applyAlignment="1" applyProtection="1">
      <alignment horizontal="center" vertical="center"/>
      <protection locked="0"/>
    </xf>
    <xf numFmtId="169" fontId="24" fillId="0" borderId="33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Alignment="1">
      <alignment horizontal="center"/>
    </xf>
    <xf numFmtId="167" fontId="9" fillId="0" borderId="33" xfId="7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35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2" fontId="21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4" fillId="0" borderId="33" xfId="6" quotePrefix="1" applyNumberFormat="1" applyFont="1" applyBorder="1" applyAlignment="1" applyProtection="1">
      <alignment horizontal="right" vertical="center"/>
      <protection locked="0"/>
    </xf>
    <xf numFmtId="49" fontId="25" fillId="0" borderId="33" xfId="0" quotePrefix="1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49" fontId="9" fillId="0" borderId="36" xfId="7" quotePrefix="1" applyNumberFormat="1" applyFont="1" applyBorder="1" applyAlignment="1" applyProtection="1">
      <alignment horizontal="right" vertical="center"/>
      <protection locked="0"/>
    </xf>
    <xf numFmtId="2" fontId="9" fillId="0" borderId="36" xfId="7" applyNumberFormat="1" applyFont="1" applyBorder="1" applyAlignment="1">
      <alignment horizontal="center" vertical="center"/>
    </xf>
    <xf numFmtId="169" fontId="25" fillId="0" borderId="37" xfId="0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9" fontId="9" fillId="0" borderId="33" xfId="7" quotePrefix="1" applyNumberFormat="1" applyFont="1" applyBorder="1" applyAlignment="1" applyProtection="1">
      <alignment horizontal="center" vertical="center"/>
      <protection locked="0"/>
    </xf>
    <xf numFmtId="167" fontId="9" fillId="0" borderId="33" xfId="0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3" xfId="7" applyNumberFormat="1" applyFont="1" applyBorder="1" applyAlignment="1">
      <alignment horizontal="center" vertical="center" wrapText="1"/>
    </xf>
    <xf numFmtId="2" fontId="9" fillId="0" borderId="33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2" fontId="9" fillId="0" borderId="36" xfId="7" applyNumberFormat="1" applyFont="1" applyBorder="1" applyAlignment="1">
      <alignment horizontal="center" vertical="center"/>
    </xf>
    <xf numFmtId="2" fontId="9" fillId="0" borderId="38" xfId="7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8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_Sheet1" xfId="7" xr:uid="{A6EEFE65-45DE-4C04-8C6B-F2DFF5FDCC36}"/>
    <cellStyle name="Normal_Sheet2" xfId="6" xr:uid="{FD7B47F1-11A7-4E54-B62B-8313606EDD5D}"/>
  </cellStyles>
  <dxfs count="10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3A04B921-C711-4CC4-8AB9-1E7F01B7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AD22E7C8-E30B-45DB-9DC9-3CAAC51E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3112FD74-45C2-4034-9B6F-398535C5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showOutlineSymbols="0" topLeftCell="A18" zoomScaleNormal="100" zoomScaleSheetLayoutView="75" zoomScalePageLayoutView="120" workbookViewId="0">
      <selection activeCell="D38" sqref="D38"/>
    </sheetView>
  </sheetViews>
  <sheetFormatPr baseColWidth="10" defaultColWidth="9.19921875" defaultRowHeight="13"/>
  <cols>
    <col min="1" max="1" width="4.19921875" style="3" customWidth="1"/>
    <col min="2" max="2" width="10.19921875" style="3" bestFit="1" customWidth="1"/>
    <col min="3" max="3" width="6.19921875" style="1" customWidth="1"/>
    <col min="4" max="4" width="8.796875" style="1" customWidth="1"/>
    <col min="5" max="6" width="6.19921875" style="16" customWidth="1"/>
    <col min="7" max="7" width="10.796875" style="1" customWidth="1"/>
    <col min="8" max="8" width="3.796875" style="1" customWidth="1"/>
    <col min="9" max="9" width="27.796875" style="4" customWidth="1"/>
    <col min="10" max="10" width="19.796875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19921875" style="17" customWidth="1"/>
    <col min="28" max="28" width="5.796875" style="17" customWidth="1"/>
    <col min="29" max="29" width="9.79687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16384" width="9.19921875" style="3"/>
  </cols>
  <sheetData>
    <row r="1" spans="1:36" customFormat="1" ht="19.25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66" t="s">
        <v>58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5"/>
      <c r="T2" s="15"/>
      <c r="U2" s="112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113"/>
      <c r="F3" s="15"/>
      <c r="G3" s="167" t="s">
        <v>21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14" t="s">
        <v>60</v>
      </c>
      <c r="T3" s="114"/>
      <c r="U3" s="114"/>
      <c r="V3" s="114"/>
      <c r="W3" s="114"/>
      <c r="X3" s="114"/>
      <c r="Y3" s="114"/>
      <c r="Z3" s="114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59" t="s">
        <v>152</v>
      </c>
      <c r="E5" s="159"/>
      <c r="F5" s="159"/>
      <c r="G5" s="159"/>
      <c r="H5" s="159"/>
      <c r="I5" s="159"/>
      <c r="J5" s="24" t="s">
        <v>0</v>
      </c>
      <c r="K5" s="159" t="s">
        <v>156</v>
      </c>
      <c r="L5" s="159"/>
      <c r="M5" s="159"/>
      <c r="N5" s="159"/>
      <c r="O5" s="24" t="s">
        <v>1</v>
      </c>
      <c r="P5" s="158" t="s">
        <v>153</v>
      </c>
      <c r="Q5" s="158"/>
      <c r="R5" s="158"/>
      <c r="S5" s="158"/>
      <c r="T5" s="24" t="s">
        <v>2</v>
      </c>
      <c r="U5" s="128">
        <v>45451</v>
      </c>
      <c r="V5" s="128"/>
      <c r="W5" s="54"/>
      <c r="X5" s="54"/>
      <c r="Y5" s="54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9" t="s">
        <v>57</v>
      </c>
    </row>
    <row r="7" spans="1:36" s="1" customFormat="1">
      <c r="B7" s="156" t="s">
        <v>33</v>
      </c>
      <c r="C7" s="160" t="s">
        <v>53</v>
      </c>
      <c r="D7" s="160" t="s">
        <v>52</v>
      </c>
      <c r="E7" s="162" t="s">
        <v>54</v>
      </c>
      <c r="F7" s="164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6" t="s">
        <v>9</v>
      </c>
      <c r="V7" s="62" t="s">
        <v>45</v>
      </c>
      <c r="W7" s="62" t="s">
        <v>46</v>
      </c>
      <c r="X7" s="62" t="s">
        <v>47</v>
      </c>
      <c r="Y7" s="97" t="s">
        <v>48</v>
      </c>
      <c r="Z7" s="98" t="s">
        <v>44</v>
      </c>
      <c r="AA7" s="99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9"/>
    </row>
    <row r="8" spans="1:36" s="1" customFormat="1">
      <c r="B8" s="157"/>
      <c r="C8" s="161"/>
      <c r="D8" s="161"/>
      <c r="E8" s="163"/>
      <c r="F8" s="165"/>
      <c r="G8" s="56" t="s">
        <v>14</v>
      </c>
      <c r="H8" s="56" t="s">
        <v>20</v>
      </c>
      <c r="I8" s="56"/>
      <c r="J8" s="56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49</v>
      </c>
      <c r="Z8" s="64" t="s">
        <v>50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25" customHeight="1">
      <c r="B9" s="127">
        <v>1963002</v>
      </c>
      <c r="C9" s="83" t="s">
        <v>111</v>
      </c>
      <c r="D9" s="82">
        <v>87.6</v>
      </c>
      <c r="E9" s="83" t="s">
        <v>110</v>
      </c>
      <c r="F9" s="120" t="s">
        <v>91</v>
      </c>
      <c r="G9" s="121">
        <v>23243</v>
      </c>
      <c r="H9" s="70">
        <v>1</v>
      </c>
      <c r="I9" s="122" t="s">
        <v>61</v>
      </c>
      <c r="J9" s="75" t="s">
        <v>156</v>
      </c>
      <c r="K9" s="78">
        <v>51</v>
      </c>
      <c r="L9" s="84">
        <v>54</v>
      </c>
      <c r="M9" s="84">
        <v>57</v>
      </c>
      <c r="N9" s="78">
        <v>62</v>
      </c>
      <c r="O9" s="84">
        <v>67</v>
      </c>
      <c r="P9" s="84">
        <v>71</v>
      </c>
      <c r="Q9" s="117">
        <f>IF(MAX(K9:M9)&gt;0,IF(MAX(K9:M9)&lt;0,0,TRUNC(MAX(K9:M9)/1)*1),"")</f>
        <v>57</v>
      </c>
      <c r="R9" s="67">
        <f>IF(MAX(N9:P9)&gt;0,IF(MAX(N9:P9)&lt;0,0,TRUNC(MAX(N9:P9)/1)*1),"")</f>
        <v>71</v>
      </c>
      <c r="S9" s="67">
        <f>IF(Q9="","",IF(R9="","",IF(SUM(Q9:R9)=0,"",SUM(Q9:R9))))</f>
        <v>128</v>
      </c>
      <c r="T9" s="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155.9367530669135</v>
      </c>
      <c r="U9" s="76">
        <f>IF(AF9=1,T9*AI9,"")</f>
        <v>240.2985364761137</v>
      </c>
      <c r="V9" s="69">
        <v>6.45</v>
      </c>
      <c r="W9" s="69">
        <v>10.69</v>
      </c>
      <c r="X9" s="69">
        <v>7.62</v>
      </c>
      <c r="Y9" s="68"/>
      <c r="Z9" s="72"/>
      <c r="AA9" s="70"/>
      <c r="AB9" s="71"/>
      <c r="AC9" s="94">
        <f>U5</f>
        <v>45451</v>
      </c>
      <c r="AD9" s="95" t="str">
        <f>IF(ISNUMBER(FIND("M",E9)),"m",IF(ISNUMBER(FIND("K",E9)),"k"))</f>
        <v>m</v>
      </c>
      <c r="AE9" s="93">
        <f>IF(OR(G9="",AC9=""),0,(YEAR(AC9)-YEAR(G9)))</f>
        <v>61</v>
      </c>
      <c r="AF9" s="34">
        <f>IF(AE9&gt;34,1,0)</f>
        <v>1</v>
      </c>
      <c r="AG9" s="8">
        <f>IF(AF9=1,LOOKUP(AE9,'Meltzer-Faber'!A3:A63,'Meltzer-Faber'!B3:B63))</f>
        <v>1.5409999999999999</v>
      </c>
      <c r="AH9" s="36">
        <f>IF(AF9=1,LOOKUP(AE9,'Meltzer-Faber'!A3:A63,'Meltzer-Faber'!C3:C63))</f>
        <v>1.744</v>
      </c>
      <c r="AI9" s="36">
        <f>IF(AD9="m",AG9,IF(AD9="k",AH9,""))</f>
        <v>1.5409999999999999</v>
      </c>
      <c r="AJ9" s="8">
        <f>IF(D9="","",IF(D9&gt;193.609,1,IF(D9&lt;32,10^(0.722762521*LOG10(32/193.609)^2),10^(0.722762521*LOG10(D9/193.609)^2))))</f>
        <v>1.2182558833352617</v>
      </c>
    </row>
    <row r="10" spans="1:36" s="8" customFormat="1" ht="20.25" customHeight="1">
      <c r="B10" s="115"/>
      <c r="C10" s="72"/>
      <c r="D10" s="72"/>
      <c r="E10" s="72"/>
      <c r="F10" s="73"/>
      <c r="G10" s="74"/>
      <c r="H10" s="78"/>
      <c r="I10" s="122"/>
      <c r="J10" s="75"/>
      <c r="K10" s="129"/>
      <c r="L10" s="129"/>
      <c r="M10" s="129"/>
      <c r="N10" s="130"/>
      <c r="O10" s="130"/>
      <c r="P10" s="130"/>
      <c r="Q10" s="118"/>
      <c r="R10" s="72"/>
      <c r="S10" s="129">
        <f>IF(T9="","",T9*1.2)</f>
        <v>187.1241036802962</v>
      </c>
      <c r="T10" s="129"/>
      <c r="U10" s="72"/>
      <c r="V10" s="72">
        <f>IF(V9&gt;0,V9*20,"")</f>
        <v>129</v>
      </c>
      <c r="W10" s="72">
        <f>IF(W9="","",(W9*10)*AJ9)</f>
        <v>130.23155392853946</v>
      </c>
      <c r="X10" s="76">
        <f>IF(ROUNDUP(X9,1)&gt;0,IF((80+(8-ROUNDUP(X9,1))*40)&lt;0,0,80+(8-ROUNDUP(X9,1))*40),"")</f>
        <v>92.000000000000028</v>
      </c>
      <c r="Y10" s="77">
        <f>IF(SUM(V10,W10,X10)&gt;0,SUM(V10,W10,X10),"")</f>
        <v>351.23155392853948</v>
      </c>
      <c r="Z10" s="82">
        <f>IF(AE9&gt;34,(IF(OR(S10="",V10="",W10="",X10=""),"",SUM(S10,V10,W10,X10))*AI9),IF(OR(S10="",V10="",W10="",X10=""),"", SUM(S10,V10,W10,X10)))</f>
        <v>829.60606837521584</v>
      </c>
      <c r="AA10" s="78" t="s">
        <v>130</v>
      </c>
      <c r="AB10" s="79"/>
      <c r="AC10" s="91"/>
      <c r="AD10" s="1"/>
      <c r="AE10" s="93"/>
      <c r="AF10" s="40"/>
      <c r="AH10" s="36"/>
      <c r="AI10" s="36"/>
    </row>
    <row r="11" spans="1:36" s="8" customFormat="1" ht="20.25" customHeight="1">
      <c r="B11" s="115" t="s">
        <v>96</v>
      </c>
      <c r="C11" s="83" t="s">
        <v>138</v>
      </c>
      <c r="D11" s="82">
        <v>104.49</v>
      </c>
      <c r="E11" s="83" t="s">
        <v>113</v>
      </c>
      <c r="F11" s="120" t="s">
        <v>91</v>
      </c>
      <c r="G11" s="121">
        <v>27849</v>
      </c>
      <c r="H11" s="70">
        <v>2</v>
      </c>
      <c r="I11" s="122" t="s">
        <v>66</v>
      </c>
      <c r="J11" s="75" t="s">
        <v>167</v>
      </c>
      <c r="K11" s="78">
        <v>97</v>
      </c>
      <c r="L11" s="84">
        <v>101</v>
      </c>
      <c r="M11" s="84">
        <v>103</v>
      </c>
      <c r="N11" s="78">
        <v>130</v>
      </c>
      <c r="O11" s="84">
        <v>135</v>
      </c>
      <c r="P11" s="84">
        <v>140</v>
      </c>
      <c r="Q11" s="117">
        <f>IF(MAX(K11:M11)&gt;0,IF(MAX(K11:M11)&lt;0,0,TRUNC(MAX(K11:M11)/1)*1),"")</f>
        <v>103</v>
      </c>
      <c r="R11" s="67">
        <f>IF(MAX(N11:P11)&gt;0,IF(MAX(N11:P11)&lt;0,0,TRUNC(MAX(N11:P11)/1)*1),"")</f>
        <v>140</v>
      </c>
      <c r="S11" s="67">
        <f>IF(Q11="","",IF(R11="","",IF(SUM(Q11:R11)=0,"",SUM(Q11:R11))))</f>
        <v>243</v>
      </c>
      <c r="T11" s="6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273.81686241532765</v>
      </c>
      <c r="U11" s="76">
        <f>IF(AF11=1,T11*AI11,"")</f>
        <v>341.72344429432889</v>
      </c>
      <c r="V11" s="69">
        <v>7.43</v>
      </c>
      <c r="W11" s="69">
        <v>11.37</v>
      </c>
      <c r="X11" s="69">
        <v>7.35</v>
      </c>
      <c r="Y11" s="77"/>
      <c r="Z11" s="72"/>
      <c r="AA11" s="70"/>
      <c r="AB11" s="71"/>
      <c r="AC11" s="91">
        <f>U5</f>
        <v>45451</v>
      </c>
      <c r="AD11" s="95" t="str">
        <f>IF(ISNUMBER(FIND("M",E11)),"m",IF(ISNUMBER(FIND("K",E11)),"k"))</f>
        <v>m</v>
      </c>
      <c r="AE11" s="93">
        <f>IF(OR(G11="",AC11=""),0,(YEAR(AC11)-YEAR(G11)))</f>
        <v>48</v>
      </c>
      <c r="AF11" s="34">
        <f t="shared" ref="AF11:AF23" si="0">IF(AE11&gt;34,1,0)</f>
        <v>1</v>
      </c>
      <c r="AG11" s="8">
        <f>IF(AF11=1,LOOKUP(AE11,'Meltzer-Faber'!A3:A63,'Meltzer-Faber'!B3:B63))</f>
        <v>1.248</v>
      </c>
      <c r="AH11" s="36">
        <f>IF(AF11=1,LOOKUP(AE11,'Meltzer-Faber'!A3:A63,'Meltzer-Faber'!C3:C63))</f>
        <v>1.288</v>
      </c>
      <c r="AI11" s="36">
        <f>IF(AD11="m",AG11,IF(AD11="k",AH11,""))</f>
        <v>1.248</v>
      </c>
      <c r="AJ11" s="8">
        <f>IF(D11="","",IF(D11&gt;193.609,1,IF(D11&lt;32,10^(0.722762521*LOG10(32/193.609)^2),10^(0.722762521*LOG10(D11/193.609)^2))))</f>
        <v>1.126818363849085</v>
      </c>
    </row>
    <row r="12" spans="1:36" s="8" customFormat="1" ht="20.25" customHeight="1">
      <c r="B12" s="116"/>
      <c r="C12" s="72"/>
      <c r="D12" s="72"/>
      <c r="E12" s="72"/>
      <c r="F12" s="73"/>
      <c r="G12" s="74"/>
      <c r="H12" s="78"/>
      <c r="I12" s="122"/>
      <c r="J12" s="75"/>
      <c r="K12" s="129"/>
      <c r="L12" s="129"/>
      <c r="M12" s="129"/>
      <c r="N12" s="130"/>
      <c r="O12" s="130"/>
      <c r="P12" s="130"/>
      <c r="Q12" s="118"/>
      <c r="R12" s="72"/>
      <c r="S12" s="129">
        <f>IF(T11="","",T11*1.2)</f>
        <v>328.58023489839314</v>
      </c>
      <c r="T12" s="129"/>
      <c r="U12" s="82"/>
      <c r="V12" s="72">
        <f>IF(V11&gt;0,V11*20,"")</f>
        <v>148.6</v>
      </c>
      <c r="W12" s="72">
        <f>IF(W11="","",(W11*10)*AJ11)</f>
        <v>128.11924796964095</v>
      </c>
      <c r="X12" s="76">
        <f>IF(ROUNDUP(X11,1)&gt;0,IF((80+(8-ROUNDUP(X11,1))*40)&lt;0,0,80+(8-ROUNDUP(X11,1))*40),"")</f>
        <v>104.00000000000003</v>
      </c>
      <c r="Y12" s="77">
        <f>IF(SUM(V12,W12,X12)&gt;0,SUM(V12,W12,X12),"")</f>
        <v>380.71924796964095</v>
      </c>
      <c r="Z12" s="82">
        <f>IF(AE11&gt;34,(IF(OR(S12="",V12="",W12="",X12=""),"",SUM(S12,V12,W12,X12))*AI11),IF(OR(S12="",V12="",W12="",X12=""),"", SUM(S12,V12,W12,X12)))</f>
        <v>885.2057546193065</v>
      </c>
      <c r="AA12" s="78" t="s">
        <v>129</v>
      </c>
      <c r="AB12" s="79"/>
      <c r="AC12" s="91"/>
      <c r="AD12" s="1"/>
      <c r="AE12" s="93"/>
      <c r="AF12" s="34"/>
      <c r="AH12" s="36"/>
      <c r="AI12" s="36"/>
    </row>
    <row r="13" spans="1:36" s="8" customFormat="1" ht="20.25" customHeight="1">
      <c r="B13" s="115" t="s">
        <v>94</v>
      </c>
      <c r="C13" s="83" t="s">
        <v>139</v>
      </c>
      <c r="D13" s="82">
        <v>36.31</v>
      </c>
      <c r="E13" s="83" t="s">
        <v>114</v>
      </c>
      <c r="F13" s="120" t="s">
        <v>92</v>
      </c>
      <c r="G13" s="121">
        <v>41022</v>
      </c>
      <c r="H13" s="70">
        <v>3</v>
      </c>
      <c r="I13" s="122" t="s">
        <v>65</v>
      </c>
      <c r="J13" s="75" t="s">
        <v>168</v>
      </c>
      <c r="K13" s="78">
        <v>17</v>
      </c>
      <c r="L13" s="84">
        <v>19</v>
      </c>
      <c r="M13" s="84">
        <v>20</v>
      </c>
      <c r="N13" s="78">
        <v>19</v>
      </c>
      <c r="O13" s="84">
        <v>21</v>
      </c>
      <c r="P13" s="84">
        <v>22</v>
      </c>
      <c r="Q13" s="117">
        <f>IF(MAX(K13:M13)&gt;0,IF(MAX(K13:M13)&lt;0,0,TRUNC(MAX(K13:M13)/1)*1),"")</f>
        <v>20</v>
      </c>
      <c r="R13" s="67">
        <f>IF(MAX(N13:P13)&gt;0,IF(MAX(N13:P13)&lt;0,0,TRUNC(MAX(N13:P13)/1)*1),"")</f>
        <v>22</v>
      </c>
      <c r="S13" s="67">
        <f>IF(Q13="","",IF(R13="","",IF(SUM(Q13:R13)=0,"",SUM(Q13:R13))))</f>
        <v>42</v>
      </c>
      <c r="T13" s="6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85.596242938982172</v>
      </c>
      <c r="U13" s="76" t="str">
        <f>IF(AF13=1,T13*AI13,"")</f>
        <v/>
      </c>
      <c r="V13" s="69">
        <v>4.75</v>
      </c>
      <c r="W13" s="69">
        <v>5.08</v>
      </c>
      <c r="X13" s="69">
        <v>8.19</v>
      </c>
      <c r="Y13" s="86"/>
      <c r="Z13" s="72"/>
      <c r="AA13" s="70"/>
      <c r="AB13" s="71"/>
      <c r="AC13" s="91">
        <f>U5</f>
        <v>45451</v>
      </c>
      <c r="AD13" s="95" t="str">
        <f>IF(ISNUMBER(FIND("M",E13)),"m",IF(ISNUMBER(FIND("K",E13)),"k"))</f>
        <v>k</v>
      </c>
      <c r="AE13" s="93">
        <f>IF(OR(G13="",AC13=""),0,(YEAR(AC13)-YEAR(G13)))</f>
        <v>12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2.4093235575532179</v>
      </c>
    </row>
    <row r="14" spans="1:36" s="8" customFormat="1" ht="20.25" customHeight="1">
      <c r="B14" s="116"/>
      <c r="C14" s="72"/>
      <c r="D14" s="72"/>
      <c r="E14" s="72"/>
      <c r="F14" s="73"/>
      <c r="G14" s="74"/>
      <c r="H14" s="78"/>
      <c r="I14" s="122"/>
      <c r="J14" s="75"/>
      <c r="K14" s="129"/>
      <c r="L14" s="129"/>
      <c r="M14" s="129"/>
      <c r="N14" s="130"/>
      <c r="O14" s="130"/>
      <c r="P14" s="130"/>
      <c r="Q14" s="118"/>
      <c r="R14" s="72"/>
      <c r="S14" s="129">
        <f>IF(T13="","",T13*1.2)</f>
        <v>102.71549152677861</v>
      </c>
      <c r="T14" s="129"/>
      <c r="U14" s="72"/>
      <c r="V14" s="72">
        <f>IF(V13&gt;0,V13*20,"")</f>
        <v>95</v>
      </c>
      <c r="W14" s="72">
        <f>IF(W13="","",(W13*10)*AJ13)</f>
        <v>122.39363672370347</v>
      </c>
      <c r="X14" s="76">
        <f>IF(ROUNDUP(X13,1)&gt;0,IF((80+(8-ROUNDUP(X13,1))*40)&lt;0,0,80+(8-ROUNDUP(X13,1))*40),"")</f>
        <v>72.000000000000028</v>
      </c>
      <c r="Y14" s="77">
        <f>IF(SUM(V14,W14,X14)&gt;0,SUM(V14,W14,X14),"")</f>
        <v>289.39363672370348</v>
      </c>
      <c r="Z14" s="82">
        <f>IF(AE13&gt;34,(IF(OR(S14="",V14="",W14="",X14=""),"",SUM(S14,V14,W14,X14))*AI13),IF(OR(S14="",V14="",W14="",X14=""),"", SUM(S14,V14,W14,X14)))</f>
        <v>392.10912825048206</v>
      </c>
      <c r="AA14" s="78" t="s">
        <v>129</v>
      </c>
      <c r="AB14" s="79"/>
      <c r="AC14" s="91"/>
      <c r="AD14" s="1"/>
      <c r="AE14" s="93"/>
      <c r="AF14" s="34"/>
      <c r="AH14" s="36"/>
      <c r="AI14" s="36"/>
    </row>
    <row r="15" spans="1:36" s="8" customFormat="1" ht="20.25" customHeight="1">
      <c r="B15" s="115" t="s">
        <v>173</v>
      </c>
      <c r="C15" s="83" t="s">
        <v>140</v>
      </c>
      <c r="D15" s="82">
        <v>45.54</v>
      </c>
      <c r="E15" s="83" t="s">
        <v>114</v>
      </c>
      <c r="F15" s="120" t="s">
        <v>80</v>
      </c>
      <c r="G15" s="121">
        <v>39944</v>
      </c>
      <c r="H15" s="70">
        <v>4</v>
      </c>
      <c r="I15" s="122" t="s">
        <v>172</v>
      </c>
      <c r="J15" s="75" t="s">
        <v>156</v>
      </c>
      <c r="K15" s="78">
        <v>35</v>
      </c>
      <c r="L15" s="84">
        <v>38</v>
      </c>
      <c r="M15" s="84">
        <v>40</v>
      </c>
      <c r="N15" s="78">
        <v>50</v>
      </c>
      <c r="O15" s="84">
        <v>53</v>
      </c>
      <c r="P15" s="84">
        <v>55</v>
      </c>
      <c r="Q15" s="117">
        <f>IF(MAX(K15:M15)&gt;0,IF(MAX(K15:M15)&lt;0,0,TRUNC(MAX(K15:M15)/1)*1),"")</f>
        <v>40</v>
      </c>
      <c r="R15" s="67">
        <f>IF(MAX(N15:P15)&gt;0,IF(MAX(N15:P15)&lt;0,0,TRUNC(MAX(N15:P15)/1)*1),"")</f>
        <v>55</v>
      </c>
      <c r="S15" s="67">
        <f>IF(Q15="","",IF(R15="","",IF(SUM(Q15:R15)=0,"",SUM(Q15:R15))))</f>
        <v>95</v>
      </c>
      <c r="T15" s="6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157.5778625937842</v>
      </c>
      <c r="U15" s="76" t="str">
        <f>IF(AF15=1,T15*AI15,"")</f>
        <v/>
      </c>
      <c r="V15" s="69">
        <v>6.49</v>
      </c>
      <c r="W15" s="69">
        <v>9.0299999999999994</v>
      </c>
      <c r="X15" s="69">
        <v>6.65</v>
      </c>
      <c r="Y15" s="77"/>
      <c r="Z15" s="72"/>
      <c r="AA15" s="70"/>
      <c r="AB15" s="71"/>
      <c r="AC15" s="91">
        <f>U5</f>
        <v>45451</v>
      </c>
      <c r="AD15" s="95" t="str">
        <f>IF(ISNUMBER(FIND("M",E15)),"m",IF(ISNUMBER(FIND("K",E15)),"k"))</f>
        <v>k</v>
      </c>
      <c r="AE15" s="93">
        <f>IF(OR(G15="",AC15=""),0,(YEAR(AC15)-YEAR(G15)))</f>
        <v>15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1.9298768261509198</v>
      </c>
    </row>
    <row r="16" spans="1:36" s="8" customFormat="1" ht="20.25" customHeight="1">
      <c r="B16" s="116"/>
      <c r="C16" s="72"/>
      <c r="D16" s="72"/>
      <c r="E16" s="72"/>
      <c r="F16" s="73"/>
      <c r="G16" s="74"/>
      <c r="H16" s="78"/>
      <c r="I16" s="122"/>
      <c r="J16" s="75"/>
      <c r="K16" s="129"/>
      <c r="L16" s="129"/>
      <c r="M16" s="129"/>
      <c r="N16" s="130"/>
      <c r="O16" s="130"/>
      <c r="P16" s="130"/>
      <c r="Q16" s="119"/>
      <c r="R16" s="87"/>
      <c r="S16" s="129">
        <f>IF(T15="","",T15*1.2)</f>
        <v>189.09343511254104</v>
      </c>
      <c r="T16" s="129"/>
      <c r="U16" s="72"/>
      <c r="V16" s="72">
        <f>IF(V15&gt;0,V15*20,"")</f>
        <v>129.80000000000001</v>
      </c>
      <c r="W16" s="72">
        <f>IF(W15="","",(W15*10)*AJ15)</f>
        <v>174.26787740142805</v>
      </c>
      <c r="X16" s="76">
        <f>IF(ROUNDUP(X15,1)&gt;0,IF((80+(8-ROUNDUP(X15,1))*40)&lt;0,0,80+(8-ROUNDUP(X15,1))*40),"")</f>
        <v>132.00000000000003</v>
      </c>
      <c r="Y16" s="77">
        <f>IF(SUM(V16,W16,X16)&gt;0,SUM(V16,W16,X16),"")</f>
        <v>436.06787740142806</v>
      </c>
      <c r="Z16" s="82">
        <f>IF(AE15&gt;34,(IF(OR(S16="",V16="",W16="",X16=""),"",SUM(S16,V16,W16,X16))*AI15),IF(OR(S16="",V16="",W16="",X16=""),"", SUM(S16,V16,W16,X16)))</f>
        <v>625.16131251396916</v>
      </c>
      <c r="AA16" s="78">
        <v>2</v>
      </c>
      <c r="AB16" s="79"/>
      <c r="AC16" s="91"/>
      <c r="AD16" s="1"/>
      <c r="AE16" s="93"/>
      <c r="AF16" s="34"/>
      <c r="AH16" s="36"/>
      <c r="AI16" s="36"/>
    </row>
    <row r="17" spans="2:36" s="8" customFormat="1" ht="20.25" customHeight="1">
      <c r="B17" s="115" t="s">
        <v>176</v>
      </c>
      <c r="C17" s="83" t="s">
        <v>139</v>
      </c>
      <c r="D17" s="82">
        <v>39.700000000000003</v>
      </c>
      <c r="E17" s="83" t="s">
        <v>114</v>
      </c>
      <c r="F17" s="120" t="s">
        <v>93</v>
      </c>
      <c r="G17" s="121">
        <v>40758</v>
      </c>
      <c r="H17" s="70">
        <v>5</v>
      </c>
      <c r="I17" s="122" t="s">
        <v>62</v>
      </c>
      <c r="J17" s="75" t="s">
        <v>156</v>
      </c>
      <c r="K17" s="78">
        <v>20</v>
      </c>
      <c r="L17" s="84">
        <v>22</v>
      </c>
      <c r="M17" s="84">
        <v>-23</v>
      </c>
      <c r="N17" s="78">
        <v>24</v>
      </c>
      <c r="O17" s="84">
        <v>26</v>
      </c>
      <c r="P17" s="84">
        <v>28</v>
      </c>
      <c r="Q17" s="117">
        <f>IF(MAX(K17:M17)&gt;0,IF(MAX(K17:M17)&lt;0,0,TRUNC(MAX(K17:M17)/1)*1),"")</f>
        <v>22</v>
      </c>
      <c r="R17" s="67">
        <f>IF(MAX(N17:P17)&gt;0,IF(MAX(N17:P17)&lt;0,0,TRUNC(MAX(N17:P17)/1)*1),"")</f>
        <v>28</v>
      </c>
      <c r="S17" s="85">
        <f>IF(Q17="","",IF(R17="","",IF(SUM(Q17:R17)=0,"",SUM(Q17:R17))))</f>
        <v>50</v>
      </c>
      <c r="T17" s="6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93.56493462014015</v>
      </c>
      <c r="U17" s="76" t="str">
        <f>IF(AF17=1,T17*AI17,"")</f>
        <v/>
      </c>
      <c r="V17" s="69">
        <v>5.55</v>
      </c>
      <c r="W17" s="69">
        <v>6.02</v>
      </c>
      <c r="X17" s="69">
        <v>8.5</v>
      </c>
      <c r="Y17" s="77"/>
      <c r="Z17" s="72"/>
      <c r="AA17" s="70"/>
      <c r="AB17" s="71"/>
      <c r="AC17" s="91">
        <f>U5</f>
        <v>45451</v>
      </c>
      <c r="AD17" s="95" t="str">
        <f>IF(ISNUMBER(FIND("M",E17)),"m",IF(ISNUMBER(FIND("K",E17)),"k"))</f>
        <v>k</v>
      </c>
      <c r="AE17" s="93">
        <f>IF(OR(G17="",AC17=""),0,(YEAR(AC17)-YEAR(G17)))</f>
        <v>13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2.1991234578058987</v>
      </c>
    </row>
    <row r="18" spans="2:36" s="8" customFormat="1" ht="20.25" customHeight="1">
      <c r="B18" s="116"/>
      <c r="C18" s="72"/>
      <c r="D18" s="72"/>
      <c r="E18" s="72"/>
      <c r="F18" s="73"/>
      <c r="G18" s="74"/>
      <c r="H18" s="78"/>
      <c r="I18" s="122"/>
      <c r="J18" s="75"/>
      <c r="K18" s="129"/>
      <c r="L18" s="129"/>
      <c r="M18" s="129"/>
      <c r="N18" s="130"/>
      <c r="O18" s="130"/>
      <c r="P18" s="130"/>
      <c r="Q18" s="118"/>
      <c r="R18" s="72"/>
      <c r="S18" s="129">
        <f>IF(T17="","",T17*1.2)</f>
        <v>112.27792154416818</v>
      </c>
      <c r="T18" s="129"/>
      <c r="U18" s="72"/>
      <c r="V18" s="72">
        <f>IF(V17&gt;0,V17*20,"")</f>
        <v>111</v>
      </c>
      <c r="W18" s="72">
        <f>IF(W17="","",(W17*10)*AJ17)</f>
        <v>132.3872321599151</v>
      </c>
      <c r="X18" s="76">
        <f>IF(ROUNDUP(X17,1)&gt;0,IF((80+(8-ROUNDUP(X17,1))*40)&lt;0,0,80+(8-ROUNDUP(X17,1))*40),"")</f>
        <v>60</v>
      </c>
      <c r="Y18" s="77">
        <f>IF(SUM(V18,W18,X18)&gt;0,SUM(V18,W18,X18),"")</f>
        <v>303.38723215991513</v>
      </c>
      <c r="Z18" s="82">
        <f>IF(AE17&gt;34,(IF(OR(S18="",V18="",W18="",X18=""),"",SUM(S18,V18,W18,X18))*AI17),IF(OR(S18="",V18="",W18="",X18=""),"", SUM(S18,V18,W18,X18)))</f>
        <v>415.66515370408331</v>
      </c>
      <c r="AA18" s="78">
        <v>4</v>
      </c>
      <c r="AB18" s="79"/>
      <c r="AC18" s="91"/>
      <c r="AD18" s="1"/>
      <c r="AE18" s="93"/>
      <c r="AF18" s="34"/>
      <c r="AH18" s="36"/>
      <c r="AI18" s="36"/>
    </row>
    <row r="19" spans="2:36" s="8" customFormat="1" ht="20.25" customHeight="1">
      <c r="B19" s="115" t="s">
        <v>177</v>
      </c>
      <c r="C19" s="83" t="s">
        <v>140</v>
      </c>
      <c r="D19" s="82">
        <v>47.71</v>
      </c>
      <c r="E19" s="83" t="s">
        <v>114</v>
      </c>
      <c r="F19" s="120" t="s">
        <v>93</v>
      </c>
      <c r="G19" s="121">
        <v>40879</v>
      </c>
      <c r="H19" s="70">
        <v>6</v>
      </c>
      <c r="I19" s="122" t="s">
        <v>89</v>
      </c>
      <c r="J19" s="75" t="s">
        <v>156</v>
      </c>
      <c r="K19" s="78">
        <v>23</v>
      </c>
      <c r="L19" s="84">
        <v>-26</v>
      </c>
      <c r="M19" s="84">
        <v>-26</v>
      </c>
      <c r="N19" s="78">
        <v>31</v>
      </c>
      <c r="O19" s="84">
        <v>33</v>
      </c>
      <c r="P19" s="84">
        <v>35</v>
      </c>
      <c r="Q19" s="117">
        <f>IF(MAX(K19:M19)&gt;0,IF(MAX(K19:M19)&lt;0,0,TRUNC(MAX(K19:M19)/1)*1),"")</f>
        <v>23</v>
      </c>
      <c r="R19" s="67">
        <f>IF(MAX(N19:P19)&gt;0,IF(MAX(N19:P19)&lt;0,0,TRUNC(MAX(N19:P19)/1)*1),"")</f>
        <v>35</v>
      </c>
      <c r="S19" s="85">
        <f>IF(Q19="","",IF(R19="","",IF(SUM(Q19:R19)=0,"",SUM(Q19:R19))))</f>
        <v>58</v>
      </c>
      <c r="T19" s="6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92.620221439742011</v>
      </c>
      <c r="U19" s="76" t="str">
        <f>IF(AF19=1,T19*AI19,"")</f>
        <v/>
      </c>
      <c r="V19" s="69">
        <v>5.65</v>
      </c>
      <c r="W19" s="69">
        <v>9.1</v>
      </c>
      <c r="X19" s="69">
        <v>7.15</v>
      </c>
      <c r="Y19" s="77"/>
      <c r="Z19" s="72"/>
      <c r="AA19" s="70"/>
      <c r="AB19" s="71"/>
      <c r="AC19" s="91">
        <f>U5</f>
        <v>45451</v>
      </c>
      <c r="AD19" s="95" t="str">
        <f>IF(ISNUMBER(FIND("M",E19)),"m",IF(ISNUMBER(FIND("K",E19)),"k"))</f>
        <v>k</v>
      </c>
      <c r="AE19" s="93">
        <f>IF(OR(G19="",AC19=""),0,(YEAR(AC19)-YEAR(G19)))</f>
        <v>13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1.8512164155741422</v>
      </c>
    </row>
    <row r="20" spans="2:36" s="8" customFormat="1" ht="20.25" customHeight="1">
      <c r="B20" s="116"/>
      <c r="C20" s="72"/>
      <c r="D20" s="72"/>
      <c r="E20" s="72"/>
      <c r="F20" s="73"/>
      <c r="G20" s="74"/>
      <c r="H20" s="78"/>
      <c r="I20" s="122"/>
      <c r="J20" s="75"/>
      <c r="K20" s="129"/>
      <c r="L20" s="129"/>
      <c r="M20" s="129"/>
      <c r="N20" s="130"/>
      <c r="O20" s="130"/>
      <c r="P20" s="130"/>
      <c r="Q20" s="118"/>
      <c r="R20" s="72"/>
      <c r="S20" s="129">
        <f>IF(T19="","",T19*1.2)</f>
        <v>111.14426572769041</v>
      </c>
      <c r="T20" s="129"/>
      <c r="U20" s="72"/>
      <c r="V20" s="72">
        <f>IF(V19&gt;0,V19*20,"")</f>
        <v>113</v>
      </c>
      <c r="W20" s="72">
        <f>IF(W19="","",(W19*10)*AJ19)</f>
        <v>168.46069381724695</v>
      </c>
      <c r="X20" s="76">
        <f>IF(ROUNDUP(X19,1)&gt;0,IF((80+(8-ROUNDUP(X19,1))*40)&lt;0,0,80+(8-ROUNDUP(X19,1))*40),"")</f>
        <v>112.00000000000003</v>
      </c>
      <c r="Y20" s="77">
        <f>IF(SUM(V20,W20,X20)&gt;0,SUM(V20,W20,X20),"")</f>
        <v>393.46069381724692</v>
      </c>
      <c r="Z20" s="82">
        <f>IF(AE19&gt;34,(IF(OR(S20="",V20="",W20="",X20=""),"",SUM(S20,V20,W20,X20))*AI19),IF(OR(S20="",V20="",W20="",X20=""),"", SUM(S20,V20,W20,X20)))</f>
        <v>504.6049595449374</v>
      </c>
      <c r="AA20" s="78">
        <v>3</v>
      </c>
      <c r="AB20" s="79"/>
      <c r="AC20" s="91"/>
      <c r="AD20" s="1"/>
      <c r="AE20" s="93"/>
      <c r="AF20" s="34"/>
      <c r="AH20" s="36"/>
      <c r="AI20" s="36"/>
    </row>
    <row r="21" spans="2:36" s="8" customFormat="1" ht="20.25" customHeight="1">
      <c r="B21" s="115" t="s">
        <v>179</v>
      </c>
      <c r="C21" s="83" t="s">
        <v>141</v>
      </c>
      <c r="D21" s="82">
        <v>55.01</v>
      </c>
      <c r="E21" s="83" t="s">
        <v>114</v>
      </c>
      <c r="F21" s="120" t="s">
        <v>93</v>
      </c>
      <c r="G21" s="121">
        <v>40180</v>
      </c>
      <c r="H21" s="70">
        <v>7</v>
      </c>
      <c r="I21" s="122" t="s">
        <v>178</v>
      </c>
      <c r="J21" s="75" t="s">
        <v>156</v>
      </c>
      <c r="K21" s="78">
        <v>40</v>
      </c>
      <c r="L21" s="84">
        <v>43</v>
      </c>
      <c r="M21" s="84">
        <v>45</v>
      </c>
      <c r="N21" s="78">
        <v>55</v>
      </c>
      <c r="O21" s="84">
        <v>60</v>
      </c>
      <c r="P21" s="84">
        <v>63</v>
      </c>
      <c r="Q21" s="117">
        <f>IF(MAX(K21:M21)&gt;0,IF(MAX(K21:M21)&lt;0,0,TRUNC(MAX(K21:M21)/1)*1),"")</f>
        <v>45</v>
      </c>
      <c r="R21" s="67">
        <f>IF(MAX(N21:P21)&gt;0,IF(MAX(N21:P21)&lt;0,0,TRUNC(MAX(N21:P21)/1)*1),"")</f>
        <v>63</v>
      </c>
      <c r="S21" s="85">
        <f>IF(Q21="","",IF(R21="","",IF(SUM(Q21:R21)=0,"",SUM(Q21:R21))))</f>
        <v>108</v>
      </c>
      <c r="T21" s="6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154.97002337727292</v>
      </c>
      <c r="U21" s="76" t="str">
        <f>IF(AF21=1,T21*AI21,"")</f>
        <v/>
      </c>
      <c r="V21" s="69">
        <v>6.95</v>
      </c>
      <c r="W21" s="69">
        <v>12.83</v>
      </c>
      <c r="X21" s="69">
        <v>6.72</v>
      </c>
      <c r="Y21" s="77"/>
      <c r="Z21" s="72"/>
      <c r="AA21" s="70"/>
      <c r="AB21" s="71"/>
      <c r="AC21" s="91">
        <f>U5</f>
        <v>45451</v>
      </c>
      <c r="AD21" s="95" t="str">
        <f>IF(ISNUMBER(FIND("M",E21)),"m",IF(ISNUMBER(FIND("K",E21)),"k"))</f>
        <v>k</v>
      </c>
      <c r="AE21" s="93">
        <f>IF(OR(G21="",AC21=""),0,(YEAR(AC21)-YEAR(G21)))</f>
        <v>14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1.6438006951754227</v>
      </c>
    </row>
    <row r="22" spans="2:36" s="8" customFormat="1" ht="20.25" customHeight="1">
      <c r="B22" s="116"/>
      <c r="C22" s="72"/>
      <c r="D22" s="72"/>
      <c r="E22" s="72"/>
      <c r="F22" s="73"/>
      <c r="G22" s="74"/>
      <c r="H22" s="78"/>
      <c r="I22" s="75"/>
      <c r="J22" s="75"/>
      <c r="K22" s="129"/>
      <c r="L22" s="129"/>
      <c r="M22" s="129"/>
      <c r="N22" s="130"/>
      <c r="O22" s="130"/>
      <c r="P22" s="130"/>
      <c r="Q22" s="118"/>
      <c r="R22" s="72"/>
      <c r="S22" s="129">
        <f>IF(T21="","",T21*1.2)</f>
        <v>185.96402805272751</v>
      </c>
      <c r="T22" s="129"/>
      <c r="U22" s="72"/>
      <c r="V22" s="72">
        <f>IF(V21&gt;0,V21*20,"")</f>
        <v>139</v>
      </c>
      <c r="W22" s="72">
        <f>IF(W21="","",(W21*10)*AJ21)</f>
        <v>210.89962919100674</v>
      </c>
      <c r="X22" s="76">
        <f>IF(ROUNDUP(X21,1)&gt;0,IF((80+(8-ROUNDUP(X21,1))*40)&lt;0,0,80+(8-ROUNDUP(X21,1))*40),"")</f>
        <v>128</v>
      </c>
      <c r="Y22" s="77">
        <f>IF(SUM(V22,W22,X22)&gt;0,SUM(V22,W22,X22),"")</f>
        <v>477.89962919100674</v>
      </c>
      <c r="Z22" s="82">
        <f>IF(AE21&gt;34,(IF(OR(S22="",V22="",W22="",X22=""),"",SUM(S22,V22,W22,X22))*AI21),IF(OR(S22="",V22="",W22="",X22=""),"", SUM(S22,V22,W22,X22)))</f>
        <v>663.86365724373422</v>
      </c>
      <c r="AA22" s="78">
        <v>1</v>
      </c>
      <c r="AB22" s="79"/>
      <c r="AC22" s="91"/>
      <c r="AD22" s="1"/>
      <c r="AE22" s="93"/>
      <c r="AF22" s="34"/>
      <c r="AH22" s="36"/>
      <c r="AI22" s="36"/>
    </row>
    <row r="23" spans="2:36" s="8" customFormat="1" ht="20.25" customHeight="1">
      <c r="B23" s="115" t="s">
        <v>95</v>
      </c>
      <c r="C23" s="83" t="s">
        <v>141</v>
      </c>
      <c r="D23" s="82">
        <v>58.17</v>
      </c>
      <c r="E23" s="83" t="s">
        <v>114</v>
      </c>
      <c r="F23" s="120" t="s">
        <v>93</v>
      </c>
      <c r="G23" s="121">
        <v>40243</v>
      </c>
      <c r="H23" s="70">
        <v>8</v>
      </c>
      <c r="I23" s="122" t="s">
        <v>90</v>
      </c>
      <c r="J23" s="75" t="s">
        <v>167</v>
      </c>
      <c r="K23" s="78">
        <v>61</v>
      </c>
      <c r="L23" s="84">
        <v>63</v>
      </c>
      <c r="M23" s="84">
        <v>65</v>
      </c>
      <c r="N23" s="78">
        <v>73</v>
      </c>
      <c r="O23" s="84">
        <v>75</v>
      </c>
      <c r="P23" s="84">
        <v>78</v>
      </c>
      <c r="Q23" s="117">
        <f>IF(MAX(K23:M23)&gt;0,IF(MAX(K23:M23)&lt;0,0,TRUNC(MAX(K23:M23)/1)*1),"")</f>
        <v>65</v>
      </c>
      <c r="R23" s="67">
        <f>IF(MAX(N23:P23)&gt;0,IF(MAX(N23:P23)&lt;0,0,TRUNC(MAX(N23:P23)/1)*1),"")</f>
        <v>78</v>
      </c>
      <c r="S23" s="85">
        <f>IF(Q23="","",IF(R23="","",IF(SUM(Q23:R23)=0,"",SUM(Q23:R23))))</f>
        <v>143</v>
      </c>
      <c r="T23" s="68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197.50548341346578</v>
      </c>
      <c r="U23" s="76" t="str">
        <f>IF(AF23=1,T23*AI23,"")</f>
        <v/>
      </c>
      <c r="V23" s="69">
        <v>5.65</v>
      </c>
      <c r="W23" s="69">
        <v>7.06</v>
      </c>
      <c r="X23" s="69">
        <v>7.21</v>
      </c>
      <c r="Y23" s="77"/>
      <c r="Z23" s="72"/>
      <c r="AA23" s="70"/>
      <c r="AB23" s="71"/>
      <c r="AC23" s="91">
        <f>U5</f>
        <v>45451</v>
      </c>
      <c r="AD23" s="95" t="str">
        <f>IF(ISNUMBER(FIND("M",E23)),"m",IF(ISNUMBER(FIND("K",E23)),"k"))</f>
        <v>k</v>
      </c>
      <c r="AE23" s="108">
        <f>IF(OR(G23="",AC23=""),0,(YEAR(AC23)-YEAR(G23)))</f>
        <v>14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1.5743893815996906</v>
      </c>
    </row>
    <row r="24" spans="2:36" s="8" customFormat="1" ht="20.25" customHeight="1">
      <c r="B24" s="116"/>
      <c r="C24" s="72"/>
      <c r="D24" s="72"/>
      <c r="E24" s="72"/>
      <c r="F24" s="73"/>
      <c r="G24" s="74"/>
      <c r="H24" s="78"/>
      <c r="I24" s="75"/>
      <c r="J24" s="75"/>
      <c r="K24" s="129"/>
      <c r="L24" s="129"/>
      <c r="M24" s="129"/>
      <c r="N24" s="130"/>
      <c r="O24" s="130"/>
      <c r="P24" s="130"/>
      <c r="Q24" s="118"/>
      <c r="R24" s="72"/>
      <c r="S24" s="129">
        <f>IF(T23="","",T23*1.2)</f>
        <v>237.00658009615893</v>
      </c>
      <c r="T24" s="129"/>
      <c r="U24" s="72"/>
      <c r="V24" s="72">
        <f>IF(V23&gt;0,V23*20,"")</f>
        <v>113</v>
      </c>
      <c r="W24" s="72">
        <f>IF(W23="","",(W23*10)*AJ23)</f>
        <v>111.15189034093814</v>
      </c>
      <c r="X24" s="76">
        <f>IF(ROUNDUP(X23,1)&gt;0,IF((80+(8-ROUNDUP(X23,1))*40)&lt;0,0,80+(8-ROUNDUP(X23,1))*40),"")</f>
        <v>108</v>
      </c>
      <c r="Y24" s="77">
        <f>IF(SUM(V24,W24,X24)&gt;0,SUM(V24,W24,X24),"")</f>
        <v>332.15189034093817</v>
      </c>
      <c r="Z24" s="82">
        <f>IF(AE23&gt;34,(IF(OR(S24="",V24="",W24="",X24=""),"",SUM(S24,V24,W24,X24))*AI23),IF(OR(S24="",V24="",W24="",X24=""),"", SUM(S24,V24,W24,X24)))</f>
        <v>569.15847043709709</v>
      </c>
      <c r="AA24" s="78">
        <v>2</v>
      </c>
      <c r="AB24" s="79"/>
      <c r="AC24" s="91"/>
      <c r="AD24" s="1"/>
      <c r="AE24" s="93"/>
      <c r="AF24" s="34"/>
      <c r="AH24" s="36"/>
      <c r="AI24" s="36"/>
    </row>
    <row r="25" spans="2:36" s="8" customFormat="1" ht="20.25" customHeight="1">
      <c r="B25" s="115" t="s">
        <v>180</v>
      </c>
      <c r="C25" s="83" t="s">
        <v>135</v>
      </c>
      <c r="D25" s="82">
        <v>60.98</v>
      </c>
      <c r="E25" s="83" t="s">
        <v>115</v>
      </c>
      <c r="F25" s="120" t="s">
        <v>91</v>
      </c>
      <c r="G25" s="121">
        <v>32270</v>
      </c>
      <c r="H25" s="70">
        <v>9</v>
      </c>
      <c r="I25" s="122" t="s">
        <v>109</v>
      </c>
      <c r="J25" s="75" t="s">
        <v>156</v>
      </c>
      <c r="K25" s="78">
        <v>50</v>
      </c>
      <c r="L25" s="84">
        <v>52</v>
      </c>
      <c r="M25" s="84">
        <v>54</v>
      </c>
      <c r="N25" s="78">
        <v>70</v>
      </c>
      <c r="O25" s="84">
        <v>73</v>
      </c>
      <c r="P25" s="84">
        <v>-75</v>
      </c>
      <c r="Q25" s="117">
        <f>IF(MAX(K25:M25)&gt;0,IF(MAX(K25:M25)&lt;0,0,TRUNC(MAX(K25:M25)/1)*1),"")</f>
        <v>54</v>
      </c>
      <c r="R25" s="67">
        <f>IF(MAX(N25:P25)&gt;0,IF(MAX(N25:P25)&lt;0,0,TRUNC(MAX(N25:P25)/1)*1),"")</f>
        <v>73</v>
      </c>
      <c r="S25" s="85">
        <f>IF(Q25="","",IF(R25="","",IF(SUM(Q25:R25)=0,"",SUM(Q25:R25))))</f>
        <v>127</v>
      </c>
      <c r="T25" s="68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170.12330400283247</v>
      </c>
      <c r="U25" s="76">
        <f>IF(AF25=1,T25*AI25,"")</f>
        <v>184.4136615390704</v>
      </c>
      <c r="V25" s="69">
        <v>6.91</v>
      </c>
      <c r="W25" s="69">
        <v>8.09</v>
      </c>
      <c r="X25" s="69">
        <v>7</v>
      </c>
      <c r="Y25" s="77"/>
      <c r="Z25" s="72"/>
      <c r="AA25" s="70"/>
      <c r="AB25" s="71"/>
      <c r="AC25" s="91">
        <f>U5</f>
        <v>45451</v>
      </c>
      <c r="AD25" s="95" t="str">
        <f>IF(ISNUMBER(FIND("M",E25)),"m",IF(ISNUMBER(FIND("K",E25)),"k"))</f>
        <v>k</v>
      </c>
      <c r="AE25" s="108">
        <f>IF(OR(G25="",AC25=""),0,(YEAR(AC25)-YEAR(G25)))</f>
        <v>36</v>
      </c>
      <c r="AF25" s="34">
        <f t="shared" ref="AF25" si="2">IF(AE25&gt;34,1,0)</f>
        <v>1</v>
      </c>
      <c r="AG25" s="8">
        <f>IF(AF25=1,LOOKUP(AE25,'Meltzer-Faber'!A3:A65,'Meltzer-Faber'!B3:B65))</f>
        <v>1.083</v>
      </c>
      <c r="AH25" s="36">
        <f>IF(AF25=1,LOOKUP(AE25,'Meltzer-Faber'!A3:A65,'Meltzer-Faber'!C3:C65))</f>
        <v>1.0840000000000001</v>
      </c>
      <c r="AI25" s="36">
        <f t="shared" ref="AI25" si="3">IF(AD25="m",AG25,IF(AD25="k",AH25,""))</f>
        <v>1.0840000000000001</v>
      </c>
      <c r="AJ25" s="8">
        <f>IF(D25="","",IF(D25&gt;193.609,1,IF(D25&lt;32,10^(0.722762521*LOG10(32/193.609)^2),10^(0.722762521*LOG10(D25/193.609)^2))))</f>
        <v>1.5203692002333529</v>
      </c>
    </row>
    <row r="26" spans="2:36" s="8" customFormat="1" ht="20.25" customHeight="1">
      <c r="B26" s="116"/>
      <c r="C26" s="72"/>
      <c r="D26" s="72"/>
      <c r="E26" s="72"/>
      <c r="F26" s="73"/>
      <c r="G26" s="74"/>
      <c r="H26" s="78"/>
      <c r="I26" s="75"/>
      <c r="J26" s="75"/>
      <c r="K26" s="129"/>
      <c r="L26" s="129"/>
      <c r="M26" s="129"/>
      <c r="N26" s="130"/>
      <c r="O26" s="130"/>
      <c r="P26" s="130"/>
      <c r="Q26" s="118"/>
      <c r="R26" s="72"/>
      <c r="S26" s="129">
        <f>IF(T25="","",T25*1.2)</f>
        <v>204.14796480339896</v>
      </c>
      <c r="T26" s="129"/>
      <c r="U26" s="72"/>
      <c r="V26" s="72">
        <f>IF(V25&gt;0,V25*20,"")</f>
        <v>138.19999999999999</v>
      </c>
      <c r="W26" s="72">
        <f>IF(W25="","",(W25*10)*AJ25)</f>
        <v>122.99786829887826</v>
      </c>
      <c r="X26" s="76">
        <f>IF(ROUNDUP(X25,1)&gt;0,IF((80+(8-ROUNDUP(X25,1))*40)&lt;0,0,80+(8-ROUNDUP(X25,1))*40),"")</f>
        <v>120</v>
      </c>
      <c r="Y26" s="77">
        <f>IF(SUM(V26,W26,X26)&gt;0,SUM(V26,W26,X26),"")</f>
        <v>381.19786829887823</v>
      </c>
      <c r="Z26" s="82">
        <f>IF(AE25&gt;34,(IF(OR(S26="",V26="",W26="",X26=""),"",SUM(S26,V26,W26,X26))*AI25),IF(OR(S26="",V26="",W26="",X26=""),"", SUM(S26,V26,W26,X26)))</f>
        <v>634.51488308286855</v>
      </c>
      <c r="AA26" s="78" t="s">
        <v>130</v>
      </c>
      <c r="AB26" s="79"/>
      <c r="AC26" s="91"/>
      <c r="AD26" s="1"/>
      <c r="AE26" s="93"/>
      <c r="AF26" s="34"/>
      <c r="AH26" s="36"/>
      <c r="AI26" s="36"/>
    </row>
    <row r="27" spans="2:36" s="8" customFormat="1" ht="20.25" customHeight="1">
      <c r="B27" s="115" t="s">
        <v>174</v>
      </c>
      <c r="C27" s="83" t="s">
        <v>142</v>
      </c>
      <c r="D27" s="82">
        <v>82.28</v>
      </c>
      <c r="E27" s="83" t="s">
        <v>116</v>
      </c>
      <c r="F27" s="120" t="s">
        <v>84</v>
      </c>
      <c r="G27" s="121">
        <v>33918</v>
      </c>
      <c r="H27" s="70">
        <v>10</v>
      </c>
      <c r="I27" s="122" t="s">
        <v>63</v>
      </c>
      <c r="J27" s="75" t="s">
        <v>156</v>
      </c>
      <c r="K27" s="78">
        <v>77</v>
      </c>
      <c r="L27" s="84">
        <v>-80</v>
      </c>
      <c r="M27" s="84">
        <v>-80</v>
      </c>
      <c r="N27" s="78">
        <v>100</v>
      </c>
      <c r="O27" s="84">
        <v>-105</v>
      </c>
      <c r="P27" s="84">
        <v>-105</v>
      </c>
      <c r="Q27" s="117">
        <f>IF(MAX(K27:M27)&gt;0,IF(MAX(K27:M27)&lt;0,0,TRUNC(MAX(K27:M27)/1)*1),"")</f>
        <v>77</v>
      </c>
      <c r="R27" s="67">
        <f>IF(MAX(N27:P27)&gt;0,IF(MAX(N27:P27)&lt;0,0,TRUNC(MAX(N27:P27)/1)*1),"")</f>
        <v>100</v>
      </c>
      <c r="S27" s="85">
        <f>IF(Q27="","",IF(R27="","",IF(SUM(Q27:R27)=0,"",SUM(Q27:R27))))</f>
        <v>177</v>
      </c>
      <c r="T27" s="68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202.30307514933887</v>
      </c>
      <c r="U27" s="76" t="str">
        <f>IF(AF27=1,T27*AI27,"")</f>
        <v/>
      </c>
      <c r="V27" s="69">
        <v>6.55</v>
      </c>
      <c r="W27" s="69">
        <v>11.31</v>
      </c>
      <c r="X27" s="69">
        <v>7.44</v>
      </c>
      <c r="Y27" s="77"/>
      <c r="Z27" s="72"/>
      <c r="AA27" s="70"/>
      <c r="AB27" s="71"/>
      <c r="AC27" s="91">
        <f>U5</f>
        <v>45451</v>
      </c>
      <c r="AD27" s="95" t="str">
        <f>IF(ISNUMBER(FIND("M",E27)),"m",IF(ISNUMBER(FIND("K",E27)),"k"))</f>
        <v>k</v>
      </c>
      <c r="AE27" s="108">
        <f>IF(OR(G27="",AC27=""),0,(YEAR(AC27)-YEAR(G27)))</f>
        <v>32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">
        <f>IF(D27="","",IF(D27&gt;193.609,1,IF(D27&lt;32,10^(0.722762521*LOG10(32/193.609)^2),10^(0.722762521*LOG10(D27/193.609)^2))))</f>
        <v>1.2584054248305685</v>
      </c>
    </row>
    <row r="28" spans="2:36" s="8" customFormat="1" ht="20.25" customHeight="1">
      <c r="B28" s="116"/>
      <c r="C28" s="72"/>
      <c r="D28" s="72"/>
      <c r="E28" s="72"/>
      <c r="F28" s="73"/>
      <c r="G28" s="74"/>
      <c r="H28" s="78"/>
      <c r="I28" s="75"/>
      <c r="J28" s="75"/>
      <c r="K28" s="129"/>
      <c r="L28" s="129"/>
      <c r="M28" s="129"/>
      <c r="N28" s="130"/>
      <c r="O28" s="130"/>
      <c r="P28" s="130"/>
      <c r="Q28" s="118"/>
      <c r="R28" s="72"/>
      <c r="S28" s="129">
        <f>IF(T27="","",T27*1.2)</f>
        <v>242.76369017920663</v>
      </c>
      <c r="T28" s="129"/>
      <c r="U28" s="72"/>
      <c r="V28" s="72">
        <f>IF(V27&gt;0,V27*20,"")</f>
        <v>131</v>
      </c>
      <c r="W28" s="72">
        <f>IF(W27="","",(W27*10)*AJ27)</f>
        <v>142.3256535483373</v>
      </c>
      <c r="X28" s="76">
        <f>IF(ROUNDUP(X27,1)&gt;0,IF((80+(8-ROUNDUP(X27,1))*40)&lt;0,0,80+(8-ROUNDUP(X27,1))*40),"")</f>
        <v>100</v>
      </c>
      <c r="Y28" s="77">
        <f>IF(SUM(V28,W28,X28)&gt;0,SUM(V28,W28,X28),"")</f>
        <v>373.3256535483373</v>
      </c>
      <c r="Z28" s="82">
        <f>IF(AE27&gt;34,(IF(OR(S28="",V28="",W28="",X28=""),"",SUM(S28,V28,W28,X28))*AI27),IF(OR(S28="",V28="",W28="",X28=""),"", SUM(S28,V28,W28,X28)))</f>
        <v>616.08934372754391</v>
      </c>
      <c r="AA28" s="85">
        <v>3</v>
      </c>
      <c r="AC28" s="91"/>
      <c r="AD28" s="1"/>
      <c r="AE28" s="93"/>
      <c r="AF28" s="34"/>
      <c r="AH28" s="36"/>
      <c r="AI28" s="36"/>
    </row>
    <row r="29" spans="2:36" s="8" customFormat="1" ht="20.25" customHeight="1">
      <c r="B29" s="115" t="s">
        <v>181</v>
      </c>
      <c r="C29" s="83" t="s">
        <v>136</v>
      </c>
      <c r="D29" s="82">
        <v>68.62</v>
      </c>
      <c r="E29" s="83" t="s">
        <v>116</v>
      </c>
      <c r="F29" s="120" t="s">
        <v>84</v>
      </c>
      <c r="G29" s="121">
        <v>33735</v>
      </c>
      <c r="H29" s="70">
        <v>11</v>
      </c>
      <c r="I29" s="122" t="s">
        <v>67</v>
      </c>
      <c r="J29" s="75" t="s">
        <v>171</v>
      </c>
      <c r="K29" s="78">
        <v>78</v>
      </c>
      <c r="L29" s="84">
        <v>82</v>
      </c>
      <c r="M29" s="84">
        <v>85</v>
      </c>
      <c r="N29" s="78">
        <v>95</v>
      </c>
      <c r="O29" s="84">
        <v>100</v>
      </c>
      <c r="P29" s="84">
        <v>105</v>
      </c>
      <c r="Q29" s="117">
        <f>IF(MAX(K29:M29)&gt;0,IF(MAX(K29:M29)&lt;0,0,TRUNC(MAX(K29:M29)/1)*1),"")</f>
        <v>85</v>
      </c>
      <c r="R29" s="67">
        <f>IF(MAX(N29:P29)&gt;0,IF(MAX(N29:P29)&lt;0,0,TRUNC(MAX(N29:P29)/1)*1),"")</f>
        <v>105</v>
      </c>
      <c r="S29" s="85">
        <f>IF(Q29="","",IF(R29="","",IF(SUM(Q29:R29)=0,"",SUM(Q29:R29))))</f>
        <v>190</v>
      </c>
      <c r="T29" s="68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237.34134353924358</v>
      </c>
      <c r="U29" s="76" t="str">
        <f>IF(AF29=1,T29*AI29,"")</f>
        <v/>
      </c>
      <c r="V29" s="69">
        <v>7.43</v>
      </c>
      <c r="W29" s="69">
        <v>14.79</v>
      </c>
      <c r="X29" s="69">
        <v>6.56</v>
      </c>
      <c r="Y29" s="77"/>
      <c r="Z29" s="72"/>
      <c r="AA29" s="70"/>
      <c r="AB29" s="71"/>
      <c r="AC29" s="91">
        <f>U5</f>
        <v>45451</v>
      </c>
      <c r="AD29" s="95" t="str">
        <f>IF(ISNUMBER(FIND("M",E29)),"m",IF(ISNUMBER(FIND("K",E29)),"k"))</f>
        <v>k</v>
      </c>
      <c r="AE29" s="108">
        <f>IF(OR(G29="",AC29=""),0,(YEAR(AC29)-YEAR(G29)))</f>
        <v>32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b">
        <f t="shared" ref="AI29" si="7">IF(AD29="m",AG29,IF(AD29="k",AH29,""))</f>
        <v>0</v>
      </c>
      <c r="AJ29" s="8">
        <f>IF(D29="","",IF(D29&gt;193.609,1,IF(D29&lt;32,10^(0.722762521*LOG10(32/193.609)^2),10^(0.722762521*LOG10(D29/193.609)^2))))</f>
        <v>1.401743150434837</v>
      </c>
    </row>
    <row r="30" spans="2:36" s="8" customFormat="1" ht="20.25" customHeight="1">
      <c r="B30" s="116"/>
      <c r="C30" s="65"/>
      <c r="D30" s="72"/>
      <c r="E30" s="73"/>
      <c r="F30" s="73"/>
      <c r="G30" s="92"/>
      <c r="H30" s="74"/>
      <c r="I30" s="75"/>
      <c r="J30" s="75"/>
      <c r="K30" s="181"/>
      <c r="L30" s="182"/>
      <c r="M30" s="183"/>
      <c r="N30" s="181"/>
      <c r="O30" s="182"/>
      <c r="P30" s="183"/>
      <c r="Q30" s="118"/>
      <c r="R30" s="72"/>
      <c r="S30" s="129">
        <f>IF(T29="","",T29*1.2)</f>
        <v>284.80961224709228</v>
      </c>
      <c r="T30" s="129"/>
      <c r="U30" s="72"/>
      <c r="V30" s="72">
        <f>IF(V29&gt;0,V29*20,"")</f>
        <v>148.6</v>
      </c>
      <c r="W30" s="72">
        <f>IF(W29="","",(W29*10)*AJ29)</f>
        <v>207.31781194931236</v>
      </c>
      <c r="X30" s="76">
        <f>IF(ROUNDUP(X29,1)&gt;0,IF((80+(8-ROUNDUP(X29,1))*40)&lt;0,0,80+(8-ROUNDUP(X29,1))*40),"")</f>
        <v>136</v>
      </c>
      <c r="Y30" s="77">
        <f>IF(SUM(V30,W30,X30)&gt;0,SUM(V30,W30,X30),"")</f>
        <v>491.91781194931235</v>
      </c>
      <c r="Z30" s="82">
        <f>IF(AE29&gt;34,(IF(OR(S30="",V30="",W30="",X30=""),"",SUM(S30,V30,W30,X30))*AI29),IF(OR(S30="",V30="",W30="",X30=""),"", SUM(S30,V30,W30,X30)))</f>
        <v>776.72742419640463</v>
      </c>
      <c r="AA30" s="78" t="s">
        <v>130</v>
      </c>
      <c r="AB30" s="79"/>
      <c r="AC30" s="91"/>
      <c r="AD30" s="1"/>
      <c r="AE30" s="93"/>
      <c r="AF30" s="34"/>
      <c r="AH30" s="36"/>
      <c r="AI30" s="36"/>
    </row>
    <row r="31" spans="2:36" s="8" customFormat="1" ht="20.25" customHeight="1">
      <c r="B31" s="115" t="s">
        <v>175</v>
      </c>
      <c r="C31" s="109">
        <v>64</v>
      </c>
      <c r="D31" s="82">
        <v>60.32</v>
      </c>
      <c r="E31" s="111" t="s">
        <v>115</v>
      </c>
      <c r="F31" s="110" t="s">
        <v>91</v>
      </c>
      <c r="G31" s="88">
        <v>32737</v>
      </c>
      <c r="H31" s="83" t="s">
        <v>208</v>
      </c>
      <c r="I31" s="75" t="s">
        <v>64</v>
      </c>
      <c r="J31" s="75" t="s">
        <v>156</v>
      </c>
      <c r="K31" s="66">
        <v>82</v>
      </c>
      <c r="L31" s="89">
        <v>-84</v>
      </c>
      <c r="M31" s="89">
        <v>85</v>
      </c>
      <c r="N31" s="89">
        <v>104</v>
      </c>
      <c r="O31" s="90">
        <v>108</v>
      </c>
      <c r="P31" s="90">
        <v>110</v>
      </c>
      <c r="Q31" s="117">
        <f>IF(MAX(K31:M31)&gt;0,IF(MAX(K31:M31)&lt;0,0,TRUNC(MAX(K31:M31)/1)*1),"")</f>
        <v>85</v>
      </c>
      <c r="R31" s="67">
        <f>IF(MAX(N31:P31)&gt;0,IF(MAX(N31:P31)&lt;0,0,TRUNC(MAX(N31:P31)/1)*1),"")</f>
        <v>110</v>
      </c>
      <c r="S31" s="85">
        <f>IF(Q31="","",IF(R31="","",IF(SUM(Q31:R31)=0,"",SUM(Q31:R31))))</f>
        <v>195</v>
      </c>
      <c r="T31" s="68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>263.02685601262539</v>
      </c>
      <c r="U31" s="76">
        <f>IF(AF31=1,T31*AI31,"")</f>
        <v>281.96478964553444</v>
      </c>
      <c r="V31" s="80">
        <v>7.4</v>
      </c>
      <c r="W31" s="80">
        <v>13.97</v>
      </c>
      <c r="X31" s="81">
        <v>6.53</v>
      </c>
      <c r="Y31" s="77"/>
      <c r="Z31" s="72"/>
      <c r="AA31" s="70"/>
      <c r="AB31" s="71"/>
      <c r="AC31" s="91">
        <f>U5</f>
        <v>45451</v>
      </c>
      <c r="AD31" s="95" t="str">
        <f>IF(ISNUMBER(FIND("M",E31)),"m",IF(ISNUMBER(FIND("K",E31)),"k"))</f>
        <v>k</v>
      </c>
      <c r="AE31" s="108">
        <f>IF(OR(G31="",AC31=""),0,(YEAR(AC31)-YEAR(G31)))</f>
        <v>35</v>
      </c>
      <c r="AF31" s="34">
        <f t="shared" ref="AF31" si="8">IF(AE31&gt;34,1,0)</f>
        <v>1</v>
      </c>
      <c r="AG31" s="8">
        <f>IF(AF31=1,LOOKUP(AE31,'Meltzer-Faber'!A3:A71,'Meltzer-Faber'!B3:B71))</f>
        <v>1.0720000000000001</v>
      </c>
      <c r="AH31" s="36">
        <f>IF(AF31=1,LOOKUP(AE31,'Meltzer-Faber'!A3:A71,'Meltzer-Faber'!C3:C71))</f>
        <v>1.0720000000000001</v>
      </c>
      <c r="AI31" s="36">
        <f t="shared" ref="AI31" si="9">IF(AD31="m",AG31,IF(AD31="k",AH31,""))</f>
        <v>1.0720000000000001</v>
      </c>
      <c r="AJ31" s="8">
        <f>IF(D31="","",IF(D31&gt;193.609,1,IF(D31&lt;32,10^(0.722762521*LOG10(32/193.609)^2),10^(0.722762521*LOG10(D31/193.609)^2))))</f>
        <v>1.532473310363184</v>
      </c>
    </row>
    <row r="32" spans="2:36" s="8" customFormat="1" ht="20.25" customHeight="1">
      <c r="B32" s="116"/>
      <c r="C32" s="65"/>
      <c r="D32" s="72"/>
      <c r="E32" s="73"/>
      <c r="F32" s="73"/>
      <c r="G32" s="92"/>
      <c r="H32" s="74"/>
      <c r="I32" s="75"/>
      <c r="J32" s="75"/>
      <c r="K32" s="130"/>
      <c r="L32" s="130"/>
      <c r="M32" s="130"/>
      <c r="N32" s="130"/>
      <c r="O32" s="130"/>
      <c r="P32" s="130"/>
      <c r="Q32" s="118"/>
      <c r="R32" s="72"/>
      <c r="S32" s="129">
        <f>IF(T31="","",T31*1.2)</f>
        <v>315.63222721515046</v>
      </c>
      <c r="T32" s="129"/>
      <c r="U32" s="72"/>
      <c r="V32" s="72">
        <f>IF(V31&gt;0,V31*20,"")</f>
        <v>148</v>
      </c>
      <c r="W32" s="72">
        <f>IF(W31="","",(W31*10)*AJ31)</f>
        <v>214.08652145773684</v>
      </c>
      <c r="X32" s="76">
        <f>IF(ROUNDUP(X31,1)&gt;0,IF((80+(8-ROUNDUP(X31,1))*40)&lt;0,0,80+(8-ROUNDUP(X31,1))*40),"")</f>
        <v>136</v>
      </c>
      <c r="Y32" s="77">
        <f>IF(SUM(V32,W32,X32)&gt;0,SUM(V32,W32,X32),"")</f>
        <v>498.08652145773681</v>
      </c>
      <c r="Z32" s="82">
        <f>IF(AE31&gt;34,(IF(OR(S32="",V32="",W32="",X32=""),"",SUM(S32,V32,W32,X32))*AI31),IF(OR(S32="",V32="",W32="",X32=""),"", SUM(S32,V32,W32,X32)))</f>
        <v>872.30649857733522</v>
      </c>
      <c r="AA32" s="78" t="s">
        <v>129</v>
      </c>
      <c r="AB32" s="79"/>
      <c r="AC32" s="91"/>
      <c r="AD32" s="1"/>
      <c r="AE32" s="93"/>
      <c r="AF32" s="34"/>
      <c r="AH32" s="36"/>
      <c r="AI32" s="36"/>
    </row>
    <row r="33" spans="2:35" s="6" customFormat="1" ht="19.25" customHeight="1">
      <c r="D33" s="102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102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25" customHeight="1">
      <c r="B35" s="133" t="s">
        <v>34</v>
      </c>
      <c r="C35" s="134"/>
      <c r="D35" s="103" t="s">
        <v>33</v>
      </c>
      <c r="E35" s="133" t="s">
        <v>4</v>
      </c>
      <c r="F35" s="139"/>
      <c r="G35" s="139"/>
      <c r="H35" s="134"/>
      <c r="I35" s="50" t="s">
        <v>43</v>
      </c>
      <c r="J35" s="21"/>
      <c r="K35" s="133" t="s">
        <v>34</v>
      </c>
      <c r="L35" s="139"/>
      <c r="M35" s="134"/>
      <c r="N35" s="53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25" customHeight="1">
      <c r="B36" s="135" t="s">
        <v>41</v>
      </c>
      <c r="C36" s="136"/>
      <c r="D36" s="104">
        <v>1957001</v>
      </c>
      <c r="E36" s="140" t="s">
        <v>146</v>
      </c>
      <c r="F36" s="141"/>
      <c r="G36" s="141"/>
      <c r="H36" s="136"/>
      <c r="I36" s="49" t="s">
        <v>156</v>
      </c>
      <c r="J36" s="4"/>
      <c r="K36" s="135" t="s">
        <v>36</v>
      </c>
      <c r="L36" s="141"/>
      <c r="M36" s="136"/>
      <c r="N36" s="125">
        <v>1980001</v>
      </c>
      <c r="O36" s="151" t="s">
        <v>150</v>
      </c>
      <c r="P36" s="152"/>
      <c r="Q36" s="152"/>
      <c r="R36" s="153"/>
      <c r="S36" s="151" t="s">
        <v>156</v>
      </c>
      <c r="T36" s="180"/>
      <c r="AF36" s="1"/>
      <c r="AH36" s="35"/>
      <c r="AI36" s="35"/>
    </row>
    <row r="37" spans="2:35" s="5" customFormat="1" ht="21" customHeight="1">
      <c r="B37" s="137" t="s">
        <v>37</v>
      </c>
      <c r="C37" s="138"/>
      <c r="D37" s="105">
        <v>1952002</v>
      </c>
      <c r="E37" s="142" t="s">
        <v>147</v>
      </c>
      <c r="F37" s="143"/>
      <c r="G37" s="143"/>
      <c r="H37" s="138"/>
      <c r="I37" s="47" t="s">
        <v>204</v>
      </c>
      <c r="J37" s="4"/>
      <c r="K37" s="137" t="s">
        <v>39</v>
      </c>
      <c r="L37" s="143"/>
      <c r="M37" s="138"/>
      <c r="N37" s="123">
        <v>1994013</v>
      </c>
      <c r="O37" s="131" t="s">
        <v>151</v>
      </c>
      <c r="P37" s="154"/>
      <c r="Q37" s="154"/>
      <c r="R37" s="155"/>
      <c r="S37" s="131" t="s">
        <v>156</v>
      </c>
      <c r="T37" s="132"/>
      <c r="AH37" s="35"/>
      <c r="AI37" s="35"/>
    </row>
    <row r="38" spans="2:35" s="5" customFormat="1" ht="19.25" customHeight="1">
      <c r="B38" s="137" t="s">
        <v>37</v>
      </c>
      <c r="C38" s="138"/>
      <c r="D38" s="105">
        <v>2005024</v>
      </c>
      <c r="E38" s="142" t="s">
        <v>148</v>
      </c>
      <c r="F38" s="143"/>
      <c r="G38" s="143"/>
      <c r="H38" s="138"/>
      <c r="I38" s="47" t="s">
        <v>156</v>
      </c>
      <c r="J38" s="4"/>
      <c r="K38" s="137" t="s">
        <v>38</v>
      </c>
      <c r="L38" s="143"/>
      <c r="M38" s="138"/>
      <c r="N38" s="123"/>
      <c r="O38" s="131"/>
      <c r="P38" s="154"/>
      <c r="Q38" s="154"/>
      <c r="R38" s="155"/>
      <c r="S38" s="131"/>
      <c r="T38" s="132"/>
      <c r="V38" s="5" t="s">
        <v>55</v>
      </c>
      <c r="AH38" s="35"/>
      <c r="AI38" s="35"/>
    </row>
    <row r="39" spans="2:35" s="5" customFormat="1" ht="21" customHeight="1">
      <c r="B39" s="137" t="s">
        <v>37</v>
      </c>
      <c r="C39" s="138"/>
      <c r="D39" s="105">
        <v>1979013</v>
      </c>
      <c r="E39" s="142" t="s">
        <v>149</v>
      </c>
      <c r="F39" s="143"/>
      <c r="G39" s="143"/>
      <c r="H39" s="138"/>
      <c r="I39" s="47" t="s">
        <v>156</v>
      </c>
      <c r="J39" s="4"/>
      <c r="K39" s="137" t="s">
        <v>35</v>
      </c>
      <c r="L39" s="143"/>
      <c r="M39" s="138"/>
      <c r="N39" s="123"/>
      <c r="O39" s="131"/>
      <c r="P39" s="154"/>
      <c r="Q39" s="154"/>
      <c r="R39" s="155"/>
      <c r="S39" s="131"/>
      <c r="T39" s="132"/>
      <c r="AD39" s="5" t="s">
        <v>13</v>
      </c>
      <c r="AH39" s="35"/>
      <c r="AI39" s="35"/>
    </row>
    <row r="40" spans="2:35" s="5" customFormat="1" ht="20.25" customHeight="1">
      <c r="B40" s="137" t="s">
        <v>37</v>
      </c>
      <c r="C40" s="138"/>
      <c r="D40" s="105"/>
      <c r="E40" s="142"/>
      <c r="F40" s="143"/>
      <c r="G40" s="143"/>
      <c r="H40" s="138"/>
      <c r="I40" s="47"/>
      <c r="J40" s="4"/>
      <c r="K40" s="137" t="s">
        <v>35</v>
      </c>
      <c r="L40" s="143"/>
      <c r="M40" s="138"/>
      <c r="N40" s="123"/>
      <c r="O40" s="131"/>
      <c r="P40" s="154"/>
      <c r="Q40" s="154"/>
      <c r="R40" s="155"/>
      <c r="S40" s="131"/>
      <c r="T40" s="132"/>
      <c r="AH40" s="35"/>
      <c r="AI40" s="35"/>
    </row>
    <row r="41" spans="2:35" ht="19.25" customHeight="1">
      <c r="B41" s="137" t="s">
        <v>37</v>
      </c>
      <c r="C41" s="138"/>
      <c r="D41" s="105"/>
      <c r="E41" s="142"/>
      <c r="F41" s="143"/>
      <c r="G41" s="143"/>
      <c r="H41" s="138"/>
      <c r="I41" s="47"/>
      <c r="J41" s="3"/>
      <c r="K41" s="137" t="s">
        <v>35</v>
      </c>
      <c r="L41" s="143"/>
      <c r="M41" s="138"/>
      <c r="N41" s="123"/>
      <c r="O41" s="131"/>
      <c r="P41" s="154"/>
      <c r="Q41" s="154"/>
      <c r="R41" s="155"/>
      <c r="S41" s="131"/>
      <c r="T41" s="132"/>
      <c r="U41" s="3"/>
      <c r="V41" s="3"/>
      <c r="W41" s="3"/>
      <c r="X41" s="3"/>
      <c r="Y41" s="3"/>
      <c r="Z41" s="3"/>
      <c r="AA41" s="3"/>
      <c r="AB41" s="3"/>
    </row>
    <row r="42" spans="2:35" ht="20.25" customHeight="1">
      <c r="B42" s="137" t="s">
        <v>40</v>
      </c>
      <c r="C42" s="138"/>
      <c r="D42" s="105">
        <v>1999026</v>
      </c>
      <c r="E42" s="142" t="s">
        <v>205</v>
      </c>
      <c r="F42" s="143"/>
      <c r="G42" s="143"/>
      <c r="H42" s="138"/>
      <c r="I42" s="47" t="s">
        <v>156</v>
      </c>
      <c r="J42" s="3"/>
      <c r="K42" s="137" t="s">
        <v>56</v>
      </c>
      <c r="L42" s="143"/>
      <c r="M42" s="138"/>
      <c r="N42" s="123">
        <v>1994013</v>
      </c>
      <c r="O42" s="131" t="s">
        <v>160</v>
      </c>
      <c r="P42" s="154"/>
      <c r="Q42" s="154"/>
      <c r="R42" s="155"/>
      <c r="S42" s="131" t="s">
        <v>156</v>
      </c>
      <c r="T42" s="132"/>
      <c r="U42" s="3"/>
      <c r="V42" s="3"/>
      <c r="W42" s="3"/>
      <c r="X42" s="3"/>
      <c r="Y42" s="3"/>
      <c r="Z42" s="3"/>
      <c r="AA42" s="3"/>
      <c r="AB42" s="3"/>
    </row>
    <row r="43" spans="2:35" ht="20.25" customHeight="1">
      <c r="B43" s="145"/>
      <c r="C43" s="147"/>
      <c r="D43" s="106"/>
      <c r="E43" s="176"/>
      <c r="F43" s="146"/>
      <c r="G43" s="146"/>
      <c r="H43" s="147"/>
      <c r="I43" s="48"/>
      <c r="J43" s="3"/>
      <c r="K43" s="145"/>
      <c r="L43" s="146"/>
      <c r="M43" s="147"/>
      <c r="N43" s="124"/>
      <c r="O43" s="171"/>
      <c r="P43" s="172"/>
      <c r="Q43" s="172"/>
      <c r="R43" s="173"/>
      <c r="S43" s="171"/>
      <c r="T43" s="174"/>
      <c r="U43" s="3"/>
      <c r="V43" s="3"/>
      <c r="W43" s="3"/>
      <c r="X43" s="3"/>
      <c r="Y43" s="3"/>
      <c r="Z43" s="3"/>
      <c r="AA43" s="3"/>
      <c r="AB43" s="3"/>
    </row>
    <row r="44" spans="2:35" ht="19.25" customHeight="1">
      <c r="B44" s="178"/>
      <c r="C44" s="178"/>
      <c r="D44" s="144"/>
      <c r="E44" s="144"/>
      <c r="F44" s="55"/>
      <c r="G44" s="144"/>
      <c r="H44" s="144"/>
      <c r="I44" s="144"/>
      <c r="J44" s="3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7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100"/>
      <c r="E47" s="46"/>
      <c r="F47" s="46"/>
      <c r="G47" s="100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107"/>
      <c r="E48" s="13"/>
      <c r="F48" s="13"/>
      <c r="G48" s="101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75"/>
      <c r="F50" s="175"/>
      <c r="G50" s="175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31">
    <cfRule type="cellIs" dxfId="103" priority="36" stopIfTrue="1" operator="lessThanOrEqual">
      <formula>0</formula>
    </cfRule>
    <cfRule type="cellIs" dxfId="102" priority="35" stopIfTrue="1" operator="between">
      <formula>1</formula>
      <formula>300</formula>
    </cfRule>
  </conditionalFormatting>
  <conditionalFormatting sqref="K9:P9">
    <cfRule type="cellIs" dxfId="101" priority="22" stopIfTrue="1" operator="lessThanOrEqual">
      <formula>0</formula>
    </cfRule>
    <cfRule type="cellIs" dxfId="100" priority="21" stopIfTrue="1" operator="between">
      <formula>1</formula>
      <formula>300</formula>
    </cfRule>
  </conditionalFormatting>
  <conditionalFormatting sqref="K11:P11">
    <cfRule type="cellIs" dxfId="99" priority="5" stopIfTrue="1" operator="between">
      <formula>1</formula>
      <formula>300</formula>
    </cfRule>
    <cfRule type="cellIs" dxfId="98" priority="6" stopIfTrue="1" operator="lessThanOrEqual">
      <formula>0</formula>
    </cfRule>
  </conditionalFormatting>
  <conditionalFormatting sqref="K13:P13">
    <cfRule type="cellIs" dxfId="97" priority="7" stopIfTrue="1" operator="between">
      <formula>1</formula>
      <formula>300</formula>
    </cfRule>
    <cfRule type="cellIs" dxfId="96" priority="8" stopIfTrue="1" operator="lessThanOrEqual">
      <formula>0</formula>
    </cfRule>
  </conditionalFormatting>
  <conditionalFormatting sqref="K15:P15">
    <cfRule type="cellIs" dxfId="95" priority="17" stopIfTrue="1" operator="between">
      <formula>1</formula>
      <formula>300</formula>
    </cfRule>
    <cfRule type="cellIs" dxfId="94" priority="18" stopIfTrue="1" operator="lessThanOrEqual">
      <formula>0</formula>
    </cfRule>
  </conditionalFormatting>
  <conditionalFormatting sqref="K17:P17">
    <cfRule type="cellIs" dxfId="93" priority="23" stopIfTrue="1" operator="between">
      <formula>1</formula>
      <formula>300</formula>
    </cfRule>
    <cfRule type="cellIs" dxfId="92" priority="24" stopIfTrue="1" operator="lessThanOrEqual">
      <formula>0</formula>
    </cfRule>
  </conditionalFormatting>
  <conditionalFormatting sqref="K19:P19">
    <cfRule type="cellIs" dxfId="91" priority="10" stopIfTrue="1" operator="lessThanOrEqual">
      <formula>0</formula>
    </cfRule>
    <cfRule type="cellIs" dxfId="90" priority="9" stopIfTrue="1" operator="between">
      <formula>1</formula>
      <formula>300</formula>
    </cfRule>
  </conditionalFormatting>
  <conditionalFormatting sqref="K21:P21">
    <cfRule type="cellIs" dxfId="89" priority="11" stopIfTrue="1" operator="between">
      <formula>1</formula>
      <formula>300</formula>
    </cfRule>
    <cfRule type="cellIs" dxfId="88" priority="12" stopIfTrue="1" operator="lessThanOrEqual">
      <formula>0</formula>
    </cfRule>
  </conditionalFormatting>
  <conditionalFormatting sqref="K23:P23">
    <cfRule type="cellIs" dxfId="87" priority="13" stopIfTrue="1" operator="between">
      <formula>1</formula>
      <formula>300</formula>
    </cfRule>
    <cfRule type="cellIs" dxfId="86" priority="14" stopIfTrue="1" operator="lessThanOrEqual">
      <formula>0</formula>
    </cfRule>
  </conditionalFormatting>
  <conditionalFormatting sqref="K25:P25">
    <cfRule type="cellIs" dxfId="85" priority="25" stopIfTrue="1" operator="between">
      <formula>1</formula>
      <formula>300</formula>
    </cfRule>
    <cfRule type="cellIs" dxfId="84" priority="26" stopIfTrue="1" operator="lessThanOrEqual">
      <formula>0</formula>
    </cfRule>
  </conditionalFormatting>
  <conditionalFormatting sqref="K27:P27">
    <cfRule type="cellIs" dxfId="83" priority="1" stopIfTrue="1" operator="between">
      <formula>1</formula>
      <formula>300</formula>
    </cfRule>
    <cfRule type="cellIs" dxfId="82" priority="2" stopIfTrue="1" operator="lessThanOrEqual">
      <formula>0</formula>
    </cfRule>
  </conditionalFormatting>
  <conditionalFormatting sqref="K29:P29">
    <cfRule type="cellIs" dxfId="81" priority="4" stopIfTrue="1" operator="lessThanOrEqual">
      <formula>0</formula>
    </cfRule>
    <cfRule type="cellIs" dxfId="80" priority="3" stopIfTrue="1" operator="between">
      <formula>1</formula>
      <formula>300</formula>
    </cfRule>
  </conditionalFormatting>
  <conditionalFormatting sqref="L31:N31">
    <cfRule type="cellIs" dxfId="79" priority="59" stopIfTrue="1" operator="between">
      <formula>1</formula>
      <formula>300</formula>
    </cfRule>
    <cfRule type="cellIs" dxfId="78" priority="60" stopIfTrue="1" operator="lessThanOrEqual">
      <formula>0</formula>
    </cfRule>
  </conditionalFormatting>
  <dataValidations disablePrompts="1" count="5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31 C15 C17 C19 C21 C23 C25 C13 C27 C29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E11 E31 E15 E17 E19 E21 E23 E25 E13 E27 E29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sqref="F9 F11 F31 F15 F17 F19 F21 F23 F25 F13 F27 F29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3135-64C1-44A4-A689-792439032CEB}">
  <sheetPr>
    <pageSetUpPr autoPageBreaks="0" fitToPage="1"/>
  </sheetPr>
  <dimension ref="A1:AJ50"/>
  <sheetViews>
    <sheetView showGridLines="0" showRowColHeaders="0" showZeros="0" showOutlineSymbols="0" topLeftCell="A19" zoomScaleNormal="100" zoomScaleSheetLayoutView="75" zoomScalePageLayoutView="120" workbookViewId="0">
      <selection activeCell="D38" sqref="D38"/>
    </sheetView>
  </sheetViews>
  <sheetFormatPr baseColWidth="10" defaultColWidth="9.19921875" defaultRowHeight="13"/>
  <cols>
    <col min="1" max="1" width="4.19921875" style="3" customWidth="1"/>
    <col min="2" max="2" width="10.19921875" style="3" bestFit="1" customWidth="1"/>
    <col min="3" max="3" width="6.19921875" style="1" customWidth="1"/>
    <col min="4" max="4" width="8.796875" style="1" customWidth="1"/>
    <col min="5" max="6" width="6.19921875" style="16" customWidth="1"/>
    <col min="7" max="7" width="10.796875" style="1" customWidth="1"/>
    <col min="8" max="8" width="3.796875" style="1" customWidth="1"/>
    <col min="9" max="9" width="27.796875" style="4" customWidth="1"/>
    <col min="10" max="10" width="19.796875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19921875" style="17" customWidth="1"/>
    <col min="28" max="28" width="5.796875" style="17" customWidth="1"/>
    <col min="29" max="29" width="9.79687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16384" width="9.19921875" style="3"/>
  </cols>
  <sheetData>
    <row r="1" spans="1:36" customFormat="1" ht="19.25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66" t="s">
        <v>58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5"/>
      <c r="T2" s="15"/>
      <c r="U2" s="112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113"/>
      <c r="F3" s="15"/>
      <c r="G3" s="167" t="s">
        <v>21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14" t="s">
        <v>60</v>
      </c>
      <c r="T3" s="114"/>
      <c r="U3" s="114"/>
      <c r="V3" s="114"/>
      <c r="W3" s="114"/>
      <c r="X3" s="114"/>
      <c r="Y3" s="114"/>
      <c r="Z3" s="114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59" t="s">
        <v>152</v>
      </c>
      <c r="E5" s="159"/>
      <c r="F5" s="159"/>
      <c r="G5" s="159"/>
      <c r="H5" s="159"/>
      <c r="I5" s="159"/>
      <c r="J5" s="24" t="s">
        <v>0</v>
      </c>
      <c r="K5" s="159" t="s">
        <v>156</v>
      </c>
      <c r="L5" s="159"/>
      <c r="M5" s="159"/>
      <c r="N5" s="159"/>
      <c r="O5" s="24" t="s">
        <v>1</v>
      </c>
      <c r="P5" s="158" t="s">
        <v>153</v>
      </c>
      <c r="Q5" s="158"/>
      <c r="R5" s="158"/>
      <c r="S5" s="158"/>
      <c r="T5" s="24" t="s">
        <v>2</v>
      </c>
      <c r="U5" s="128">
        <v>45451</v>
      </c>
      <c r="V5" s="128"/>
      <c r="W5" s="54"/>
      <c r="X5" s="54"/>
      <c r="Y5" s="54"/>
      <c r="Z5" s="25" t="s">
        <v>15</v>
      </c>
      <c r="AA5" s="25"/>
      <c r="AB5" s="26">
        <v>2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9" t="s">
        <v>57</v>
      </c>
    </row>
    <row r="7" spans="1:36" s="1" customFormat="1">
      <c r="B7" s="156" t="s">
        <v>33</v>
      </c>
      <c r="C7" s="160" t="s">
        <v>53</v>
      </c>
      <c r="D7" s="160" t="s">
        <v>52</v>
      </c>
      <c r="E7" s="162" t="s">
        <v>54</v>
      </c>
      <c r="F7" s="164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6" t="s">
        <v>9</v>
      </c>
      <c r="V7" s="62" t="s">
        <v>45</v>
      </c>
      <c r="W7" s="62" t="s">
        <v>46</v>
      </c>
      <c r="X7" s="62" t="s">
        <v>47</v>
      </c>
      <c r="Y7" s="97" t="s">
        <v>48</v>
      </c>
      <c r="Z7" s="98" t="s">
        <v>44</v>
      </c>
      <c r="AA7" s="99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9"/>
    </row>
    <row r="8" spans="1:36" s="1" customFormat="1">
      <c r="B8" s="157"/>
      <c r="C8" s="161"/>
      <c r="D8" s="161"/>
      <c r="E8" s="163"/>
      <c r="F8" s="165"/>
      <c r="G8" s="56" t="s">
        <v>14</v>
      </c>
      <c r="H8" s="56" t="s">
        <v>20</v>
      </c>
      <c r="I8" s="56"/>
      <c r="J8" s="56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49</v>
      </c>
      <c r="Z8" s="64" t="s">
        <v>50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25" customHeight="1">
      <c r="B9" s="127">
        <v>2008022</v>
      </c>
      <c r="C9" s="83" t="s">
        <v>123</v>
      </c>
      <c r="D9" s="82">
        <v>80.78</v>
      </c>
      <c r="E9" s="83" t="s">
        <v>120</v>
      </c>
      <c r="F9" s="120" t="s">
        <v>80</v>
      </c>
      <c r="G9" s="121">
        <v>39679</v>
      </c>
      <c r="H9" s="70">
        <v>1</v>
      </c>
      <c r="I9" s="122" t="s">
        <v>182</v>
      </c>
      <c r="J9" s="75" t="s">
        <v>156</v>
      </c>
      <c r="K9" s="78">
        <v>78</v>
      </c>
      <c r="L9" s="84">
        <v>81</v>
      </c>
      <c r="M9" s="84">
        <v>84</v>
      </c>
      <c r="N9" s="78">
        <v>100</v>
      </c>
      <c r="O9" s="84">
        <v>107</v>
      </c>
      <c r="P9" s="84">
        <v>-110</v>
      </c>
      <c r="Q9" s="117">
        <f>IF(MAX(K9:M9)&gt;0,IF(MAX(K9:M9)&lt;0,0,TRUNC(MAX(K9:M9)/1)*1),"")</f>
        <v>84</v>
      </c>
      <c r="R9" s="67">
        <f>IF(MAX(N9:P9)&gt;0,IF(MAX(N9:P9)&lt;0,0,TRUNC(MAX(N9:P9)/1)*1),"")</f>
        <v>107</v>
      </c>
      <c r="S9" s="67">
        <f>IF(Q9="","",IF(R9="","",IF(SUM(Q9:R9)=0,"",SUM(Q9:R9))))</f>
        <v>191</v>
      </c>
      <c r="T9" s="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242.76863411071091</v>
      </c>
      <c r="U9" s="76" t="str">
        <f>IF(AF9=1,T9*AI9,"")</f>
        <v/>
      </c>
      <c r="V9" s="69">
        <v>8.1999999999999993</v>
      </c>
      <c r="W9" s="69">
        <v>12.85</v>
      </c>
      <c r="X9" s="69">
        <v>6.6</v>
      </c>
      <c r="Y9" s="68"/>
      <c r="Z9" s="72"/>
      <c r="AA9" s="70"/>
      <c r="AB9" s="71"/>
      <c r="AC9" s="94">
        <f>U5</f>
        <v>45451</v>
      </c>
      <c r="AD9" s="95" t="str">
        <f>IF(ISNUMBER(FIND("M",E9)),"m",IF(ISNUMBER(FIND("K",E9)),"k"))</f>
        <v>m</v>
      </c>
      <c r="AE9" s="93">
        <f>IF(OR(G9="",AC9=""),0,(YEAR(AC9)-YEAR(G9)))</f>
        <v>16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1.2710399691660257</v>
      </c>
    </row>
    <row r="10" spans="1:36" s="8" customFormat="1" ht="20.25" customHeight="1">
      <c r="B10" s="115"/>
      <c r="C10" s="72"/>
      <c r="D10" s="72"/>
      <c r="E10" s="72"/>
      <c r="F10" s="73"/>
      <c r="G10" s="74"/>
      <c r="H10" s="78"/>
      <c r="I10" s="122"/>
      <c r="J10" s="75"/>
      <c r="K10" s="129"/>
      <c r="L10" s="129"/>
      <c r="M10" s="129"/>
      <c r="N10" s="130"/>
      <c r="O10" s="130"/>
      <c r="P10" s="130"/>
      <c r="Q10" s="118"/>
      <c r="R10" s="72"/>
      <c r="S10" s="129">
        <f>IF(T9="","",T9*1.2)</f>
        <v>291.32236093285309</v>
      </c>
      <c r="T10" s="129"/>
      <c r="U10" s="72"/>
      <c r="V10" s="72">
        <f>IF(V9&gt;0,V9*20,"")</f>
        <v>164</v>
      </c>
      <c r="W10" s="72">
        <f>IF(W9="","",(W9*10)*AJ9)</f>
        <v>163.32863603783431</v>
      </c>
      <c r="X10" s="76">
        <f>IF(ROUNDUP(X9,1)&gt;0,IF((80+(8-ROUNDUP(X9,1))*40)&lt;0,0,80+(8-ROUNDUP(X9,1))*40),"")</f>
        <v>136</v>
      </c>
      <c r="Y10" s="77">
        <f>IF(SUM(V10,W10,X10)&gt;0,SUM(V10,W10,X10),"")</f>
        <v>463.32863603783431</v>
      </c>
      <c r="Z10" s="82">
        <f>IF(AE9&gt;34,(IF(OR(S10="",V10="",W10="",X10=""),"",SUM(S10,V10,W10,X10))*AI9),IF(OR(S10="",V10="",W10="",X10=""),"", SUM(S10,V10,W10,X10)))</f>
        <v>754.6509969706874</v>
      </c>
      <c r="AA10" s="78" t="s">
        <v>129</v>
      </c>
      <c r="AB10" s="79"/>
      <c r="AC10" s="91"/>
      <c r="AD10" s="1"/>
      <c r="AE10" s="93"/>
      <c r="AF10" s="40"/>
      <c r="AH10" s="36"/>
      <c r="AI10" s="36"/>
    </row>
    <row r="11" spans="1:36" s="8" customFormat="1" ht="20.25" customHeight="1">
      <c r="B11" s="115" t="s">
        <v>194</v>
      </c>
      <c r="C11" s="83" t="s">
        <v>123</v>
      </c>
      <c r="D11" s="82">
        <v>78.010000000000005</v>
      </c>
      <c r="E11" s="83" t="s">
        <v>120</v>
      </c>
      <c r="F11" s="120" t="s">
        <v>80</v>
      </c>
      <c r="G11" s="121">
        <v>39541</v>
      </c>
      <c r="H11" s="70">
        <v>2</v>
      </c>
      <c r="I11" s="122" t="s">
        <v>193</v>
      </c>
      <c r="J11" s="75" t="s">
        <v>156</v>
      </c>
      <c r="K11" s="78">
        <v>71</v>
      </c>
      <c r="L11" s="84">
        <v>74</v>
      </c>
      <c r="M11" s="84">
        <v>-77</v>
      </c>
      <c r="N11" s="78">
        <v>81</v>
      </c>
      <c r="O11" s="84">
        <v>-85</v>
      </c>
      <c r="P11" s="84">
        <v>-88</v>
      </c>
      <c r="Q11" s="117">
        <f>IF(MAX(K11:M11)&gt;0,IF(MAX(K11:M11)&lt;0,0,TRUNC(MAX(K11:M11)/1)*1),"")</f>
        <v>74</v>
      </c>
      <c r="R11" s="67">
        <f>IF(MAX(N11:P11)&gt;0,IF(MAX(N11:P11)&lt;0,0,TRUNC(MAX(N11:P11)/1)*1),"")</f>
        <v>81</v>
      </c>
      <c r="S11" s="67">
        <f>IF(Q11="","",IF(R11="","",IF(SUM(Q11:R11)=0,"",SUM(Q11:R11))))</f>
        <v>155</v>
      </c>
      <c r="T11" s="6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200.89653057089876</v>
      </c>
      <c r="U11" s="76" t="str">
        <f>IF(AF11=1,T11*AI11,"")</f>
        <v/>
      </c>
      <c r="V11" s="69">
        <v>6.82</v>
      </c>
      <c r="W11" s="69">
        <v>9.9700000000000006</v>
      </c>
      <c r="X11" s="69">
        <v>6.85</v>
      </c>
      <c r="Y11" s="77"/>
      <c r="Z11" s="72"/>
      <c r="AA11" s="70"/>
      <c r="AB11" s="71"/>
      <c r="AC11" s="91">
        <f>U5</f>
        <v>45451</v>
      </c>
      <c r="AD11" s="95" t="str">
        <f>IF(ISNUMBER(FIND("M",E11)),"m",IF(ISNUMBER(FIND("K",E11)),"k"))</f>
        <v>m</v>
      </c>
      <c r="AE11" s="93">
        <f>IF(OR(G11="",AC11=""),0,(YEAR(AC11)-YEAR(G11)))</f>
        <v>16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1.2961066488445081</v>
      </c>
    </row>
    <row r="12" spans="1:36" s="8" customFormat="1" ht="20.25" customHeight="1">
      <c r="B12" s="116"/>
      <c r="C12" s="72"/>
      <c r="D12" s="72"/>
      <c r="E12" s="72"/>
      <c r="F12" s="73"/>
      <c r="G12" s="74"/>
      <c r="H12" s="78"/>
      <c r="I12" s="122"/>
      <c r="J12" s="75"/>
      <c r="K12" s="129"/>
      <c r="L12" s="129"/>
      <c r="M12" s="129"/>
      <c r="N12" s="130"/>
      <c r="O12" s="130"/>
      <c r="P12" s="130"/>
      <c r="Q12" s="118"/>
      <c r="R12" s="72"/>
      <c r="S12" s="129">
        <f>IF(T11="","",T11*1.2)</f>
        <v>241.07583668507851</v>
      </c>
      <c r="T12" s="129"/>
      <c r="U12" s="82"/>
      <c r="V12" s="72">
        <f>IF(V11&gt;0,V11*20,"")</f>
        <v>136.4</v>
      </c>
      <c r="W12" s="72">
        <f>IF(W11="","",(W11*10)*AJ11)</f>
        <v>129.22183288979747</v>
      </c>
      <c r="X12" s="76">
        <f>IF(ROUNDUP(X11,1)&gt;0,IF((80+(8-ROUNDUP(X11,1))*40)&lt;0,0,80+(8-ROUNDUP(X11,1))*40),"")</f>
        <v>124.00000000000003</v>
      </c>
      <c r="Y12" s="77">
        <f>IF(SUM(V12,W12,X12)&gt;0,SUM(V12,W12,X12),"")</f>
        <v>389.62183288979747</v>
      </c>
      <c r="Z12" s="82">
        <f>IF(AE11&gt;34,(IF(OR(S12="",V12="",W12="",X12=""),"",SUM(S12,V12,W12,X12))*AI11),IF(OR(S12="",V12="",W12="",X12=""),"", SUM(S12,V12,W12,X12)))</f>
        <v>630.69766957487604</v>
      </c>
      <c r="AA12" s="78">
        <v>3</v>
      </c>
      <c r="AB12" s="79"/>
      <c r="AC12" s="91"/>
      <c r="AD12" s="1"/>
      <c r="AE12" s="93"/>
      <c r="AF12" s="34"/>
      <c r="AH12" s="36"/>
      <c r="AI12" s="36"/>
    </row>
    <row r="13" spans="1:36" s="8" customFormat="1" ht="20.25" customHeight="1">
      <c r="B13" s="115" t="s">
        <v>183</v>
      </c>
      <c r="C13" s="83" t="s">
        <v>126</v>
      </c>
      <c r="D13" s="82">
        <v>56.42</v>
      </c>
      <c r="E13" s="83" t="s">
        <v>120</v>
      </c>
      <c r="F13" s="120" t="s">
        <v>80</v>
      </c>
      <c r="G13" s="121">
        <v>39932</v>
      </c>
      <c r="H13" s="70">
        <v>3</v>
      </c>
      <c r="I13" s="122" t="s">
        <v>68</v>
      </c>
      <c r="J13" s="75" t="s">
        <v>156</v>
      </c>
      <c r="K13" s="78">
        <v>44</v>
      </c>
      <c r="L13" s="84">
        <v>47</v>
      </c>
      <c r="M13" s="84">
        <v>-50</v>
      </c>
      <c r="N13" s="78">
        <v>-55</v>
      </c>
      <c r="O13" s="84">
        <v>55</v>
      </c>
      <c r="P13" s="84">
        <v>-58</v>
      </c>
      <c r="Q13" s="117">
        <f>IF(MAX(K13:M13)&gt;0,IF(MAX(K13:M13)&lt;0,0,TRUNC(MAX(K13:M13)/1)*1),"")</f>
        <v>47</v>
      </c>
      <c r="R13" s="67">
        <f>IF(MAX(N13:P13)&gt;0,IF(MAX(N13:P13)&lt;0,0,TRUNC(MAX(N13:P13)/1)*1),"")</f>
        <v>55</v>
      </c>
      <c r="S13" s="67">
        <f>IF(Q13="","",IF(R13="","",IF(SUM(Q13:R13)=0,"",SUM(Q13:R13))))</f>
        <v>102</v>
      </c>
      <c r="T13" s="6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164.38186235624784</v>
      </c>
      <c r="U13" s="76" t="str">
        <f>IF(AF13=1,T13*AI13,"")</f>
        <v/>
      </c>
      <c r="V13" s="69">
        <v>6.53</v>
      </c>
      <c r="W13" s="69">
        <v>9.1300000000000008</v>
      </c>
      <c r="X13" s="69">
        <v>7.22</v>
      </c>
      <c r="Y13" s="86"/>
      <c r="Z13" s="72"/>
      <c r="AA13" s="70"/>
      <c r="AB13" s="71"/>
      <c r="AC13" s="91">
        <f>U5</f>
        <v>45451</v>
      </c>
      <c r="AD13" s="95" t="str">
        <f>IF(ISNUMBER(FIND("M",E13)),"m",IF(ISNUMBER(FIND("K",E13)),"k"))</f>
        <v>m</v>
      </c>
      <c r="AE13" s="93">
        <f>IF(OR(G13="",AC13=""),0,(YEAR(AC13)-YEAR(G13)))</f>
        <v>15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1.6115868858455671</v>
      </c>
    </row>
    <row r="14" spans="1:36" s="8" customFormat="1" ht="20.25" customHeight="1">
      <c r="B14" s="116"/>
      <c r="C14" s="72"/>
      <c r="D14" s="72"/>
      <c r="E14" s="72"/>
      <c r="F14" s="73"/>
      <c r="G14" s="74"/>
      <c r="H14" s="78"/>
      <c r="I14" s="122"/>
      <c r="J14" s="75"/>
      <c r="K14" s="129"/>
      <c r="L14" s="129"/>
      <c r="M14" s="129"/>
      <c r="N14" s="130"/>
      <c r="O14" s="130"/>
      <c r="P14" s="130"/>
      <c r="Q14" s="118"/>
      <c r="R14" s="72"/>
      <c r="S14" s="129">
        <f>IF(T13="","",T13*1.2)</f>
        <v>197.2582348274974</v>
      </c>
      <c r="T14" s="129"/>
      <c r="U14" s="72"/>
      <c r="V14" s="72">
        <f>IF(V13&gt;0,V13*20,"")</f>
        <v>130.6</v>
      </c>
      <c r="W14" s="72">
        <f>IF(W13="","",(W13*10)*AJ13)</f>
        <v>147.1378826777003</v>
      </c>
      <c r="X14" s="76">
        <f>IF(ROUNDUP(X13,1)&gt;0,IF((80+(8-ROUNDUP(X13,1))*40)&lt;0,0,80+(8-ROUNDUP(X13,1))*40),"")</f>
        <v>108</v>
      </c>
      <c r="Y14" s="77">
        <f>IF(SUM(V14,W14,X14)&gt;0,SUM(V14,W14,X14),"")</f>
        <v>385.73788267770033</v>
      </c>
      <c r="Z14" s="82">
        <f>IF(AE13&gt;34,(IF(OR(S14="",V14="",W14="",X14=""),"",SUM(S14,V14,W14,X14))*AI13),IF(OR(S14="",V14="",W14="",X14=""),"", SUM(S14,V14,W14,X14)))</f>
        <v>582.99611750519773</v>
      </c>
      <c r="AA14" s="78">
        <v>4</v>
      </c>
      <c r="AB14" s="79"/>
      <c r="AC14" s="91"/>
      <c r="AD14" s="1"/>
      <c r="AE14" s="93"/>
      <c r="AF14" s="34"/>
      <c r="AH14" s="36"/>
      <c r="AI14" s="36"/>
    </row>
    <row r="15" spans="1:36" s="8" customFormat="1" ht="20.25" customHeight="1">
      <c r="B15" s="115" t="s">
        <v>97</v>
      </c>
      <c r="C15" s="83" t="s">
        <v>127</v>
      </c>
      <c r="D15" s="82">
        <v>49.13</v>
      </c>
      <c r="E15" s="83" t="s">
        <v>114</v>
      </c>
      <c r="F15" s="120" t="s">
        <v>80</v>
      </c>
      <c r="G15" s="121">
        <v>40008</v>
      </c>
      <c r="H15" s="70">
        <v>4</v>
      </c>
      <c r="I15" s="122" t="s">
        <v>70</v>
      </c>
      <c r="J15" s="75" t="s">
        <v>167</v>
      </c>
      <c r="K15" s="78">
        <v>40</v>
      </c>
      <c r="L15" s="84">
        <v>43</v>
      </c>
      <c r="M15" s="84">
        <v>45</v>
      </c>
      <c r="N15" s="78">
        <v>48</v>
      </c>
      <c r="O15" s="84">
        <v>51</v>
      </c>
      <c r="P15" s="84">
        <v>-53</v>
      </c>
      <c r="Q15" s="117">
        <f>IF(MAX(K15:M15)&gt;0,IF(MAX(K15:M15)&lt;0,0,TRUNC(MAX(K15:M15)/1)*1),"")</f>
        <v>45</v>
      </c>
      <c r="R15" s="67">
        <f>IF(MAX(N15:P15)&gt;0,IF(MAX(N15:P15)&lt;0,0,TRUNC(MAX(N15:P15)/1)*1),"")</f>
        <v>51</v>
      </c>
      <c r="S15" s="67">
        <f>IF(Q15="","",IF(R15="","",IF(SUM(Q15:R15)=0,"",SUM(Q15:R15))))</f>
        <v>96</v>
      </c>
      <c r="T15" s="6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149.79160702297463</v>
      </c>
      <c r="U15" s="76" t="str">
        <f>IF(AF15=1,T15*AI15,"")</f>
        <v/>
      </c>
      <c r="V15" s="69">
        <v>5.97</v>
      </c>
      <c r="W15" s="69">
        <v>6.04</v>
      </c>
      <c r="X15" s="69">
        <v>7.28</v>
      </c>
      <c r="Y15" s="77"/>
      <c r="Z15" s="72"/>
      <c r="AA15" s="70"/>
      <c r="AB15" s="71"/>
      <c r="AC15" s="91">
        <f>U5</f>
        <v>45451</v>
      </c>
      <c r="AD15" s="95" t="str">
        <f>IF(ISNUMBER(FIND("M",E15)),"m",IF(ISNUMBER(FIND("K",E15)),"k"))</f>
        <v>k</v>
      </c>
      <c r="AE15" s="93">
        <f>IF(OR(G15="",AC15=""),0,(YEAR(AC15)-YEAR(G15)))</f>
        <v>15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1.8045712873484381</v>
      </c>
    </row>
    <row r="16" spans="1:36" s="8" customFormat="1" ht="20.25" customHeight="1">
      <c r="B16" s="116"/>
      <c r="C16" s="72"/>
      <c r="D16" s="72"/>
      <c r="E16" s="72"/>
      <c r="F16" s="73"/>
      <c r="G16" s="74"/>
      <c r="H16" s="78"/>
      <c r="I16" s="122"/>
      <c r="J16" s="75"/>
      <c r="K16" s="129"/>
      <c r="L16" s="129"/>
      <c r="M16" s="129"/>
      <c r="N16" s="130"/>
      <c r="O16" s="130"/>
      <c r="P16" s="130"/>
      <c r="Q16" s="119"/>
      <c r="R16" s="87"/>
      <c r="S16" s="129">
        <f>IF(T15="","",T15*1.2)</f>
        <v>179.74992842756956</v>
      </c>
      <c r="T16" s="129"/>
      <c r="U16" s="72"/>
      <c r="V16" s="72">
        <f>IF(V15&gt;0,V15*20,"")</f>
        <v>119.39999999999999</v>
      </c>
      <c r="W16" s="72">
        <f>IF(W15="","",(W15*10)*AJ15)</f>
        <v>108.99610575584566</v>
      </c>
      <c r="X16" s="76">
        <f>IF(ROUNDUP(X15,1)&gt;0,IF((80+(8-ROUNDUP(X15,1))*40)&lt;0,0,80+(8-ROUNDUP(X15,1))*40),"")</f>
        <v>108</v>
      </c>
      <c r="Y16" s="77">
        <f>IF(SUM(V16,W16,X16)&gt;0,SUM(V16,W16,X16),"")</f>
        <v>336.39610575584567</v>
      </c>
      <c r="Z16" s="82">
        <f>IF(AE15&gt;34,(IF(OR(S16="",V16="",W16="",X16=""),"",SUM(S16,V16,W16,X16))*AI15),IF(OR(S16="",V16="",W16="",X16=""),"", SUM(S16,V16,W16,X16)))</f>
        <v>516.14603418341517</v>
      </c>
      <c r="AA16" s="78">
        <v>3</v>
      </c>
      <c r="AB16" s="79"/>
      <c r="AC16" s="91"/>
      <c r="AD16" s="1"/>
      <c r="AE16" s="93"/>
      <c r="AF16" s="34"/>
      <c r="AH16" s="36"/>
      <c r="AI16" s="36"/>
    </row>
    <row r="17" spans="2:36" s="8" customFormat="1" ht="20.25" customHeight="1">
      <c r="B17" s="115" t="s">
        <v>192</v>
      </c>
      <c r="C17" s="83" t="s">
        <v>123</v>
      </c>
      <c r="D17" s="82">
        <v>78.17</v>
      </c>
      <c r="E17" s="83" t="s">
        <v>121</v>
      </c>
      <c r="F17" s="120" t="s">
        <v>87</v>
      </c>
      <c r="G17" s="121">
        <v>38896</v>
      </c>
      <c r="H17" s="70">
        <v>5</v>
      </c>
      <c r="I17" s="122" t="s">
        <v>191</v>
      </c>
      <c r="J17" s="75" t="s">
        <v>156</v>
      </c>
      <c r="K17" s="78">
        <v>95</v>
      </c>
      <c r="L17" s="84">
        <v>100</v>
      </c>
      <c r="M17" s="84">
        <v>105</v>
      </c>
      <c r="N17" s="78">
        <v>115</v>
      </c>
      <c r="O17" s="84">
        <v>120</v>
      </c>
      <c r="P17" s="84">
        <v>125</v>
      </c>
      <c r="Q17" s="117">
        <f>IF(MAX(K17:M17)&gt;0,IF(MAX(K17:M17)&lt;0,0,TRUNC(MAX(K17:M17)/1)*1),"")</f>
        <v>105</v>
      </c>
      <c r="R17" s="67">
        <f>IF(MAX(N17:P17)&gt;0,IF(MAX(N17:P17)&lt;0,0,TRUNC(MAX(N17:P17)/1)*1),"")</f>
        <v>125</v>
      </c>
      <c r="S17" s="85">
        <f>IF(Q17="","",IF(R17="","",IF(SUM(Q17:R17)=0,"",SUM(Q17:R17))))</f>
        <v>230</v>
      </c>
      <c r="T17" s="6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297.75657227866452</v>
      </c>
      <c r="U17" s="76" t="str">
        <f>IF(AF17=1,T17*AI17,"")</f>
        <v/>
      </c>
      <c r="V17" s="69">
        <v>8.7100000000000009</v>
      </c>
      <c r="W17" s="69">
        <v>14.64</v>
      </c>
      <c r="X17" s="69">
        <v>6.3</v>
      </c>
      <c r="Y17" s="77"/>
      <c r="Z17" s="72"/>
      <c r="AA17" s="70"/>
      <c r="AB17" s="71"/>
      <c r="AC17" s="91">
        <f>U5</f>
        <v>45451</v>
      </c>
      <c r="AD17" s="95" t="str">
        <f>IF(ISNUMBER(FIND("M",E17)),"m",IF(ISNUMBER(FIND("K",E17)),"k"))</f>
        <v>m</v>
      </c>
      <c r="AE17" s="93">
        <f>IF(OR(G17="",AC17=""),0,(YEAR(AC17)-YEAR(G17)))</f>
        <v>18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1.2945937925159328</v>
      </c>
    </row>
    <row r="18" spans="2:36" s="8" customFormat="1" ht="20.25" customHeight="1">
      <c r="B18" s="116"/>
      <c r="C18" s="72"/>
      <c r="D18" s="72"/>
      <c r="E18" s="72"/>
      <c r="F18" s="73"/>
      <c r="G18" s="74"/>
      <c r="H18" s="78"/>
      <c r="I18" s="122"/>
      <c r="J18" s="75"/>
      <c r="K18" s="129"/>
      <c r="L18" s="129"/>
      <c r="M18" s="129"/>
      <c r="N18" s="130"/>
      <c r="O18" s="130"/>
      <c r="P18" s="130"/>
      <c r="Q18" s="118"/>
      <c r="R18" s="72"/>
      <c r="S18" s="129">
        <f>IF(T17="","",T17*1.2)</f>
        <v>357.30788673439741</v>
      </c>
      <c r="T18" s="129"/>
      <c r="U18" s="72"/>
      <c r="V18" s="72">
        <f>IF(V17&gt;0,V17*20,"")</f>
        <v>174.20000000000002</v>
      </c>
      <c r="W18" s="72">
        <f>IF(W17="","",(W17*10)*AJ17)</f>
        <v>189.52853122433257</v>
      </c>
      <c r="X18" s="76">
        <f>IF(ROUNDUP(X17,1)&gt;0,IF((80+(8-ROUNDUP(X17,1))*40)&lt;0,0,80+(8-ROUNDUP(X17,1))*40),"")</f>
        <v>148</v>
      </c>
      <c r="Y18" s="77">
        <f>IF(SUM(V18,W18,X18)&gt;0,SUM(V18,W18,X18),"")</f>
        <v>511.72853122433258</v>
      </c>
      <c r="Z18" s="82">
        <f>IF(AE17&gt;34,(IF(OR(S18="",V18="",W18="",X18=""),"",SUM(S18,V18,W18,X18))*AI17),IF(OR(S18="",V18="",W18="",X18=""),"", SUM(S18,V18,W18,X18)))</f>
        <v>869.03641795873</v>
      </c>
      <c r="AA18" s="78">
        <v>1</v>
      </c>
      <c r="AB18" s="79"/>
      <c r="AC18" s="91"/>
      <c r="AD18" s="1"/>
      <c r="AE18" s="93"/>
      <c r="AF18" s="34"/>
      <c r="AH18" s="36"/>
      <c r="AI18" s="36"/>
    </row>
    <row r="19" spans="2:36" s="8" customFormat="1" ht="20.25" customHeight="1">
      <c r="B19" s="115" t="s">
        <v>98</v>
      </c>
      <c r="C19" s="83" t="s">
        <v>111</v>
      </c>
      <c r="D19" s="82">
        <v>88.18</v>
      </c>
      <c r="E19" s="83" t="s">
        <v>120</v>
      </c>
      <c r="F19" s="120" t="s">
        <v>80</v>
      </c>
      <c r="G19" s="121">
        <v>39760</v>
      </c>
      <c r="H19" s="70">
        <v>6</v>
      </c>
      <c r="I19" s="122" t="s">
        <v>71</v>
      </c>
      <c r="J19" s="75" t="s">
        <v>167</v>
      </c>
      <c r="K19" s="78">
        <v>101</v>
      </c>
      <c r="L19" s="84">
        <v>105</v>
      </c>
      <c r="M19" s="84">
        <v>-109</v>
      </c>
      <c r="N19" s="78">
        <v>132</v>
      </c>
      <c r="O19" s="84">
        <v>-137</v>
      </c>
      <c r="P19" s="84">
        <v>-137</v>
      </c>
      <c r="Q19" s="117">
        <f>IF(MAX(K19:M19)&gt;0,IF(MAX(K19:M19)&lt;0,0,TRUNC(MAX(K19:M19)/1)*1),"")</f>
        <v>105</v>
      </c>
      <c r="R19" s="67">
        <f>IF(MAX(N19:P19)&gt;0,IF(MAX(N19:P19)&lt;0,0,TRUNC(MAX(N19:P19)/1)*1),"")</f>
        <v>132</v>
      </c>
      <c r="S19" s="85">
        <f>IF(Q19="","",IF(R19="","",IF(SUM(Q19:R19)=0,"",SUM(Q19:R19))))</f>
        <v>237</v>
      </c>
      <c r="T19" s="6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287.78351384857632</v>
      </c>
      <c r="U19" s="76" t="str">
        <f>IF(AF19=1,T19*AI19,"")</f>
        <v/>
      </c>
      <c r="V19" s="69">
        <v>6.88</v>
      </c>
      <c r="W19" s="69">
        <v>10.19</v>
      </c>
      <c r="X19" s="69">
        <v>6.81</v>
      </c>
      <c r="Y19" s="77"/>
      <c r="Z19" s="72"/>
      <c r="AA19" s="70"/>
      <c r="AB19" s="71"/>
      <c r="AC19" s="91">
        <f>U5</f>
        <v>45451</v>
      </c>
      <c r="AD19" s="95" t="str">
        <f>IF(ISNUMBER(FIND("M",E19)),"m",IF(ISNUMBER(FIND("K",E19)),"k"))</f>
        <v>m</v>
      </c>
      <c r="AE19" s="93">
        <f>IF(OR(G19="",AC19=""),0,(YEAR(AC19)-YEAR(G19)))</f>
        <v>16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1.2142764297408284</v>
      </c>
    </row>
    <row r="20" spans="2:36" s="8" customFormat="1" ht="20.25" customHeight="1">
      <c r="B20" s="116"/>
      <c r="C20" s="72"/>
      <c r="D20" s="72"/>
      <c r="E20" s="72"/>
      <c r="F20" s="73"/>
      <c r="G20" s="74"/>
      <c r="H20" s="78"/>
      <c r="I20" s="122"/>
      <c r="J20" s="75"/>
      <c r="K20" s="129"/>
      <c r="L20" s="129"/>
      <c r="M20" s="129"/>
      <c r="N20" s="130"/>
      <c r="O20" s="130"/>
      <c r="P20" s="130"/>
      <c r="Q20" s="118"/>
      <c r="R20" s="72"/>
      <c r="S20" s="129">
        <f>IF(T19="","",T19*1.2)</f>
        <v>345.34021661829155</v>
      </c>
      <c r="T20" s="129"/>
      <c r="U20" s="72"/>
      <c r="V20" s="72">
        <f>IF(V19&gt;0,V19*20,"")</f>
        <v>137.6</v>
      </c>
      <c r="W20" s="72">
        <f>IF(W19="","",(W19*10)*AJ19)</f>
        <v>123.7347681905904</v>
      </c>
      <c r="X20" s="76">
        <f>IF(ROUNDUP(X19,1)&gt;0,IF((80+(8-ROUNDUP(X19,1))*40)&lt;0,0,80+(8-ROUNDUP(X19,1))*40),"")</f>
        <v>124.00000000000003</v>
      </c>
      <c r="Y20" s="77">
        <f>IF(SUM(V20,W20,X20)&gt;0,SUM(V20,W20,X20),"")</f>
        <v>385.33476819059047</v>
      </c>
      <c r="Z20" s="82">
        <f>IF(AE19&gt;34,(IF(OR(S20="",V20="",W20="",X20=""),"",SUM(S20,V20,W20,X20))*AI19),IF(OR(S20="",V20="",W20="",X20=""),"", SUM(S20,V20,W20,X20)))</f>
        <v>730.67498480888196</v>
      </c>
      <c r="AA20" s="78">
        <v>2</v>
      </c>
      <c r="AB20" s="79"/>
      <c r="AC20" s="91"/>
      <c r="AD20" s="1"/>
      <c r="AE20" s="93"/>
      <c r="AF20" s="34"/>
      <c r="AH20" s="36"/>
      <c r="AI20" s="36"/>
    </row>
    <row r="21" spans="2:36" s="8" customFormat="1" ht="20.25" customHeight="1">
      <c r="B21" s="115" t="s">
        <v>185</v>
      </c>
      <c r="C21" s="83" t="s">
        <v>134</v>
      </c>
      <c r="D21" s="82">
        <v>75.75</v>
      </c>
      <c r="E21" s="83" t="s">
        <v>114</v>
      </c>
      <c r="F21" s="120" t="s">
        <v>80</v>
      </c>
      <c r="G21" s="121">
        <v>39575</v>
      </c>
      <c r="H21" s="70">
        <v>7</v>
      </c>
      <c r="I21" s="122" t="s">
        <v>184</v>
      </c>
      <c r="J21" s="75" t="s">
        <v>156</v>
      </c>
      <c r="K21" s="78">
        <v>62</v>
      </c>
      <c r="L21" s="84">
        <v>65</v>
      </c>
      <c r="M21" s="84">
        <v>68</v>
      </c>
      <c r="N21" s="78">
        <v>80</v>
      </c>
      <c r="O21" s="84">
        <v>85</v>
      </c>
      <c r="P21" s="84">
        <v>90</v>
      </c>
      <c r="Q21" s="117">
        <f>IF(MAX(K21:M21)&gt;0,IF(MAX(K21:M21)&lt;0,0,TRUNC(MAX(K21:M21)/1)*1),"")</f>
        <v>68</v>
      </c>
      <c r="R21" s="67">
        <f>IF(MAX(N21:P21)&gt;0,IF(MAX(N21:P21)&lt;0,0,TRUNC(MAX(N21:P21)/1)*1),"")</f>
        <v>90</v>
      </c>
      <c r="S21" s="85">
        <f>IF(Q21="","",IF(R21="","",IF(SUM(Q21:R21)=0,"",SUM(Q21:R21))))</f>
        <v>158</v>
      </c>
      <c r="T21" s="6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187.52110834100995</v>
      </c>
      <c r="U21" s="76" t="str">
        <f>IF(AF21=1,T21*AI21,"")</f>
        <v/>
      </c>
      <c r="V21" s="69">
        <v>6.42</v>
      </c>
      <c r="W21" s="69">
        <v>11.76</v>
      </c>
      <c r="X21" s="69">
        <v>7.78</v>
      </c>
      <c r="Y21" s="77"/>
      <c r="Z21" s="72"/>
      <c r="AA21" s="70"/>
      <c r="AB21" s="71"/>
      <c r="AC21" s="91">
        <f>U5</f>
        <v>45451</v>
      </c>
      <c r="AD21" s="95" t="str">
        <f>IF(ISNUMBER(FIND("M",E21)),"m",IF(ISNUMBER(FIND("K",E21)),"k"))</f>
        <v>k</v>
      </c>
      <c r="AE21" s="93">
        <f>IF(OR(G21="",AC21=""),0,(YEAR(AC21)-YEAR(G21)))</f>
        <v>16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1.3183918457401624</v>
      </c>
    </row>
    <row r="22" spans="2:36" s="8" customFormat="1" ht="20.25" customHeight="1">
      <c r="B22" s="116"/>
      <c r="C22" s="72"/>
      <c r="D22" s="72"/>
      <c r="E22" s="72"/>
      <c r="F22" s="73"/>
      <c r="G22" s="74"/>
      <c r="H22" s="78"/>
      <c r="I22" s="75"/>
      <c r="J22" s="75"/>
      <c r="K22" s="129"/>
      <c r="L22" s="129"/>
      <c r="M22" s="129"/>
      <c r="N22" s="130"/>
      <c r="O22" s="130"/>
      <c r="P22" s="130"/>
      <c r="Q22" s="118"/>
      <c r="R22" s="72"/>
      <c r="S22" s="129">
        <f>IF(T21="","",T21*1.2)</f>
        <v>225.02533000921193</v>
      </c>
      <c r="T22" s="129"/>
      <c r="U22" s="72"/>
      <c r="V22" s="72">
        <f>IF(V21&gt;0,V21*20,"")</f>
        <v>128.4</v>
      </c>
      <c r="W22" s="72">
        <f>IF(W21="","",(W21*10)*AJ21)</f>
        <v>155.04288105904308</v>
      </c>
      <c r="X22" s="76">
        <f>IF(ROUNDUP(X21,1)&gt;0,IF((80+(8-ROUNDUP(X21,1))*40)&lt;0,0,80+(8-ROUNDUP(X21,1))*40),"")</f>
        <v>88</v>
      </c>
      <c r="Y22" s="77">
        <f>IF(SUM(V22,W22,X22)&gt;0,SUM(V22,W22,X22),"")</f>
        <v>371.44288105904309</v>
      </c>
      <c r="Z22" s="82">
        <f>IF(AE21&gt;34,(IF(OR(S22="",V22="",W22="",X22=""),"",SUM(S22,V22,W22,X22))*AI21),IF(OR(S22="",V22="",W22="",X22=""),"", SUM(S22,V22,W22,X22)))</f>
        <v>596.46821106825507</v>
      </c>
      <c r="AA22" s="78">
        <v>1</v>
      </c>
      <c r="AB22" s="79"/>
      <c r="AC22" s="91"/>
      <c r="AD22" s="1"/>
      <c r="AE22" s="93"/>
      <c r="AF22" s="34"/>
      <c r="AH22" s="36"/>
      <c r="AI22" s="36"/>
    </row>
    <row r="23" spans="2:36" s="8" customFormat="1" ht="20.25" customHeight="1">
      <c r="B23" s="115" t="s">
        <v>186</v>
      </c>
      <c r="C23" s="83" t="s">
        <v>111</v>
      </c>
      <c r="D23" s="82">
        <v>88.25</v>
      </c>
      <c r="E23" s="83" t="s">
        <v>120</v>
      </c>
      <c r="F23" s="120" t="s">
        <v>80</v>
      </c>
      <c r="G23" s="121">
        <v>39709</v>
      </c>
      <c r="H23" s="70">
        <v>8</v>
      </c>
      <c r="I23" s="122" t="s">
        <v>69</v>
      </c>
      <c r="J23" s="75" t="s">
        <v>156</v>
      </c>
      <c r="K23" s="78">
        <v>-65</v>
      </c>
      <c r="L23" s="84">
        <v>67</v>
      </c>
      <c r="M23" s="84">
        <v>70</v>
      </c>
      <c r="N23" s="78">
        <v>-80</v>
      </c>
      <c r="O23" s="84">
        <v>-81</v>
      </c>
      <c r="P23" s="84">
        <v>-81</v>
      </c>
      <c r="Q23" s="117">
        <f>IF(MAX(K23:M23)&gt;0,IF(MAX(K23:M23)&lt;0,0,TRUNC(MAX(K23:M23)/1)*1),"")</f>
        <v>70</v>
      </c>
      <c r="R23" s="67" t="str">
        <f>IF(MAX(N23:P23)&gt;0,IF(MAX(N23:P23)&lt;0,0,TRUNC(MAX(N23:P23)/1)*1),"")</f>
        <v/>
      </c>
      <c r="S23" s="85" t="str">
        <f>IF(Q23="","",IF(R23="","",IF(SUM(Q23:R23)=0,"",SUM(Q23:R23))))</f>
        <v/>
      </c>
      <c r="T23" s="68" t="str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/>
      </c>
      <c r="U23" s="76" t="str">
        <f>IF(AF23=1,T23*AI23,"")</f>
        <v/>
      </c>
      <c r="V23" s="69">
        <v>7.72</v>
      </c>
      <c r="W23" s="69">
        <v>13.87</v>
      </c>
      <c r="X23" s="69">
        <v>6.75</v>
      </c>
      <c r="Y23" s="77"/>
      <c r="Z23" s="72"/>
      <c r="AA23" s="70"/>
      <c r="AB23" s="71"/>
      <c r="AC23" s="91">
        <f>U5</f>
        <v>45451</v>
      </c>
      <c r="AD23" s="95" t="str">
        <f>IF(ISNUMBER(FIND("M",E23)),"m",IF(ISNUMBER(FIND("K",E23)),"k"))</f>
        <v>m</v>
      </c>
      <c r="AE23" s="108">
        <f>IF(OR(G23="",AC23=""),0,(YEAR(AC23)-YEAR(G23)))</f>
        <v>16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1.2138010333871656</v>
      </c>
    </row>
    <row r="24" spans="2:36" s="8" customFormat="1" ht="20.25" customHeight="1">
      <c r="B24" s="116"/>
      <c r="C24" s="72"/>
      <c r="D24" s="72"/>
      <c r="E24" s="72"/>
      <c r="F24" s="73"/>
      <c r="G24" s="74"/>
      <c r="H24" s="78"/>
      <c r="I24" s="75"/>
      <c r="J24" s="75"/>
      <c r="K24" s="129"/>
      <c r="L24" s="129"/>
      <c r="M24" s="129"/>
      <c r="N24" s="130"/>
      <c r="O24" s="130"/>
      <c r="P24" s="130"/>
      <c r="Q24" s="118"/>
      <c r="R24" s="72"/>
      <c r="S24" s="129" t="str">
        <f>IF(T23="","",T23*1.2)</f>
        <v/>
      </c>
      <c r="T24" s="129"/>
      <c r="U24" s="72"/>
      <c r="V24" s="72">
        <f>IF(V23&gt;0,V23*20,"")</f>
        <v>154.4</v>
      </c>
      <c r="W24" s="72">
        <f>IF(W23="","",(W23*10)*AJ23)</f>
        <v>168.35420333079986</v>
      </c>
      <c r="X24" s="76">
        <f>IF(ROUNDUP(X23,1)&gt;0,IF((80+(8-ROUNDUP(X23,1))*40)&lt;0,0,80+(8-ROUNDUP(X23,1))*40),"")</f>
        <v>128</v>
      </c>
      <c r="Y24" s="77">
        <f>IF(SUM(V24,W24,X24)&gt;0,SUM(V24,W24,X24),"")</f>
        <v>450.7542033307999</v>
      </c>
      <c r="Z24" s="82" t="str">
        <f>IF(AE23&gt;34,(IF(OR(S24="",V24="",W24="",X24=""),"",SUM(S24,V24,W24,X24))*AI23),IF(OR(S24="",V24="",W24="",X24=""),"", SUM(S24,V24,W24,X24)))</f>
        <v/>
      </c>
      <c r="AA24" s="78" t="s">
        <v>137</v>
      </c>
      <c r="AB24" s="79"/>
      <c r="AC24" s="91"/>
      <c r="AD24" s="1"/>
      <c r="AE24" s="93"/>
      <c r="AF24" s="34"/>
      <c r="AH24" s="36"/>
      <c r="AI24" s="36"/>
    </row>
    <row r="25" spans="2:36" s="8" customFormat="1" ht="20.25" customHeight="1">
      <c r="B25" s="115" t="s">
        <v>188</v>
      </c>
      <c r="C25" s="83" t="s">
        <v>124</v>
      </c>
      <c r="D25" s="82">
        <v>71.48</v>
      </c>
      <c r="E25" s="83" t="s">
        <v>120</v>
      </c>
      <c r="F25" s="120" t="s">
        <v>93</v>
      </c>
      <c r="G25" s="121">
        <v>40263</v>
      </c>
      <c r="H25" s="70">
        <v>9</v>
      </c>
      <c r="I25" s="122" t="s">
        <v>187</v>
      </c>
      <c r="J25" s="75" t="s">
        <v>166</v>
      </c>
      <c r="K25" s="78">
        <v>-60</v>
      </c>
      <c r="L25" s="84">
        <v>-60</v>
      </c>
      <c r="M25" s="84">
        <v>60</v>
      </c>
      <c r="N25" s="78">
        <v>70</v>
      </c>
      <c r="O25" s="84">
        <v>74</v>
      </c>
      <c r="P25" s="84">
        <v>-78</v>
      </c>
      <c r="Q25" s="117">
        <f>IF(MAX(K25:M25)&gt;0,IF(MAX(K25:M25)&lt;0,0,TRUNC(MAX(K25:M25)/1)*1),"")</f>
        <v>60</v>
      </c>
      <c r="R25" s="67">
        <f>IF(MAX(N25:P25)&gt;0,IF(MAX(N25:P25)&lt;0,0,TRUNC(MAX(N25:P25)/1)*1),"")</f>
        <v>74</v>
      </c>
      <c r="S25" s="85">
        <f>IF(Q25="","",IF(R25="","",IF(SUM(Q25:R25)=0,"",SUM(Q25:R25))))</f>
        <v>134</v>
      </c>
      <c r="T25" s="68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183.0007023698949</v>
      </c>
      <c r="U25" s="76" t="str">
        <f>IF(AF25=1,T25*AI25,"")</f>
        <v/>
      </c>
      <c r="V25" s="69">
        <v>7.37</v>
      </c>
      <c r="W25" s="69">
        <v>10.68</v>
      </c>
      <c r="X25" s="69">
        <v>6.56</v>
      </c>
      <c r="Y25" s="77"/>
      <c r="Z25" s="72"/>
      <c r="AA25" s="70"/>
      <c r="AB25" s="71"/>
      <c r="AC25" s="91">
        <f>U5</f>
        <v>45451</v>
      </c>
      <c r="AD25" s="95" t="str">
        <f>IF(ISNUMBER(FIND("M",E25)),"m",IF(ISNUMBER(FIND("K",E25)),"k"))</f>
        <v>m</v>
      </c>
      <c r="AE25" s="108">
        <f>IF(OR(G25="",AC25=""),0,(YEAR(AC25)-YEAR(G25)))</f>
        <v>14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">
        <f>IF(D25="","",IF(D25&gt;193.609,1,IF(D25&lt;32,10^(0.722762521*LOG10(32/193.609)^2),10^(0.722762521*LOG10(D25/193.609)^2))))</f>
        <v>1.3656768833574247</v>
      </c>
    </row>
    <row r="26" spans="2:36" s="8" customFormat="1" ht="20.25" customHeight="1">
      <c r="B26" s="116"/>
      <c r="C26" s="72"/>
      <c r="D26" s="72"/>
      <c r="E26" s="72"/>
      <c r="F26" s="73"/>
      <c r="G26" s="74"/>
      <c r="H26" s="78"/>
      <c r="I26" s="75"/>
      <c r="J26" s="75"/>
      <c r="K26" s="129"/>
      <c r="L26" s="129"/>
      <c r="M26" s="129"/>
      <c r="N26" s="130"/>
      <c r="O26" s="130"/>
      <c r="P26" s="130"/>
      <c r="Q26" s="118"/>
      <c r="R26" s="72"/>
      <c r="S26" s="129">
        <f>IF(T25="","",T25*1.2)</f>
        <v>219.60084284387386</v>
      </c>
      <c r="T26" s="129"/>
      <c r="U26" s="72"/>
      <c r="V26" s="72">
        <f>IF(V25&gt;0,V25*20,"")</f>
        <v>147.4</v>
      </c>
      <c r="W26" s="72">
        <f>IF(W25="","",(W25*10)*AJ25)</f>
        <v>145.85429114257295</v>
      </c>
      <c r="X26" s="76">
        <f>IF(ROUNDUP(X25,1)&gt;0,IF((80+(8-ROUNDUP(X25,1))*40)&lt;0,0,80+(8-ROUNDUP(X25,1))*40),"")</f>
        <v>136</v>
      </c>
      <c r="Y26" s="77">
        <f>IF(SUM(V26,W26,X26)&gt;0,SUM(V26,W26,X26),"")</f>
        <v>429.25429114257292</v>
      </c>
      <c r="Z26" s="82">
        <f>IF(AE25&gt;34,(IF(OR(S26="",V26="",W26="",X26=""),"",SUM(S26,V26,W26,X26))*AI25),IF(OR(S26="",V26="",W26="",X26=""),"", SUM(S26,V26,W26,X26)))</f>
        <v>648.85513398644684</v>
      </c>
      <c r="AA26" s="78">
        <v>1</v>
      </c>
      <c r="AB26" s="79"/>
      <c r="AC26" s="91"/>
      <c r="AD26" s="1"/>
      <c r="AE26" s="93"/>
      <c r="AF26" s="34"/>
      <c r="AH26" s="36"/>
      <c r="AI26" s="36"/>
    </row>
    <row r="27" spans="2:36" s="8" customFormat="1" ht="20.25" customHeight="1">
      <c r="B27" s="115" t="s">
        <v>190</v>
      </c>
      <c r="C27" s="120" t="s">
        <v>144</v>
      </c>
      <c r="D27" s="82">
        <v>139.84</v>
      </c>
      <c r="E27" s="83" t="s">
        <v>122</v>
      </c>
      <c r="F27" s="120" t="s">
        <v>83</v>
      </c>
      <c r="G27" s="121">
        <v>37061</v>
      </c>
      <c r="H27" s="70">
        <v>10</v>
      </c>
      <c r="I27" s="122" t="s">
        <v>189</v>
      </c>
      <c r="J27" s="75" t="s">
        <v>156</v>
      </c>
      <c r="K27" s="78">
        <v>135</v>
      </c>
      <c r="L27" s="84">
        <v>140</v>
      </c>
      <c r="M27" s="84">
        <v>145</v>
      </c>
      <c r="N27" s="78">
        <v>170</v>
      </c>
      <c r="O27" s="84">
        <v>180</v>
      </c>
      <c r="P27" s="84">
        <v>185</v>
      </c>
      <c r="Q27" s="117">
        <f>IF(MAX(K27:M27)&gt;0,IF(MAX(K27:M27)&lt;0,0,TRUNC(MAX(K27:M27)/1)*1),"")</f>
        <v>145</v>
      </c>
      <c r="R27" s="67">
        <f>IF(MAX(N27:P27)&gt;0,IF(MAX(N27:P27)&lt;0,0,TRUNC(MAX(N27:P27)/1)*1),"")</f>
        <v>185</v>
      </c>
      <c r="S27" s="85">
        <f>IF(Q27="","",IF(R27="","",IF(SUM(Q27:R27)=0,"",SUM(Q27:R27))))</f>
        <v>330</v>
      </c>
      <c r="T27" s="68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341.14828523930066</v>
      </c>
      <c r="U27" s="76" t="str">
        <f>IF(AF27=1,T27*AI27,"")</f>
        <v/>
      </c>
      <c r="V27" s="69"/>
      <c r="W27" s="69"/>
      <c r="X27" s="69"/>
      <c r="Y27" s="77"/>
      <c r="Z27" s="72"/>
      <c r="AA27" s="70"/>
      <c r="AB27" s="71"/>
      <c r="AC27" s="91">
        <f>U5</f>
        <v>45451</v>
      </c>
      <c r="AD27" s="95" t="str">
        <f>IF(ISNUMBER(FIND("M",E27)),"m",IF(ISNUMBER(FIND("K",E27)),"k"))</f>
        <v>m</v>
      </c>
      <c r="AE27" s="108">
        <f>IF(OR(G27="",AC27=""),0,(YEAR(AC27)-YEAR(G27)))</f>
        <v>23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">
        <f>IF(D27="","",IF(D27&gt;193.609,1,IF(D27&lt;32,10^(0.722762521*LOG10(32/193.609)^2),10^(0.722762521*LOG10(D27/193.609)^2))))</f>
        <v>1.0337826825433354</v>
      </c>
    </row>
    <row r="28" spans="2:36" s="8" customFormat="1" ht="20.25" customHeight="1">
      <c r="B28" s="116"/>
      <c r="C28" s="72"/>
      <c r="D28" s="72"/>
      <c r="E28" s="72"/>
      <c r="F28" s="73"/>
      <c r="G28" s="74"/>
      <c r="H28" s="78"/>
      <c r="I28" s="75"/>
      <c r="J28" s="75"/>
      <c r="K28" s="129"/>
      <c r="L28" s="129"/>
      <c r="M28" s="129"/>
      <c r="N28" s="130"/>
      <c r="O28" s="130"/>
      <c r="P28" s="130"/>
      <c r="Q28" s="118"/>
      <c r="R28" s="72"/>
      <c r="S28" s="129">
        <f>IF(T27="","",T27*1.2)</f>
        <v>409.37794228716081</v>
      </c>
      <c r="T28" s="129"/>
      <c r="U28" s="72"/>
      <c r="V28" s="72" t="str">
        <f>IF(V27&gt;0,V27*20,"")</f>
        <v/>
      </c>
      <c r="W28" s="72" t="str">
        <f>IF(W27="","",(W27*10)*AJ27)</f>
        <v/>
      </c>
      <c r="X28" s="76" t="str">
        <f>IF(ROUNDUP(X27,1)&gt;0,IF((80+(8-ROUNDUP(X27,1))*40)&lt;0,0,80+(8-ROUNDUP(X27,1))*40),"")</f>
        <v/>
      </c>
      <c r="Y28" s="77" t="str">
        <f>IF(SUM(V28,W28,X28)&gt;0,SUM(V28,W28,X28),"")</f>
        <v/>
      </c>
      <c r="Z28" s="82" t="str">
        <f>IF(AE27&gt;34,(IF(OR(S28="",V28="",W28="",X28=""),"",SUM(S28,V28,W28,X28))*AI27),IF(OR(S28="",V28="",W28="",X28=""),"", SUM(S28,V28,W28,X28)))</f>
        <v/>
      </c>
      <c r="AA28" s="85"/>
      <c r="AC28" s="91"/>
      <c r="AD28" s="1"/>
      <c r="AE28" s="93"/>
      <c r="AF28" s="34"/>
      <c r="AH28" s="36"/>
      <c r="AI28" s="36"/>
    </row>
    <row r="29" spans="2:36" s="8" customFormat="1" ht="20.25" customHeight="1">
      <c r="B29" s="115"/>
      <c r="C29" s="83"/>
      <c r="D29" s="82"/>
      <c r="E29" s="83"/>
      <c r="F29" s="120"/>
      <c r="G29" s="121"/>
      <c r="H29" s="70"/>
      <c r="I29" s="122"/>
      <c r="J29" s="75"/>
      <c r="K29" s="78"/>
      <c r="L29" s="84"/>
      <c r="M29" s="84"/>
      <c r="N29" s="78"/>
      <c r="O29" s="84"/>
      <c r="P29" s="84"/>
      <c r="Q29" s="117" t="str">
        <f>IF(MAX(K29:M29)&gt;0,IF(MAX(K29:M29)&lt;0,0,TRUNC(MAX(K29:M29)/1)*1),"")</f>
        <v/>
      </c>
      <c r="R29" s="67" t="str">
        <f>IF(MAX(N29:P29)&gt;0,IF(MAX(N29:P29)&lt;0,0,TRUNC(MAX(N29:P29)/1)*1),"")</f>
        <v/>
      </c>
      <c r="S29" s="85" t="str">
        <f>IF(Q29="","",IF(R29="","",IF(SUM(Q29:R29)=0,"",SUM(Q29:R29))))</f>
        <v/>
      </c>
      <c r="T29" s="68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76" t="str">
        <f>IF(AF29=1,T29*AI29,"")</f>
        <v/>
      </c>
      <c r="V29" s="69"/>
      <c r="W29" s="69"/>
      <c r="X29" s="69"/>
      <c r="Y29" s="77"/>
      <c r="Z29" s="72"/>
      <c r="AA29" s="70"/>
      <c r="AB29" s="71"/>
      <c r="AC29" s="91">
        <f>U5</f>
        <v>45451</v>
      </c>
      <c r="AD29" s="95" t="b">
        <f>IF(ISNUMBER(FIND("M",E29)),"m",IF(ISNUMBER(FIND("K",E29)),"k"))</f>
        <v>0</v>
      </c>
      <c r="AE29" s="108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.25" customHeight="1">
      <c r="B30" s="116"/>
      <c r="C30" s="65"/>
      <c r="D30" s="72"/>
      <c r="E30" s="73"/>
      <c r="F30" s="73"/>
      <c r="G30" s="92"/>
      <c r="H30" s="74"/>
      <c r="I30" s="75"/>
      <c r="J30" s="75"/>
      <c r="K30" s="181"/>
      <c r="L30" s="182"/>
      <c r="M30" s="183"/>
      <c r="N30" s="181"/>
      <c r="O30" s="182"/>
      <c r="P30" s="183"/>
      <c r="Q30" s="118"/>
      <c r="R30" s="72"/>
      <c r="S30" s="129" t="str">
        <f>IF(T29="","",T29*1.2)</f>
        <v/>
      </c>
      <c r="T30" s="129"/>
      <c r="U30" s="72"/>
      <c r="V30" s="72" t="str">
        <f>IF(V29&gt;0,V29*20,"")</f>
        <v/>
      </c>
      <c r="W30" s="72" t="str">
        <f>IF(W29="","",(W29*10)*AJ29)</f>
        <v/>
      </c>
      <c r="X30" s="76" t="str">
        <f>IF(ROUNDUP(X29,1)&gt;0,IF((80+(8-ROUNDUP(X29,1))*40)&lt;0,0,80+(8-ROUNDUP(X29,1))*40),"")</f>
        <v/>
      </c>
      <c r="Y30" s="77" t="str">
        <f>IF(SUM(V30,W30,X30)&gt;0,SUM(V30,W30,X30),"")</f>
        <v/>
      </c>
      <c r="Z30" s="82" t="str">
        <f>IF(AE29&gt;34,(IF(OR(S30="",V30="",W30="",X30=""),"",SUM(S30,V30,W30,X30))*AI29),IF(OR(S30="",V30="",W30="",X30=""),"", SUM(S30,V30,W30,X30)))</f>
        <v/>
      </c>
      <c r="AA30" s="78"/>
      <c r="AB30" s="79"/>
      <c r="AC30" s="91"/>
      <c r="AD30" s="1"/>
      <c r="AE30" s="93"/>
      <c r="AF30" s="34"/>
      <c r="AH30" s="36"/>
      <c r="AI30" s="36"/>
    </row>
    <row r="31" spans="2:36" s="8" customFormat="1" ht="20.25" customHeight="1">
      <c r="B31" s="115"/>
      <c r="C31" s="109"/>
      <c r="D31" s="82"/>
      <c r="E31" s="111"/>
      <c r="F31" s="110"/>
      <c r="G31" s="88"/>
      <c r="H31" s="83"/>
      <c r="I31" s="75" t="s">
        <v>13</v>
      </c>
      <c r="J31" s="75"/>
      <c r="K31" s="66"/>
      <c r="L31" s="89"/>
      <c r="M31" s="89"/>
      <c r="N31" s="89"/>
      <c r="O31" s="90"/>
      <c r="P31" s="90"/>
      <c r="Q31" s="117" t="str">
        <f>IF(MAX(K31:M31)&gt;0,IF(MAX(K31:M31)&lt;0,0,TRUNC(MAX(K31:M31)/1)*1),"")</f>
        <v/>
      </c>
      <c r="R31" s="67" t="str">
        <f>IF(MAX(N31:P31)&gt;0,IF(MAX(N31:P31)&lt;0,0,TRUNC(MAX(N31:P31)/1)*1),"")</f>
        <v/>
      </c>
      <c r="S31" s="85" t="str">
        <f>IF(Q31="","",IF(R31="","",IF(SUM(Q31:R31)=0,"",SUM(Q31:R31))))</f>
        <v/>
      </c>
      <c r="T31" s="68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76" t="str">
        <f>IF(AF31=1,T31*AI31,"")</f>
        <v/>
      </c>
      <c r="V31" s="80"/>
      <c r="W31" s="80"/>
      <c r="X31" s="81"/>
      <c r="Y31" s="77"/>
      <c r="Z31" s="72"/>
      <c r="AA31" s="70"/>
      <c r="AB31" s="71"/>
      <c r="AC31" s="91">
        <f>U5</f>
        <v>45451</v>
      </c>
      <c r="AD31" s="95" t="b">
        <f>IF(ISNUMBER(FIND("M",E31)),"m",IF(ISNUMBER(FIND("K",E31)),"k"))</f>
        <v>0</v>
      </c>
      <c r="AE31" s="108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.25" customHeight="1">
      <c r="B32" s="116"/>
      <c r="C32" s="65"/>
      <c r="D32" s="72"/>
      <c r="E32" s="73"/>
      <c r="F32" s="73"/>
      <c r="G32" s="92"/>
      <c r="H32" s="74"/>
      <c r="I32" s="75"/>
      <c r="J32" s="75"/>
      <c r="K32" s="130"/>
      <c r="L32" s="130"/>
      <c r="M32" s="130"/>
      <c r="N32" s="130"/>
      <c r="O32" s="130"/>
      <c r="P32" s="130"/>
      <c r="Q32" s="118"/>
      <c r="R32" s="72"/>
      <c r="S32" s="129" t="str">
        <f>IF(T31="","",T31*1.2)</f>
        <v/>
      </c>
      <c r="T32" s="129"/>
      <c r="U32" s="72"/>
      <c r="V32" s="72" t="str">
        <f>IF(V31&gt;0,V31*20,"")</f>
        <v/>
      </c>
      <c r="W32" s="72" t="str">
        <f>IF(W31="","",(W31*10)*AJ31)</f>
        <v/>
      </c>
      <c r="X32" s="76" t="str">
        <f>IF(ROUNDUP(X31,1)&gt;0,IF((80+(8-ROUNDUP(X31,1))*40)&lt;0,0,80+(8-ROUNDUP(X31,1))*40),"")</f>
        <v/>
      </c>
      <c r="Y32" s="77" t="str">
        <f>IF(SUM(V32,W32,X32)&gt;0,SUM(V32,W32,X32),"")</f>
        <v/>
      </c>
      <c r="Z32" s="82" t="str">
        <f>IF(AE31&gt;34,(IF(OR(S32="",V32="",W32="",X32=""),"",SUM(S32,V32,W32,X32))*AI31),IF(OR(S32="",V32="",W32="",X32=""),"", SUM(S32,V32,W32,X32)))</f>
        <v/>
      </c>
      <c r="AA32" s="78"/>
      <c r="AB32" s="79"/>
      <c r="AC32" s="91"/>
      <c r="AD32" s="1"/>
      <c r="AE32" s="93"/>
      <c r="AF32" s="34"/>
      <c r="AH32" s="36"/>
      <c r="AI32" s="36"/>
    </row>
    <row r="33" spans="2:35" s="6" customFormat="1" ht="19.25" customHeight="1">
      <c r="D33" s="102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102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25" customHeight="1">
      <c r="B35" s="133" t="s">
        <v>34</v>
      </c>
      <c r="C35" s="134"/>
      <c r="D35" s="103" t="s">
        <v>33</v>
      </c>
      <c r="E35" s="133" t="s">
        <v>4</v>
      </c>
      <c r="F35" s="139"/>
      <c r="G35" s="139"/>
      <c r="H35" s="134"/>
      <c r="I35" s="50" t="s">
        <v>43</v>
      </c>
      <c r="J35" s="21"/>
      <c r="K35" s="133" t="s">
        <v>34</v>
      </c>
      <c r="L35" s="139"/>
      <c r="M35" s="134"/>
      <c r="N35" s="53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25" customHeight="1">
      <c r="B36" s="135" t="s">
        <v>41</v>
      </c>
      <c r="C36" s="136"/>
      <c r="D36" s="104">
        <v>1957001</v>
      </c>
      <c r="E36" s="140" t="s">
        <v>146</v>
      </c>
      <c r="F36" s="141"/>
      <c r="G36" s="141"/>
      <c r="H36" s="136"/>
      <c r="I36" s="49" t="s">
        <v>156</v>
      </c>
      <c r="J36" s="4"/>
      <c r="K36" s="135" t="s">
        <v>36</v>
      </c>
      <c r="L36" s="141"/>
      <c r="M36" s="136"/>
      <c r="N36" s="126">
        <v>1957001</v>
      </c>
      <c r="O36" s="151" t="s">
        <v>146</v>
      </c>
      <c r="P36" s="152"/>
      <c r="Q36" s="152"/>
      <c r="R36" s="153"/>
      <c r="S36" s="151" t="s">
        <v>156</v>
      </c>
      <c r="T36" s="180"/>
      <c r="AF36" s="1"/>
      <c r="AH36" s="35"/>
      <c r="AI36" s="35"/>
    </row>
    <row r="37" spans="2:35" s="5" customFormat="1" ht="21" customHeight="1">
      <c r="B37" s="137" t="s">
        <v>37</v>
      </c>
      <c r="C37" s="138"/>
      <c r="D37" s="105">
        <v>1996021</v>
      </c>
      <c r="E37" s="142" t="s">
        <v>154</v>
      </c>
      <c r="F37" s="143"/>
      <c r="G37" s="143"/>
      <c r="H37" s="138"/>
      <c r="I37" s="47" t="s">
        <v>207</v>
      </c>
      <c r="J37" s="4"/>
      <c r="K37" s="137" t="s">
        <v>39</v>
      </c>
      <c r="L37" s="143"/>
      <c r="M37" s="138"/>
      <c r="N37" s="51">
        <v>1994013</v>
      </c>
      <c r="O37" s="131" t="s">
        <v>155</v>
      </c>
      <c r="P37" s="154"/>
      <c r="Q37" s="154"/>
      <c r="R37" s="155"/>
      <c r="S37" s="131" t="s">
        <v>156</v>
      </c>
      <c r="T37" s="132"/>
      <c r="AH37" s="35"/>
      <c r="AI37" s="35"/>
    </row>
    <row r="38" spans="2:35" s="5" customFormat="1" ht="19.25" customHeight="1">
      <c r="B38" s="137" t="s">
        <v>37</v>
      </c>
      <c r="C38" s="138"/>
      <c r="D38" s="105">
        <v>2005024</v>
      </c>
      <c r="E38" s="142" t="s">
        <v>148</v>
      </c>
      <c r="F38" s="143"/>
      <c r="G38" s="143"/>
      <c r="H38" s="138"/>
      <c r="I38" s="47" t="s">
        <v>156</v>
      </c>
      <c r="J38" s="4"/>
      <c r="K38" s="137" t="s">
        <v>38</v>
      </c>
      <c r="L38" s="143"/>
      <c r="M38" s="138"/>
      <c r="N38" s="51"/>
      <c r="O38" s="131"/>
      <c r="P38" s="154"/>
      <c r="Q38" s="154"/>
      <c r="R38" s="155"/>
      <c r="S38" s="131"/>
      <c r="T38" s="132"/>
      <c r="V38" s="5" t="s">
        <v>55</v>
      </c>
      <c r="AH38" s="35"/>
      <c r="AI38" s="35"/>
    </row>
    <row r="39" spans="2:35" s="5" customFormat="1" ht="21" customHeight="1">
      <c r="B39" s="137" t="s">
        <v>37</v>
      </c>
      <c r="C39" s="138"/>
      <c r="D39" s="105">
        <v>1979013</v>
      </c>
      <c r="E39" s="142" t="s">
        <v>149</v>
      </c>
      <c r="F39" s="143"/>
      <c r="G39" s="143"/>
      <c r="H39" s="138"/>
      <c r="I39" s="47" t="s">
        <v>156</v>
      </c>
      <c r="J39" s="4"/>
      <c r="K39" s="137" t="s">
        <v>35</v>
      </c>
      <c r="L39" s="143"/>
      <c r="M39" s="138"/>
      <c r="N39" s="51"/>
      <c r="O39" s="131"/>
      <c r="P39" s="154"/>
      <c r="Q39" s="154"/>
      <c r="R39" s="155"/>
      <c r="S39" s="131"/>
      <c r="T39" s="132"/>
      <c r="AD39" s="5" t="s">
        <v>13</v>
      </c>
      <c r="AH39" s="35"/>
      <c r="AI39" s="35"/>
    </row>
    <row r="40" spans="2:35" s="5" customFormat="1" ht="20.25" customHeight="1">
      <c r="B40" s="137" t="s">
        <v>37</v>
      </c>
      <c r="C40" s="138"/>
      <c r="D40" s="105"/>
      <c r="E40" s="142"/>
      <c r="F40" s="143"/>
      <c r="G40" s="143"/>
      <c r="H40" s="138"/>
      <c r="I40" s="47"/>
      <c r="J40" s="4"/>
      <c r="K40" s="137" t="s">
        <v>35</v>
      </c>
      <c r="L40" s="143"/>
      <c r="M40" s="138"/>
      <c r="N40" s="51"/>
      <c r="O40" s="131"/>
      <c r="P40" s="154"/>
      <c r="Q40" s="154"/>
      <c r="R40" s="155"/>
      <c r="S40" s="131"/>
      <c r="T40" s="132"/>
      <c r="AH40" s="35"/>
      <c r="AI40" s="35"/>
    </row>
    <row r="41" spans="2:35" ht="19.25" customHeight="1">
      <c r="B41" s="137" t="s">
        <v>37</v>
      </c>
      <c r="C41" s="138"/>
      <c r="D41" s="105"/>
      <c r="E41" s="142"/>
      <c r="F41" s="143"/>
      <c r="G41" s="143"/>
      <c r="H41" s="138"/>
      <c r="I41" s="47"/>
      <c r="J41" s="3"/>
      <c r="K41" s="137" t="s">
        <v>35</v>
      </c>
      <c r="L41" s="143"/>
      <c r="M41" s="138"/>
      <c r="N41" s="51"/>
      <c r="O41" s="131"/>
      <c r="P41" s="154"/>
      <c r="Q41" s="154"/>
      <c r="R41" s="155"/>
      <c r="S41" s="131"/>
      <c r="T41" s="132"/>
      <c r="U41" s="3"/>
      <c r="V41" s="3"/>
      <c r="W41" s="3"/>
      <c r="X41" s="3"/>
      <c r="Y41" s="3"/>
      <c r="Z41" s="3"/>
      <c r="AA41" s="3"/>
      <c r="AB41" s="3"/>
    </row>
    <row r="42" spans="2:35" ht="20.25" customHeight="1">
      <c r="B42" s="137" t="s">
        <v>40</v>
      </c>
      <c r="C42" s="138"/>
      <c r="D42" s="105">
        <v>1999026</v>
      </c>
      <c r="E42" s="142" t="s">
        <v>205</v>
      </c>
      <c r="F42" s="143"/>
      <c r="G42" s="143"/>
      <c r="H42" s="138"/>
      <c r="I42" s="47" t="s">
        <v>156</v>
      </c>
      <c r="J42" s="3"/>
      <c r="K42" s="137" t="s">
        <v>56</v>
      </c>
      <c r="L42" s="143"/>
      <c r="M42" s="138"/>
      <c r="N42" s="51">
        <v>1994013</v>
      </c>
      <c r="O42" s="131" t="s">
        <v>160</v>
      </c>
      <c r="P42" s="154"/>
      <c r="Q42" s="154"/>
      <c r="R42" s="155"/>
      <c r="S42" s="131" t="s">
        <v>156</v>
      </c>
      <c r="T42" s="132"/>
      <c r="U42" s="3"/>
      <c r="V42" s="3"/>
      <c r="W42" s="3"/>
      <c r="X42" s="3"/>
      <c r="Y42" s="3"/>
      <c r="Z42" s="3"/>
      <c r="AA42" s="3"/>
      <c r="AB42" s="3"/>
    </row>
    <row r="43" spans="2:35" ht="20.25" customHeight="1">
      <c r="B43" s="145"/>
      <c r="C43" s="147"/>
      <c r="D43" s="106"/>
      <c r="E43" s="176"/>
      <c r="F43" s="146"/>
      <c r="G43" s="146"/>
      <c r="H43" s="147"/>
      <c r="I43" s="48"/>
      <c r="J43" s="3"/>
      <c r="K43" s="145"/>
      <c r="L43" s="146"/>
      <c r="M43" s="147"/>
      <c r="N43" s="52"/>
      <c r="O43" s="171"/>
      <c r="P43" s="172"/>
      <c r="Q43" s="172"/>
      <c r="R43" s="173"/>
      <c r="S43" s="171"/>
      <c r="T43" s="174"/>
      <c r="U43" s="3"/>
      <c r="V43" s="3"/>
      <c r="W43" s="3"/>
      <c r="X43" s="3"/>
      <c r="Y43" s="3"/>
      <c r="Z43" s="3"/>
      <c r="AA43" s="3"/>
      <c r="AB43" s="3"/>
    </row>
    <row r="44" spans="2:35" ht="19.25" customHeight="1">
      <c r="B44" s="178"/>
      <c r="C44" s="178"/>
      <c r="D44" s="144"/>
      <c r="E44" s="144"/>
      <c r="F44" s="55"/>
      <c r="G44" s="144"/>
      <c r="H44" s="144"/>
      <c r="I44" s="144"/>
      <c r="J44" s="3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7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100"/>
      <c r="E47" s="46"/>
      <c r="F47" s="46"/>
      <c r="G47" s="100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107"/>
      <c r="E48" s="13"/>
      <c r="F48" s="13"/>
      <c r="G48" s="101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75"/>
      <c r="F50" s="175"/>
      <c r="G50" s="175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31">
    <cfRule type="cellIs" dxfId="77" priority="24" stopIfTrue="1" operator="lessThanOrEqual">
      <formula>0</formula>
    </cfRule>
    <cfRule type="cellIs" dxfId="76" priority="23" stopIfTrue="1" operator="between">
      <formula>1</formula>
      <formula>300</formula>
    </cfRule>
  </conditionalFormatting>
  <conditionalFormatting sqref="K9:P9">
    <cfRule type="cellIs" dxfId="75" priority="18" stopIfTrue="1" operator="lessThanOrEqual">
      <formula>0</formula>
    </cfRule>
    <cfRule type="cellIs" dxfId="74" priority="17" stopIfTrue="1" operator="between">
      <formula>1</formula>
      <formula>300</formula>
    </cfRule>
  </conditionalFormatting>
  <conditionalFormatting sqref="K11:P11">
    <cfRule type="cellIs" dxfId="73" priority="5" stopIfTrue="1" operator="between">
      <formula>1</formula>
      <formula>300</formula>
    </cfRule>
    <cfRule type="cellIs" dxfId="72" priority="6" stopIfTrue="1" operator="lessThanOrEqual">
      <formula>0</formula>
    </cfRule>
  </conditionalFormatting>
  <conditionalFormatting sqref="K13:P1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K15:P15">
    <cfRule type="cellIs" dxfId="69" priority="15" stopIfTrue="1" operator="between">
      <formula>1</formula>
      <formula>300</formula>
    </cfRule>
    <cfRule type="cellIs" dxfId="68" priority="16" stopIfTrue="1" operator="lessThanOrEqual">
      <formula>0</formula>
    </cfRule>
  </conditionalFormatting>
  <conditionalFormatting sqref="K17:P17">
    <cfRule type="cellIs" dxfId="67" priority="19" stopIfTrue="1" operator="between">
      <formula>1</formula>
      <formula>300</formula>
    </cfRule>
    <cfRule type="cellIs" dxfId="66" priority="20" stopIfTrue="1" operator="lessThanOrEqual">
      <formula>0</formula>
    </cfRule>
  </conditionalFormatting>
  <conditionalFormatting sqref="K19:P19">
    <cfRule type="cellIs" dxfId="65" priority="10" stopIfTrue="1" operator="lessThanOrEqual">
      <formula>0</formula>
    </cfRule>
    <cfRule type="cellIs" dxfId="64" priority="9" stopIfTrue="1" operator="between">
      <formula>1</formula>
      <formula>300</formula>
    </cfRule>
  </conditionalFormatting>
  <conditionalFormatting sqref="K21:P21">
    <cfRule type="cellIs" dxfId="63" priority="11" stopIfTrue="1" operator="between">
      <formula>1</formula>
      <formula>300</formula>
    </cfRule>
    <cfRule type="cellIs" dxfId="62" priority="12" stopIfTrue="1" operator="lessThanOrEqual">
      <formula>0</formula>
    </cfRule>
  </conditionalFormatting>
  <conditionalFormatting sqref="K23:P23">
    <cfRule type="cellIs" dxfId="61" priority="13" stopIfTrue="1" operator="between">
      <formula>1</formula>
      <formula>300</formula>
    </cfRule>
    <cfRule type="cellIs" dxfId="60" priority="14" stopIfTrue="1" operator="lessThanOrEqual">
      <formula>0</formula>
    </cfRule>
  </conditionalFormatting>
  <conditionalFormatting sqref="K25:P25">
    <cfRule type="cellIs" dxfId="59" priority="21" stopIfTrue="1" operator="between">
      <formula>1</formula>
      <formula>300</formula>
    </cfRule>
    <cfRule type="cellIs" dxfId="58" priority="22" stopIfTrue="1" operator="lessThanOrEqual">
      <formula>0</formula>
    </cfRule>
  </conditionalFormatting>
  <conditionalFormatting sqref="K27:P27">
    <cfRule type="cellIs" dxfId="57" priority="1" stopIfTrue="1" operator="between">
      <formula>1</formula>
      <formula>300</formula>
    </cfRule>
    <cfRule type="cellIs" dxfId="56" priority="2" stopIfTrue="1" operator="lessThanOrEqual">
      <formula>0</formula>
    </cfRule>
  </conditionalFormatting>
  <conditionalFormatting sqref="K29:P29">
    <cfRule type="cellIs" dxfId="55" priority="4" stopIfTrue="1" operator="lessThanOrEqual">
      <formula>0</formula>
    </cfRule>
    <cfRule type="cellIs" dxfId="54" priority="3" stopIfTrue="1" operator="between">
      <formula>1</formula>
      <formula>300</formula>
    </cfRule>
  </conditionalFormatting>
  <conditionalFormatting sqref="L31:N31">
    <cfRule type="cellIs" dxfId="53" priority="25" stopIfTrue="1" operator="between">
      <formula>1</formula>
      <formula>300</formula>
    </cfRule>
    <cfRule type="cellIs" dxfId="52" priority="26" stopIfTrue="1" operator="lessThanOrEqual">
      <formula>0</formula>
    </cfRule>
  </conditionalFormatting>
  <dataValidations count="5">
    <dataValidation type="list" allowBlank="1" showInputMessage="1" showErrorMessage="1" sqref="F9 F11 F31 F15 F17 F19 F21 F23 F25 F13 F27 F29" xr:uid="{A39AD290-9E1F-4296-9D82-EB8385ABD311}">
      <formula1>"11-12,13-14,15-16,17-18,19-23,24-34,+35"</formula1>
    </dataValidation>
    <dataValidation type="list" allowBlank="1" showInputMessage="1" showErrorMessage="1" sqref="E9 E11 E31 E15 E17 E19 E21 E23 E25 E13 E27 E29" xr:uid="{F274C7A0-F28D-4639-A352-35FDEF3BC984}">
      <formula1>"UM,JM,SM,UK,JK,SK,M35,M40,M45,M50,M55,M60,M65,M70,M75,M80,M85,M90,K35,K40,K45,K50,K55,K60,K65,K70,K75,K80,K85,K90"</formula1>
    </dataValidation>
    <dataValidation type="list" allowBlank="1" showInputMessage="1" showErrorMessage="1" sqref="C9 C11 C31 C15 C17 C19 C21 C23 C25 C13 C27 C29" xr:uid="{2A856573-2E9F-4F46-B22C-2DFC2E000D7E}">
      <formula1>"40,45,49,55,59,64,71,76,81,+81,87,+87,49,55,61,67,73,81,89,96,102,+102,109,+109"</formula1>
    </dataValidation>
    <dataValidation type="list" allowBlank="1" showInputMessage="1" showErrorMessage="1" sqref="D5:I5" xr:uid="{9E1DA3CD-48A9-4239-AF52-C735B182B991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3141E3D6-C9AF-40AA-AB52-6558786FF14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FAE5-EF8F-4511-8EFD-06293F6C2618}">
  <sheetPr>
    <pageSetUpPr autoPageBreaks="0" fitToPage="1"/>
  </sheetPr>
  <dimension ref="A1:AJ50"/>
  <sheetViews>
    <sheetView showGridLines="0" showRowColHeaders="0" showZeros="0" showOutlineSymbols="0" topLeftCell="A30" zoomScaleNormal="100" zoomScaleSheetLayoutView="75" zoomScalePageLayoutView="120" workbookViewId="0">
      <selection activeCell="B9" sqref="B9"/>
    </sheetView>
  </sheetViews>
  <sheetFormatPr baseColWidth="10" defaultColWidth="9.19921875" defaultRowHeight="13"/>
  <cols>
    <col min="1" max="1" width="4.19921875" style="3" customWidth="1"/>
    <col min="2" max="2" width="10.19921875" style="3" bestFit="1" customWidth="1"/>
    <col min="3" max="3" width="6.19921875" style="1" customWidth="1"/>
    <col min="4" max="4" width="8.796875" style="1" customWidth="1"/>
    <col min="5" max="6" width="6.19921875" style="16" customWidth="1"/>
    <col min="7" max="7" width="10.796875" style="1" customWidth="1"/>
    <col min="8" max="8" width="3.796875" style="1" customWidth="1"/>
    <col min="9" max="9" width="27.796875" style="4" customWidth="1"/>
    <col min="10" max="10" width="19.796875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19921875" style="17" customWidth="1"/>
    <col min="28" max="28" width="5.796875" style="17" customWidth="1"/>
    <col min="29" max="29" width="9.79687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16384" width="9.19921875" style="3"/>
  </cols>
  <sheetData>
    <row r="1" spans="1:36" customFormat="1" ht="19.25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66" t="s">
        <v>58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5"/>
      <c r="T2" s="15"/>
      <c r="U2" s="112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113"/>
      <c r="F3" s="15"/>
      <c r="G3" s="167" t="s">
        <v>21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14" t="s">
        <v>60</v>
      </c>
      <c r="T3" s="114"/>
      <c r="U3" s="114"/>
      <c r="V3" s="114"/>
      <c r="W3" s="114"/>
      <c r="X3" s="114"/>
      <c r="Y3" s="114"/>
      <c r="Z3" s="114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59" t="s">
        <v>152</v>
      </c>
      <c r="E5" s="159"/>
      <c r="F5" s="159"/>
      <c r="G5" s="159"/>
      <c r="H5" s="159"/>
      <c r="I5" s="159"/>
      <c r="J5" s="24" t="s">
        <v>0</v>
      </c>
      <c r="K5" s="159" t="s">
        <v>156</v>
      </c>
      <c r="L5" s="159"/>
      <c r="M5" s="159"/>
      <c r="N5" s="159"/>
      <c r="O5" s="24" t="s">
        <v>1</v>
      </c>
      <c r="P5" s="158" t="s">
        <v>153</v>
      </c>
      <c r="Q5" s="158"/>
      <c r="R5" s="158"/>
      <c r="S5" s="158"/>
      <c r="T5" s="24" t="s">
        <v>2</v>
      </c>
      <c r="U5" s="128">
        <v>45451</v>
      </c>
      <c r="V5" s="128"/>
      <c r="W5" s="54"/>
      <c r="X5" s="54"/>
      <c r="Y5" s="54"/>
      <c r="Z5" s="25" t="s">
        <v>15</v>
      </c>
      <c r="AA5" s="25"/>
      <c r="AB5" s="26">
        <v>3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9" t="s">
        <v>57</v>
      </c>
    </row>
    <row r="7" spans="1:36" s="1" customFormat="1">
      <c r="B7" s="156" t="s">
        <v>33</v>
      </c>
      <c r="C7" s="160" t="s">
        <v>53</v>
      </c>
      <c r="D7" s="160" t="s">
        <v>52</v>
      </c>
      <c r="E7" s="162" t="s">
        <v>54</v>
      </c>
      <c r="F7" s="164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6" t="s">
        <v>9</v>
      </c>
      <c r="V7" s="62" t="s">
        <v>45</v>
      </c>
      <c r="W7" s="62" t="s">
        <v>46</v>
      </c>
      <c r="X7" s="62" t="s">
        <v>47</v>
      </c>
      <c r="Y7" s="97" t="s">
        <v>48</v>
      </c>
      <c r="Z7" s="98" t="s">
        <v>44</v>
      </c>
      <c r="AA7" s="99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9"/>
    </row>
    <row r="8" spans="1:36" s="1" customFormat="1">
      <c r="B8" s="157"/>
      <c r="C8" s="161"/>
      <c r="D8" s="161"/>
      <c r="E8" s="163"/>
      <c r="F8" s="165"/>
      <c r="G8" s="56" t="s">
        <v>14</v>
      </c>
      <c r="H8" s="56" t="s">
        <v>20</v>
      </c>
      <c r="I8" s="56"/>
      <c r="J8" s="56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49</v>
      </c>
      <c r="Z8" s="64" t="s">
        <v>50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25" customHeight="1">
      <c r="B9" s="127">
        <v>2005006</v>
      </c>
      <c r="C9" s="83" t="s">
        <v>123</v>
      </c>
      <c r="D9" s="82">
        <v>80.08</v>
      </c>
      <c r="E9" s="83" t="s">
        <v>117</v>
      </c>
      <c r="F9" s="120" t="s">
        <v>83</v>
      </c>
      <c r="G9" s="121">
        <v>38610</v>
      </c>
      <c r="H9" s="70">
        <v>1</v>
      </c>
      <c r="I9" s="122" t="s">
        <v>195</v>
      </c>
      <c r="J9" s="75" t="s">
        <v>156</v>
      </c>
      <c r="K9" s="78">
        <v>40</v>
      </c>
      <c r="L9" s="84">
        <v>45</v>
      </c>
      <c r="M9" s="84">
        <v>50</v>
      </c>
      <c r="N9" s="78">
        <v>55</v>
      </c>
      <c r="O9" s="84">
        <v>60</v>
      </c>
      <c r="P9" s="84">
        <v>65</v>
      </c>
      <c r="Q9" s="117">
        <f>IF(MAX(K9:M9)&gt;0,IF(MAX(K9:M9)&lt;0,0,TRUNC(MAX(K9:M9)/1)*1),"")</f>
        <v>50</v>
      </c>
      <c r="R9" s="67">
        <f>IF(MAX(N9:P9)&gt;0,IF(MAX(N9:P9)&lt;0,0,TRUNC(MAX(N9:P9)/1)*1),"")</f>
        <v>65</v>
      </c>
      <c r="S9" s="67">
        <f>IF(Q9="","",IF(R9="","",IF(SUM(Q9:R9)=0,"",SUM(Q9:R9))))</f>
        <v>115</v>
      </c>
      <c r="T9" s="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133.00463189839374</v>
      </c>
      <c r="U9" s="76" t="str">
        <f>IF(AF9=1,T9*AI9,"")</f>
        <v/>
      </c>
      <c r="V9" s="69">
        <v>5.16</v>
      </c>
      <c r="W9" s="69">
        <v>10.96</v>
      </c>
      <c r="X9" s="69">
        <v>9.65</v>
      </c>
      <c r="Y9" s="68"/>
      <c r="Z9" s="72"/>
      <c r="AA9" s="72"/>
      <c r="AB9" s="71"/>
      <c r="AC9" s="94">
        <f>U5</f>
        <v>45451</v>
      </c>
      <c r="AD9" s="95" t="str">
        <f>IF(ISNUMBER(FIND("M",E9)),"m",IF(ISNUMBER(FIND("K",E9)),"k"))</f>
        <v>k</v>
      </c>
      <c r="AE9" s="93">
        <f>IF(OR(G9="",AC9=""),0,(YEAR(AC9)-YEAR(G9)))</f>
        <v>19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1.2771552715102652</v>
      </c>
    </row>
    <row r="10" spans="1:36" s="8" customFormat="1" ht="20.25" customHeight="1">
      <c r="B10" s="115"/>
      <c r="C10" s="72"/>
      <c r="D10" s="72"/>
      <c r="E10" s="72"/>
      <c r="F10" s="73"/>
      <c r="G10" s="74"/>
      <c r="H10" s="78"/>
      <c r="I10" s="122"/>
      <c r="J10" s="75"/>
      <c r="K10" s="129"/>
      <c r="L10" s="129"/>
      <c r="M10" s="129"/>
      <c r="N10" s="130"/>
      <c r="O10" s="130"/>
      <c r="P10" s="130"/>
      <c r="Q10" s="118"/>
      <c r="R10" s="72"/>
      <c r="S10" s="129">
        <f>IF(T9="","",T9*1.2)</f>
        <v>159.60555827807249</v>
      </c>
      <c r="T10" s="129"/>
      <c r="U10" s="72"/>
      <c r="V10" s="72">
        <f>IF(V9&gt;0,V9*20,"")</f>
        <v>103.2</v>
      </c>
      <c r="W10" s="72">
        <f>IF(W9="","",(W9*10)*AJ9)</f>
        <v>139.97621775752506</v>
      </c>
      <c r="X10" s="76">
        <f>IF(ROUNDUP(X9,1)&gt;0,IF((80+(8-ROUNDUP(X9,1))*40)&lt;0,0,80+(8-ROUNDUP(X9,1))*40),"")</f>
        <v>12.000000000000028</v>
      </c>
      <c r="Y10" s="77">
        <f>IF(SUM(V10,W10,X10)&gt;0,SUM(V10,W10,X10),"")</f>
        <v>255.17621775752511</v>
      </c>
      <c r="Z10" s="82">
        <f>IF(AE9&gt;34,(IF(OR(S10="",V10="",W10="",X10=""),"",SUM(S10,V10,W10,X10))*AI9),IF(OR(S10="",V10="",W10="",X10=""),"", SUM(S10,V10,W10,X10)))</f>
        <v>414.78177603559755</v>
      </c>
      <c r="AA10" s="78" t="s">
        <v>133</v>
      </c>
      <c r="AB10" s="79"/>
      <c r="AC10" s="91"/>
      <c r="AD10" s="1"/>
      <c r="AE10" s="93"/>
      <c r="AF10" s="40"/>
      <c r="AH10" s="36"/>
      <c r="AI10" s="36"/>
    </row>
    <row r="11" spans="1:36" s="8" customFormat="1" ht="20.25" customHeight="1">
      <c r="B11" s="115" t="s">
        <v>162</v>
      </c>
      <c r="C11" s="83" t="s">
        <v>134</v>
      </c>
      <c r="D11" s="82">
        <v>69.83</v>
      </c>
      <c r="E11" s="83" t="s">
        <v>116</v>
      </c>
      <c r="F11" s="120" t="s">
        <v>83</v>
      </c>
      <c r="G11" s="121">
        <v>37315</v>
      </c>
      <c r="H11" s="70">
        <v>2</v>
      </c>
      <c r="I11" s="122" t="s">
        <v>119</v>
      </c>
      <c r="J11" s="75" t="s">
        <v>82</v>
      </c>
      <c r="K11" s="78">
        <v>-85</v>
      </c>
      <c r="L11" s="84">
        <v>85</v>
      </c>
      <c r="M11" s="84">
        <v>88</v>
      </c>
      <c r="N11" s="78">
        <v>-108</v>
      </c>
      <c r="O11" s="84">
        <v>108</v>
      </c>
      <c r="P11" s="84">
        <v>-112</v>
      </c>
      <c r="Q11" s="117">
        <f>IF(MAX(K11:M11)&gt;0,IF(MAX(K11:M11)&lt;0,0,TRUNC(MAX(K11:M11)/1)*1),"")</f>
        <v>88</v>
      </c>
      <c r="R11" s="67">
        <f>IF(MAX(N11:P11)&gt;0,IF(MAX(N11:P11)&lt;0,0,TRUNC(MAX(N11:P11)/1)*1),"")</f>
        <v>108</v>
      </c>
      <c r="S11" s="67">
        <f>IF(Q11="","",IF(R11="","",IF(SUM(Q11:R11)=0,"",SUM(Q11:R11))))</f>
        <v>196</v>
      </c>
      <c r="T11" s="6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242.51273203837275</v>
      </c>
      <c r="U11" s="76" t="str">
        <f>IF(AF11=1,T11*AI11,"")</f>
        <v/>
      </c>
      <c r="V11" s="69">
        <v>6.9</v>
      </c>
      <c r="W11" s="69">
        <v>14.3</v>
      </c>
      <c r="X11" s="69">
        <v>6.56</v>
      </c>
      <c r="Y11" s="77"/>
      <c r="Z11" s="72"/>
      <c r="AA11" s="70"/>
      <c r="AB11" s="71"/>
      <c r="AC11" s="91">
        <f>U5</f>
        <v>45451</v>
      </c>
      <c r="AD11" s="95" t="str">
        <f>IF(ISNUMBER(FIND("M",E11)),"m",IF(ISNUMBER(FIND("K",E11)),"k"))</f>
        <v>k</v>
      </c>
      <c r="AE11" s="93">
        <f>IF(OR(G11="",AC11=""),0,(YEAR(AC11)-YEAR(G11)))</f>
        <v>22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1.3860114843879159</v>
      </c>
    </row>
    <row r="12" spans="1:36" s="8" customFormat="1" ht="20.25" customHeight="1">
      <c r="B12" s="116"/>
      <c r="C12" s="72"/>
      <c r="D12" s="72"/>
      <c r="E12" s="72"/>
      <c r="F12" s="73"/>
      <c r="G12" s="74"/>
      <c r="H12" s="78"/>
      <c r="I12" s="122"/>
      <c r="J12" s="75"/>
      <c r="K12" s="129"/>
      <c r="L12" s="129"/>
      <c r="M12" s="129"/>
      <c r="N12" s="130"/>
      <c r="O12" s="130"/>
      <c r="P12" s="130"/>
      <c r="Q12" s="118"/>
      <c r="R12" s="72"/>
      <c r="S12" s="129">
        <f>IF(T11="","",T11*1.2)</f>
        <v>291.01527844604726</v>
      </c>
      <c r="T12" s="129"/>
      <c r="U12" s="82"/>
      <c r="V12" s="72">
        <f>IF(V11&gt;0,V11*20,"")</f>
        <v>138</v>
      </c>
      <c r="W12" s="72">
        <f>IF(W11="","",(W11*10)*AJ11)</f>
        <v>198.19964226747197</v>
      </c>
      <c r="X12" s="76">
        <f>IF(ROUNDUP(X11,1)&gt;0,IF((80+(8-ROUNDUP(X11,1))*40)&lt;0,0,80+(8-ROUNDUP(X11,1))*40),"")</f>
        <v>136</v>
      </c>
      <c r="Y12" s="77">
        <f>IF(SUM(V12,W12,X12)&gt;0,SUM(V12,W12,X12),"")</f>
        <v>472.19964226747197</v>
      </c>
      <c r="Z12" s="82">
        <f>IF(AE11&gt;34,(IF(OR(S12="",V12="",W12="",X12=""),"",SUM(S12,V12,W12,X12))*AI11),IF(OR(S12="",V12="",W12="",X12=""),"", SUM(S12,V12,W12,X12)))</f>
        <v>763.21492071351918</v>
      </c>
      <c r="AA12" s="78" t="s">
        <v>129</v>
      </c>
      <c r="AB12" s="79"/>
      <c r="AC12" s="91"/>
      <c r="AD12" s="1"/>
      <c r="AE12" s="93"/>
      <c r="AF12" s="34"/>
      <c r="AH12" s="36"/>
      <c r="AI12" s="36"/>
    </row>
    <row r="13" spans="1:36" s="8" customFormat="1" ht="20.25" customHeight="1">
      <c r="B13" s="115" t="s">
        <v>99</v>
      </c>
      <c r="C13" s="83" t="s">
        <v>123</v>
      </c>
      <c r="D13" s="82">
        <v>76.569999999999993</v>
      </c>
      <c r="E13" s="83" t="s">
        <v>116</v>
      </c>
      <c r="F13" s="120" t="s">
        <v>84</v>
      </c>
      <c r="G13" s="121">
        <v>36614</v>
      </c>
      <c r="H13" s="70">
        <v>3</v>
      </c>
      <c r="I13" s="122" t="s">
        <v>112</v>
      </c>
      <c r="J13" s="75" t="s">
        <v>167</v>
      </c>
      <c r="K13" s="78">
        <v>60</v>
      </c>
      <c r="L13" s="84">
        <v>63</v>
      </c>
      <c r="M13" s="84">
        <v>-67</v>
      </c>
      <c r="N13" s="78">
        <v>84</v>
      </c>
      <c r="O13" s="84">
        <v>87</v>
      </c>
      <c r="P13" s="84">
        <v>90</v>
      </c>
      <c r="Q13" s="117">
        <f>IF(MAX(K13:M13)&gt;0,IF(MAX(K13:M13)&lt;0,0,TRUNC(MAX(K13:M13)/1)*1),"")</f>
        <v>63</v>
      </c>
      <c r="R13" s="67">
        <f>IF(MAX(N13:P13)&gt;0,IF(MAX(N13:P13)&lt;0,0,TRUNC(MAX(N13:P13)/1)*1),"")</f>
        <v>90</v>
      </c>
      <c r="S13" s="67">
        <f>IF(Q13="","",IF(R13="","",IF(SUM(Q13:R13)=0,"",SUM(Q13:R13))))</f>
        <v>153</v>
      </c>
      <c r="T13" s="6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180.65036347173191</v>
      </c>
      <c r="U13" s="76" t="str">
        <f>IF(AF13=1,T13*AI13,"")</f>
        <v/>
      </c>
      <c r="V13" s="69">
        <v>6.33</v>
      </c>
      <c r="W13" s="69">
        <v>11.02</v>
      </c>
      <c r="X13" s="69">
        <v>7.12</v>
      </c>
      <c r="Y13" s="86"/>
      <c r="Z13" s="72"/>
      <c r="AA13" s="70"/>
      <c r="AB13" s="71"/>
      <c r="AC13" s="91">
        <f>U5</f>
        <v>45451</v>
      </c>
      <c r="AD13" s="95" t="str">
        <f>IF(ISNUMBER(FIND("M",E13)),"m",IF(ISNUMBER(FIND("K",E13)),"k"))</f>
        <v>k</v>
      </c>
      <c r="AE13" s="93">
        <f>IF(OR(G13="",AC13=""),0,(YEAR(AC13)-YEAR(G13)))</f>
        <v>24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1.3101035125813811</v>
      </c>
    </row>
    <row r="14" spans="1:36" s="8" customFormat="1" ht="20.25" customHeight="1">
      <c r="B14" s="116"/>
      <c r="C14" s="72"/>
      <c r="D14" s="72"/>
      <c r="E14" s="72"/>
      <c r="F14" s="73"/>
      <c r="G14" s="74"/>
      <c r="H14" s="78"/>
      <c r="I14" s="122"/>
      <c r="J14" s="75"/>
      <c r="K14" s="129"/>
      <c r="L14" s="129"/>
      <c r="M14" s="129"/>
      <c r="N14" s="130"/>
      <c r="O14" s="130"/>
      <c r="P14" s="130"/>
      <c r="Q14" s="118"/>
      <c r="R14" s="72"/>
      <c r="S14" s="129">
        <f>IF(T13="","",T13*1.2)</f>
        <v>216.78043616607829</v>
      </c>
      <c r="T14" s="129"/>
      <c r="U14" s="72"/>
      <c r="V14" s="72">
        <f>IF(V13&gt;0,V13*20,"")</f>
        <v>126.6</v>
      </c>
      <c r="W14" s="72">
        <f>IF(W13="","",(W13*10)*AJ13)</f>
        <v>144.37340708646818</v>
      </c>
      <c r="X14" s="76">
        <f>IF(ROUNDUP(X13,1)&gt;0,IF((80+(8-ROUNDUP(X13,1))*40)&lt;0,0,80+(8-ROUNDUP(X13,1))*40),"")</f>
        <v>112.00000000000003</v>
      </c>
      <c r="Y14" s="77">
        <f>IF(SUM(V14,W14,X14)&gt;0,SUM(V14,W14,X14),"")</f>
        <v>382.97340708646823</v>
      </c>
      <c r="Z14" s="82">
        <f>IF(AE13&gt;34,(IF(OR(S14="",V14="",W14="",X14=""),"",SUM(S14,V14,W14,X14))*AI13),IF(OR(S14="",V14="",W14="",X14=""),"", SUM(S14,V14,W14,X14)))</f>
        <v>599.75384325254652</v>
      </c>
      <c r="AA14" s="78">
        <v>5</v>
      </c>
      <c r="AB14" s="79"/>
      <c r="AC14" s="91"/>
      <c r="AD14" s="1"/>
      <c r="AE14" s="93"/>
      <c r="AF14" s="34"/>
      <c r="AH14" s="36"/>
      <c r="AI14" s="36"/>
    </row>
    <row r="15" spans="1:36" s="8" customFormat="1" ht="20.25" customHeight="1">
      <c r="B15" s="115" t="s">
        <v>100</v>
      </c>
      <c r="C15" s="83" t="s">
        <v>136</v>
      </c>
      <c r="D15" s="82">
        <v>66.16</v>
      </c>
      <c r="E15" s="83" t="s">
        <v>116</v>
      </c>
      <c r="F15" s="120" t="s">
        <v>83</v>
      </c>
      <c r="G15" s="121">
        <v>37468</v>
      </c>
      <c r="H15" s="70">
        <v>4</v>
      </c>
      <c r="I15" s="122" t="s">
        <v>74</v>
      </c>
      <c r="J15" s="75" t="s">
        <v>167</v>
      </c>
      <c r="K15" s="78">
        <v>48</v>
      </c>
      <c r="L15" s="84">
        <v>51</v>
      </c>
      <c r="M15" s="84">
        <v>-54</v>
      </c>
      <c r="N15" s="78">
        <v>68</v>
      </c>
      <c r="O15" s="84">
        <v>-71</v>
      </c>
      <c r="P15" s="84">
        <v>73</v>
      </c>
      <c r="Q15" s="117">
        <f>IF(MAX(K15:M15)&gt;0,IF(MAX(K15:M15)&lt;0,0,TRUNC(MAX(K15:M15)/1)*1),"")</f>
        <v>51</v>
      </c>
      <c r="R15" s="67">
        <f>IF(MAX(N15:P15)&gt;0,IF(MAX(N15:P15)&lt;0,0,TRUNC(MAX(N15:P15)/1)*1),"")</f>
        <v>73</v>
      </c>
      <c r="S15" s="67">
        <f>IF(Q15="","",IF(R15="","",IF(SUM(Q15:R15)=0,"",SUM(Q15:R15))))</f>
        <v>124</v>
      </c>
      <c r="T15" s="6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158.11883256312694</v>
      </c>
      <c r="U15" s="76" t="str">
        <f>IF(AF15=1,T15*AI15,"")</f>
        <v/>
      </c>
      <c r="V15" s="69">
        <v>6.16</v>
      </c>
      <c r="W15" s="69">
        <v>10.210000000000001</v>
      </c>
      <c r="X15" s="69">
        <v>7.32</v>
      </c>
      <c r="Y15" s="77"/>
      <c r="Z15" s="72"/>
      <c r="AA15" s="70"/>
      <c r="AB15" s="71"/>
      <c r="AC15" s="91">
        <f>U5</f>
        <v>45451</v>
      </c>
      <c r="AD15" s="95" t="str">
        <f>IF(ISNUMBER(FIND("M",E15)),"m",IF(ISNUMBER(FIND("K",E15)),"k"))</f>
        <v>k</v>
      </c>
      <c r="AE15" s="93">
        <f>IF(OR(G15="",AC15=""),0,(YEAR(AC15)-YEAR(G15)))</f>
        <v>22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1.4360667275242318</v>
      </c>
    </row>
    <row r="16" spans="1:36" s="8" customFormat="1" ht="20.25" customHeight="1">
      <c r="B16" s="116"/>
      <c r="C16" s="72"/>
      <c r="D16" s="72"/>
      <c r="E16" s="72"/>
      <c r="F16" s="73"/>
      <c r="G16" s="74"/>
      <c r="H16" s="78"/>
      <c r="I16" s="122"/>
      <c r="J16" s="75"/>
      <c r="K16" s="129"/>
      <c r="L16" s="129"/>
      <c r="M16" s="129"/>
      <c r="N16" s="130"/>
      <c r="O16" s="130"/>
      <c r="P16" s="130"/>
      <c r="Q16" s="119"/>
      <c r="R16" s="87"/>
      <c r="S16" s="129">
        <f>IF(T15="","",T15*1.2)</f>
        <v>189.74259907575234</v>
      </c>
      <c r="T16" s="129"/>
      <c r="U16" s="72"/>
      <c r="V16" s="72">
        <f>IF(V15&gt;0,V15*20,"")</f>
        <v>123.2</v>
      </c>
      <c r="W16" s="72">
        <f>IF(W15="","",(W15*10)*AJ15)</f>
        <v>146.62241288022409</v>
      </c>
      <c r="X16" s="76">
        <f>IF(ROUNDUP(X15,1)&gt;0,IF((80+(8-ROUNDUP(X15,1))*40)&lt;0,0,80+(8-ROUNDUP(X15,1))*40),"")</f>
        <v>104.00000000000003</v>
      </c>
      <c r="Y16" s="77">
        <f>IF(SUM(V16,W16,X16)&gt;0,SUM(V16,W16,X16),"")</f>
        <v>373.82241288022408</v>
      </c>
      <c r="Z16" s="82">
        <f>IF(AE15&gt;34,(IF(OR(S16="",V16="",W16="",X16=""),"",SUM(S16,V16,W16,X16))*AI15),IF(OR(S16="",V16="",W16="",X16=""),"", SUM(S16,V16,W16,X16)))</f>
        <v>563.5650119559765</v>
      </c>
      <c r="AA16" s="78" t="s">
        <v>128</v>
      </c>
      <c r="AB16" s="79"/>
      <c r="AC16" s="91"/>
      <c r="AD16" s="1"/>
      <c r="AE16" s="93"/>
      <c r="AF16" s="34"/>
      <c r="AH16" s="36"/>
      <c r="AI16" s="36"/>
    </row>
    <row r="17" spans="2:36" s="8" customFormat="1" ht="20.25" customHeight="1">
      <c r="B17" s="115" t="s">
        <v>101</v>
      </c>
      <c r="C17" s="83" t="s">
        <v>136</v>
      </c>
      <c r="D17" s="82">
        <v>68.77</v>
      </c>
      <c r="E17" s="83" t="s">
        <v>116</v>
      </c>
      <c r="F17" s="120" t="s">
        <v>84</v>
      </c>
      <c r="G17" s="121">
        <v>33707</v>
      </c>
      <c r="H17" s="70">
        <v>5</v>
      </c>
      <c r="I17" s="122" t="s">
        <v>75</v>
      </c>
      <c r="J17" s="75" t="s">
        <v>167</v>
      </c>
      <c r="K17" s="78">
        <v>62</v>
      </c>
      <c r="L17" s="84">
        <v>65</v>
      </c>
      <c r="M17" s="84">
        <v>68</v>
      </c>
      <c r="N17" s="78">
        <v>82</v>
      </c>
      <c r="O17" s="84">
        <v>-85</v>
      </c>
      <c r="P17" s="84">
        <v>-85</v>
      </c>
      <c r="Q17" s="117">
        <f>IF(MAX(K17:M17)&gt;0,IF(MAX(K17:M17)&lt;0,0,TRUNC(MAX(K17:M17)/1)*1),"")</f>
        <v>68</v>
      </c>
      <c r="R17" s="67">
        <f>IF(MAX(N17:P17)&gt;0,IF(MAX(N17:P17)&lt;0,0,TRUNC(MAX(N17:P17)/1)*1),"")</f>
        <v>82</v>
      </c>
      <c r="S17" s="85">
        <f>IF(Q17="","",IF(R17="","",IF(SUM(Q17:R17)=0,"",SUM(Q17:R17))))</f>
        <v>150</v>
      </c>
      <c r="T17" s="6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187.14953900657028</v>
      </c>
      <c r="U17" s="76" t="str">
        <f>IF(AF17=1,T17*AI17,"")</f>
        <v/>
      </c>
      <c r="V17" s="69">
        <v>6.28</v>
      </c>
      <c r="W17" s="69">
        <v>10.52</v>
      </c>
      <c r="X17" s="69">
        <v>7.03</v>
      </c>
      <c r="Y17" s="77"/>
      <c r="Z17" s="72"/>
      <c r="AA17" s="70"/>
      <c r="AB17" s="71"/>
      <c r="AC17" s="91">
        <f>U5</f>
        <v>45451</v>
      </c>
      <c r="AD17" s="95" t="str">
        <f>IF(ISNUMBER(FIND("M",E17)),"m",IF(ISNUMBER(FIND("K",E17)),"k"))</f>
        <v>k</v>
      </c>
      <c r="AE17" s="93">
        <f>IF(OR(G17="",AC17=""),0,(YEAR(AC17)-YEAR(G17)))</f>
        <v>32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1.39975355336038</v>
      </c>
    </row>
    <row r="18" spans="2:36" s="8" customFormat="1" ht="20.25" customHeight="1">
      <c r="B18" s="116"/>
      <c r="C18" s="72"/>
      <c r="D18" s="72"/>
      <c r="E18" s="72"/>
      <c r="F18" s="73"/>
      <c r="G18" s="74"/>
      <c r="H18" s="78"/>
      <c r="I18" s="122"/>
      <c r="J18" s="75"/>
      <c r="K18" s="129"/>
      <c r="L18" s="129"/>
      <c r="M18" s="129"/>
      <c r="N18" s="130"/>
      <c r="O18" s="130"/>
      <c r="P18" s="130"/>
      <c r="Q18" s="118"/>
      <c r="R18" s="72"/>
      <c r="S18" s="129">
        <f>IF(T17="","",T17*1.2)</f>
        <v>224.57944680788432</v>
      </c>
      <c r="T18" s="129"/>
      <c r="U18" s="72"/>
      <c r="V18" s="72">
        <f>IF(V17&gt;0,V17*20,"")</f>
        <v>125.60000000000001</v>
      </c>
      <c r="W18" s="72">
        <f>IF(W17="","",(W17*10)*AJ17)</f>
        <v>147.25407381351195</v>
      </c>
      <c r="X18" s="76">
        <f>IF(ROUNDUP(X17,1)&gt;0,IF((80+(8-ROUNDUP(X17,1))*40)&lt;0,0,80+(8-ROUNDUP(X17,1))*40),"")</f>
        <v>116.00000000000001</v>
      </c>
      <c r="Y18" s="77">
        <f>IF(SUM(V18,W18,X18)&gt;0,SUM(V18,W18,X18),"")</f>
        <v>388.85407381351195</v>
      </c>
      <c r="Z18" s="82">
        <f>IF(AE17&gt;34,(IF(OR(S18="",V18="",W18="",X18=""),"",SUM(S18,V18,W18,X18))*AI17),IF(OR(S18="",V18="",W18="",X18=""),"", SUM(S18,V18,W18,X18)))</f>
        <v>613.43352062139627</v>
      </c>
      <c r="AA18" s="78">
        <v>4</v>
      </c>
      <c r="AB18" s="79"/>
      <c r="AC18" s="91"/>
      <c r="AD18" s="1"/>
      <c r="AE18" s="93"/>
      <c r="AF18" s="34"/>
      <c r="AH18" s="36"/>
      <c r="AI18" s="36"/>
    </row>
    <row r="19" spans="2:36" s="8" customFormat="1" ht="20.25" customHeight="1">
      <c r="B19" s="115" t="s">
        <v>102</v>
      </c>
      <c r="C19" s="83" t="s">
        <v>135</v>
      </c>
      <c r="D19" s="82">
        <v>59.96</v>
      </c>
      <c r="E19" s="83" t="s">
        <v>117</v>
      </c>
      <c r="F19" s="120" t="s">
        <v>83</v>
      </c>
      <c r="G19" s="121">
        <v>38424</v>
      </c>
      <c r="H19" s="70">
        <v>6</v>
      </c>
      <c r="I19" s="122" t="s">
        <v>72</v>
      </c>
      <c r="J19" s="75" t="s">
        <v>167</v>
      </c>
      <c r="K19" s="78">
        <v>69</v>
      </c>
      <c r="L19" s="84">
        <v>72</v>
      </c>
      <c r="M19" s="84">
        <v>74</v>
      </c>
      <c r="N19" s="78">
        <v>85</v>
      </c>
      <c r="O19" s="84">
        <v>-90</v>
      </c>
      <c r="P19" s="84">
        <v>90</v>
      </c>
      <c r="Q19" s="117">
        <f>IF(MAX(K19:M19)&gt;0,IF(MAX(K19:M19)&lt;0,0,TRUNC(MAX(K19:M19)/1)*1),"")</f>
        <v>74</v>
      </c>
      <c r="R19" s="67">
        <f>IF(MAX(N19:P19)&gt;0,IF(MAX(N19:P19)&lt;0,0,TRUNC(MAX(N19:P19)/1)*1),"")</f>
        <v>90</v>
      </c>
      <c r="S19" s="85">
        <f>IF(Q19="","",IF(R19="","",IF(SUM(Q19:R19)=0,"",SUM(Q19:R19))))</f>
        <v>164</v>
      </c>
      <c r="T19" s="6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222.06367124956515</v>
      </c>
      <c r="U19" s="76" t="str">
        <f>IF(AF19=1,T19*AI19,"")</f>
        <v/>
      </c>
      <c r="V19" s="69">
        <v>6.64</v>
      </c>
      <c r="W19" s="69">
        <v>10.64</v>
      </c>
      <c r="X19" s="69">
        <v>6.41</v>
      </c>
      <c r="Y19" s="77"/>
      <c r="Z19" s="72"/>
      <c r="AA19" s="70"/>
      <c r="AB19" s="71"/>
      <c r="AC19" s="91">
        <f>U5</f>
        <v>45451</v>
      </c>
      <c r="AD19" s="95" t="str">
        <f>IF(ISNUMBER(FIND("M",E19)),"m",IF(ISNUMBER(FIND("K",E19)),"k"))</f>
        <v>k</v>
      </c>
      <c r="AE19" s="93">
        <f>IF(OR(G19="",AC19=""),0,(YEAR(AC19)-YEAR(G19)))</f>
        <v>19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1.539221313838254</v>
      </c>
    </row>
    <row r="20" spans="2:36" s="8" customFormat="1" ht="20.25" customHeight="1">
      <c r="B20" s="116"/>
      <c r="C20" s="72"/>
      <c r="D20" s="72"/>
      <c r="E20" s="72"/>
      <c r="F20" s="73"/>
      <c r="G20" s="74" t="s">
        <v>55</v>
      </c>
      <c r="H20" s="78"/>
      <c r="I20" s="122"/>
      <c r="J20" s="75"/>
      <c r="K20" s="129"/>
      <c r="L20" s="129"/>
      <c r="M20" s="129"/>
      <c r="N20" s="130"/>
      <c r="O20" s="130"/>
      <c r="P20" s="130"/>
      <c r="Q20" s="118"/>
      <c r="R20" s="72"/>
      <c r="S20" s="129">
        <f>IF(T19="","",T19*1.2)</f>
        <v>266.47640549947818</v>
      </c>
      <c r="T20" s="129"/>
      <c r="U20" s="72"/>
      <c r="V20" s="72">
        <f>IF(V19&gt;0,V19*20,"")</f>
        <v>132.79999999999998</v>
      </c>
      <c r="W20" s="72">
        <f>IF(W19="","",(W19*10)*AJ19)</f>
        <v>163.77314779239023</v>
      </c>
      <c r="X20" s="76">
        <f>IF(ROUNDUP(X19,1)&gt;0,IF((80+(8-ROUNDUP(X19,1))*40)&lt;0,0,80+(8-ROUNDUP(X19,1))*40),"")</f>
        <v>140</v>
      </c>
      <c r="Y20" s="77">
        <f>IF(SUM(V20,W20,X20)&gt;0,SUM(V20,W20,X20),"")</f>
        <v>436.57314779239022</v>
      </c>
      <c r="Z20" s="82">
        <f>IF(AE19&gt;34,(IF(OR(S20="",V20="",W20="",X20=""),"",SUM(S20,V20,W20,X20))*AI19),IF(OR(S20="",V20="",W20="",X20=""),"", SUM(S20,V20,W20,X20)))</f>
        <v>703.04955329186839</v>
      </c>
      <c r="AA20" s="78" t="s">
        <v>130</v>
      </c>
      <c r="AB20" s="79"/>
      <c r="AC20" s="91"/>
      <c r="AD20" s="1"/>
      <c r="AE20" s="93"/>
      <c r="AF20" s="34"/>
      <c r="AH20" s="36"/>
      <c r="AI20" s="36"/>
    </row>
    <row r="21" spans="2:36" s="8" customFormat="1" ht="20.25" customHeight="1">
      <c r="B21" s="115" t="s">
        <v>103</v>
      </c>
      <c r="C21" s="83" t="s">
        <v>134</v>
      </c>
      <c r="D21" s="82">
        <v>70.34</v>
      </c>
      <c r="E21" s="83" t="s">
        <v>116</v>
      </c>
      <c r="F21" s="120" t="s">
        <v>83</v>
      </c>
      <c r="G21" s="121">
        <v>37721</v>
      </c>
      <c r="H21" s="70">
        <v>7</v>
      </c>
      <c r="I21" s="122" t="s">
        <v>73</v>
      </c>
      <c r="J21" s="75" t="s">
        <v>167</v>
      </c>
      <c r="K21" s="78">
        <v>-67</v>
      </c>
      <c r="L21" s="84">
        <v>67</v>
      </c>
      <c r="M21" s="84">
        <v>-70</v>
      </c>
      <c r="N21" s="78">
        <v>92</v>
      </c>
      <c r="O21" s="84">
        <v>95</v>
      </c>
      <c r="P21" s="84">
        <v>97</v>
      </c>
      <c r="Q21" s="117">
        <f>IF(MAX(K21:M21)&gt;0,IF(MAX(K21:M21)&lt;0,0,TRUNC(MAX(K21:M21)/1)*1),"")</f>
        <v>67</v>
      </c>
      <c r="R21" s="67">
        <f>IF(MAX(N21:P21)&gt;0,IF(MAX(N21:P21)&lt;0,0,TRUNC(MAX(N21:P21)/1)*1),"")</f>
        <v>97</v>
      </c>
      <c r="S21" s="85">
        <f>IF(Q21="","",IF(R21="","",IF(SUM(Q21:R21)=0,"",SUM(Q21:R21))))</f>
        <v>164</v>
      </c>
      <c r="T21" s="6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202.12731234608904</v>
      </c>
      <c r="U21" s="76" t="str">
        <f>IF(AF21=1,T21*AI21,"")</f>
        <v/>
      </c>
      <c r="V21" s="69">
        <v>7.15</v>
      </c>
      <c r="W21" s="69">
        <v>12.32</v>
      </c>
      <c r="X21" s="69">
        <v>6.75</v>
      </c>
      <c r="Y21" s="77"/>
      <c r="Z21" s="72"/>
      <c r="AA21" s="70"/>
      <c r="AB21" s="71"/>
      <c r="AC21" s="91">
        <f>U5</f>
        <v>45451</v>
      </c>
      <c r="AD21" s="95" t="str">
        <f>IF(ISNUMBER(FIND("M",E21)),"m",IF(ISNUMBER(FIND("K",E21)),"k"))</f>
        <v>k</v>
      </c>
      <c r="AE21" s="93">
        <f>IF(OR(G21="",AC21=""),0,(YEAR(AC21)-YEAR(G21)))</f>
        <v>21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1.3795924595207778</v>
      </c>
    </row>
    <row r="22" spans="2:36" s="8" customFormat="1" ht="20.25" customHeight="1">
      <c r="B22" s="116"/>
      <c r="C22" s="72"/>
      <c r="D22" s="72"/>
      <c r="E22" s="72"/>
      <c r="F22" s="73"/>
      <c r="G22" s="74"/>
      <c r="H22" s="78"/>
      <c r="I22" s="75"/>
      <c r="J22" s="75"/>
      <c r="K22" s="129"/>
      <c r="L22" s="129"/>
      <c r="M22" s="129"/>
      <c r="N22" s="130"/>
      <c r="O22" s="130"/>
      <c r="P22" s="130"/>
      <c r="Q22" s="118"/>
      <c r="R22" s="72"/>
      <c r="S22" s="129">
        <f>IF(T21="","",T21*1.2)</f>
        <v>242.55277481530683</v>
      </c>
      <c r="T22" s="129"/>
      <c r="U22" s="72"/>
      <c r="V22" s="72">
        <f>IF(V21&gt;0,V21*20,"")</f>
        <v>143</v>
      </c>
      <c r="W22" s="72">
        <f>IF(W21="","",(W21*10)*AJ21)</f>
        <v>169.96579101295984</v>
      </c>
      <c r="X22" s="76">
        <f>IF(ROUNDUP(X21,1)&gt;0,IF((80+(8-ROUNDUP(X21,1))*40)&lt;0,0,80+(8-ROUNDUP(X21,1))*40),"")</f>
        <v>128</v>
      </c>
      <c r="Y22" s="77">
        <f>IF(SUM(V22,W22,X22)&gt;0,SUM(V22,W22,X22),"")</f>
        <v>440.96579101295981</v>
      </c>
      <c r="Z22" s="82">
        <f>IF(AE21&gt;34,(IF(OR(S22="",V22="",W22="",X22=""),"",SUM(S22,V22,W22,X22))*AI21),IF(OR(S22="",V22="",W22="",X22=""),"", SUM(S22,V22,W22,X22)))</f>
        <v>683.51856582826667</v>
      </c>
      <c r="AA22" s="78" t="s">
        <v>131</v>
      </c>
      <c r="AB22" s="79"/>
      <c r="AC22" s="91"/>
      <c r="AD22" s="1"/>
      <c r="AE22" s="93"/>
      <c r="AF22" s="34"/>
      <c r="AH22" s="36"/>
      <c r="AI22" s="36"/>
    </row>
    <row r="23" spans="2:36" s="8" customFormat="1" ht="20.25" customHeight="1">
      <c r="B23" s="115" t="s">
        <v>104</v>
      </c>
      <c r="C23" s="83" t="s">
        <v>127</v>
      </c>
      <c r="D23" s="82">
        <v>54.09</v>
      </c>
      <c r="E23" s="83" t="s">
        <v>116</v>
      </c>
      <c r="F23" s="120" t="s">
        <v>84</v>
      </c>
      <c r="G23" s="121">
        <v>34400</v>
      </c>
      <c r="H23" s="70">
        <v>8</v>
      </c>
      <c r="I23" s="122" t="s">
        <v>81</v>
      </c>
      <c r="J23" s="75" t="s">
        <v>167</v>
      </c>
      <c r="K23" s="78">
        <v>72</v>
      </c>
      <c r="L23" s="84">
        <v>-75</v>
      </c>
      <c r="M23" s="84">
        <v>75</v>
      </c>
      <c r="N23" s="78">
        <v>-90</v>
      </c>
      <c r="O23" s="84">
        <v>90</v>
      </c>
      <c r="P23" s="84">
        <v>-95</v>
      </c>
      <c r="Q23" s="117">
        <f>IF(MAX(K23:M23)&gt;0,IF(MAX(K23:M23)&lt;0,0,TRUNC(MAX(K23:M23)/1)*1),"")</f>
        <v>75</v>
      </c>
      <c r="R23" s="67">
        <f>IF(MAX(N23:P23)&gt;0,IF(MAX(N23:P23)&lt;0,0,TRUNC(MAX(N23:P23)/1)*1),"")</f>
        <v>90</v>
      </c>
      <c r="S23" s="85">
        <f>IF(Q23="","",IF(R23="","",IF(SUM(Q23:R23)=0,"",SUM(Q23:R23))))</f>
        <v>165</v>
      </c>
      <c r="T23" s="68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239.60540791116023</v>
      </c>
      <c r="U23" s="76" t="str">
        <f>IF(AF23=1,T23*AI23,"")</f>
        <v/>
      </c>
      <c r="V23" s="69">
        <v>7.57</v>
      </c>
      <c r="W23" s="69">
        <v>13.82</v>
      </c>
      <c r="X23" s="69">
        <v>6.25</v>
      </c>
      <c r="Y23" s="77"/>
      <c r="Z23" s="72"/>
      <c r="AA23" s="70"/>
      <c r="AB23" s="71"/>
      <c r="AC23" s="91">
        <f>U5</f>
        <v>45451</v>
      </c>
      <c r="AD23" s="95" t="str">
        <f>IF(ISNUMBER(FIND("M",E23)),"m",IF(ISNUMBER(FIND("K",E23)),"k"))</f>
        <v>k</v>
      </c>
      <c r="AE23" s="108">
        <f>IF(OR(G23="",AC23=""),0,(YEAR(AC23)-YEAR(G23)))</f>
        <v>30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1.6659965569516761</v>
      </c>
    </row>
    <row r="24" spans="2:36" s="8" customFormat="1" ht="20.25" customHeight="1">
      <c r="B24" s="116"/>
      <c r="C24" s="72"/>
      <c r="D24" s="72"/>
      <c r="E24" s="72"/>
      <c r="F24" s="73"/>
      <c r="G24" s="74"/>
      <c r="H24" s="78"/>
      <c r="I24" s="75"/>
      <c r="J24" s="75"/>
      <c r="K24" s="129"/>
      <c r="L24" s="129"/>
      <c r="M24" s="129"/>
      <c r="N24" s="130"/>
      <c r="O24" s="130"/>
      <c r="P24" s="130"/>
      <c r="Q24" s="118"/>
      <c r="R24" s="72"/>
      <c r="S24" s="129">
        <f>IF(T23="","",T23*1.2)</f>
        <v>287.52648949339226</v>
      </c>
      <c r="T24" s="129"/>
      <c r="U24" s="72"/>
      <c r="V24" s="72">
        <f>IF(V23&gt;0,V23*20,"")</f>
        <v>151.4</v>
      </c>
      <c r="W24" s="72">
        <f>IF(W23="","",(W23*10)*AJ23)</f>
        <v>230.24072417072162</v>
      </c>
      <c r="X24" s="76">
        <f>IF(ROUNDUP(X23,1)&gt;0,IF((80+(8-ROUNDUP(X23,1))*40)&lt;0,0,80+(8-ROUNDUP(X23,1))*40),"")</f>
        <v>148</v>
      </c>
      <c r="Y24" s="77">
        <f>IF(SUM(V24,W24,X24)&gt;0,SUM(V24,W24,X24),"")</f>
        <v>529.64072417072157</v>
      </c>
      <c r="Z24" s="82">
        <f>IF(AE23&gt;34,(IF(OR(S24="",V24="",W24="",X24=""),"",SUM(S24,V24,W24,X24))*AI23),IF(OR(S24="",V24="",W24="",X24=""),"", SUM(S24,V24,W24,X24)))</f>
        <v>817.16721366411389</v>
      </c>
      <c r="AA24" s="78" t="s">
        <v>129</v>
      </c>
      <c r="AB24" s="79"/>
      <c r="AC24" s="91"/>
      <c r="AD24" s="1"/>
      <c r="AE24" s="93"/>
      <c r="AF24" s="34"/>
      <c r="AH24" s="36"/>
      <c r="AI24" s="36"/>
    </row>
    <row r="25" spans="2:36" s="8" customFormat="1" ht="20.25" customHeight="1">
      <c r="B25" s="115" t="s">
        <v>161</v>
      </c>
      <c r="C25" s="83" t="s">
        <v>134</v>
      </c>
      <c r="D25" s="82">
        <v>72.37</v>
      </c>
      <c r="E25" s="83" t="s">
        <v>117</v>
      </c>
      <c r="F25" s="120" t="s">
        <v>83</v>
      </c>
      <c r="G25" s="121">
        <v>38134</v>
      </c>
      <c r="H25" s="70">
        <v>9</v>
      </c>
      <c r="I25" s="122" t="s">
        <v>76</v>
      </c>
      <c r="J25" s="75" t="s">
        <v>170</v>
      </c>
      <c r="K25" s="78">
        <v>71</v>
      </c>
      <c r="L25" s="84">
        <v>74</v>
      </c>
      <c r="M25" s="84">
        <v>-77</v>
      </c>
      <c r="N25" s="78">
        <v>94</v>
      </c>
      <c r="O25" s="84">
        <v>-97</v>
      </c>
      <c r="P25" s="84">
        <v>-97</v>
      </c>
      <c r="Q25" s="117">
        <f>IF(MAX(K25:M25)&gt;0,IF(MAX(K25:M25)&lt;0,0,TRUNC(MAX(K25:M25)/1)*1),"")</f>
        <v>74</v>
      </c>
      <c r="R25" s="67">
        <f>IF(MAX(N25:P25)&gt;0,IF(MAX(N25:P25)&lt;0,0,TRUNC(MAX(N25:P25)/1)*1),"")</f>
        <v>94</v>
      </c>
      <c r="S25" s="85">
        <f>IF(Q25="","",IF(R25="","",IF(SUM(Q25:R25)=0,"",SUM(Q25:R25))))</f>
        <v>168</v>
      </c>
      <c r="T25" s="68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203.98825049888507</v>
      </c>
      <c r="U25" s="76" t="str">
        <f>IF(AF25=1,T25*AI25,"")</f>
        <v/>
      </c>
      <c r="V25" s="69">
        <v>6.75</v>
      </c>
      <c r="W25" s="69">
        <v>11.86</v>
      </c>
      <c r="X25" s="69">
        <v>6.93</v>
      </c>
      <c r="Y25" s="77"/>
      <c r="Z25" s="72"/>
      <c r="AA25" s="70"/>
      <c r="AB25" s="71"/>
      <c r="AC25" s="91">
        <f>U5</f>
        <v>45451</v>
      </c>
      <c r="AD25" s="95" t="str">
        <f>IF(ISNUMBER(FIND("M",E25)),"m",IF(ISNUMBER(FIND("K",E25)),"k"))</f>
        <v>k</v>
      </c>
      <c r="AE25" s="108">
        <f>IF(OR(G25="",AC25=""),0,(YEAR(AC25)-YEAR(G25)))</f>
        <v>20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">
        <f>IF(D25="","",IF(D25&gt;193.609,1,IF(D25&lt;32,10^(0.722762521*LOG10(32/193.609)^2),10^(0.722762521*LOG10(D25/193.609)^2))))</f>
        <v>1.3552117947822999</v>
      </c>
    </row>
    <row r="26" spans="2:36" s="8" customFormat="1" ht="20.25" customHeight="1">
      <c r="B26" s="116"/>
      <c r="C26" s="72"/>
      <c r="D26" s="72"/>
      <c r="E26" s="72"/>
      <c r="F26" s="73"/>
      <c r="G26" s="74"/>
      <c r="H26" s="78"/>
      <c r="I26" s="75"/>
      <c r="J26" s="75"/>
      <c r="K26" s="129"/>
      <c r="L26" s="129"/>
      <c r="M26" s="129"/>
      <c r="N26" s="130"/>
      <c r="O26" s="130"/>
      <c r="P26" s="130"/>
      <c r="Q26" s="118"/>
      <c r="R26" s="72"/>
      <c r="S26" s="129">
        <f>IF(T25="","",T25*1.2)</f>
        <v>244.78590059866207</v>
      </c>
      <c r="T26" s="129"/>
      <c r="U26" s="72"/>
      <c r="V26" s="72">
        <f>IF(V25&gt;0,V25*20,"")</f>
        <v>135</v>
      </c>
      <c r="W26" s="72">
        <f>IF(W25="","",(W25*10)*AJ25)</f>
        <v>160.72811886118077</v>
      </c>
      <c r="X26" s="76">
        <f>IF(ROUNDUP(X25,1)&gt;0,IF((80+(8-ROUNDUP(X25,1))*40)&lt;0,0,80+(8-ROUNDUP(X25,1))*40),"")</f>
        <v>120</v>
      </c>
      <c r="Y26" s="77">
        <f>IF(SUM(V26,W26,X26)&gt;0,SUM(V26,W26,X26),"")</f>
        <v>415.72811886118075</v>
      </c>
      <c r="Z26" s="82">
        <f>IF(AE25&gt;34,(IF(OR(S26="",V26="",W26="",X26=""),"",SUM(S26,V26,W26,X26))*AI25),IF(OR(S26="",V26="",W26="",X26=""),"", SUM(S26,V26,W26,X26)))</f>
        <v>660.51401945984287</v>
      </c>
      <c r="AA26" s="78" t="s">
        <v>132</v>
      </c>
      <c r="AB26" s="79"/>
      <c r="AC26" s="91"/>
      <c r="AD26" s="1"/>
      <c r="AE26" s="93"/>
      <c r="AF26" s="34"/>
      <c r="AH26" s="36"/>
      <c r="AI26" s="36"/>
    </row>
    <row r="27" spans="2:36" s="8" customFormat="1" ht="20.25" customHeight="1">
      <c r="B27" s="115"/>
      <c r="C27" s="83"/>
      <c r="D27" s="82"/>
      <c r="E27" s="83"/>
      <c r="F27" s="120"/>
      <c r="G27" s="121"/>
      <c r="H27" s="70"/>
      <c r="I27" s="122"/>
      <c r="J27" s="75"/>
      <c r="K27" s="78"/>
      <c r="L27" s="84"/>
      <c r="M27" s="84"/>
      <c r="N27" s="78"/>
      <c r="O27" s="84"/>
      <c r="P27" s="84"/>
      <c r="Q27" s="117" t="str">
        <f>IF(MAX(K27:M27)&gt;0,IF(MAX(K27:M27)&lt;0,0,TRUNC(MAX(K27:M27)/1)*1),"")</f>
        <v/>
      </c>
      <c r="R27" s="67" t="str">
        <f>IF(MAX(N27:P27)&gt;0,IF(MAX(N27:P27)&lt;0,0,TRUNC(MAX(N27:P27)/1)*1),"")</f>
        <v/>
      </c>
      <c r="S27" s="85" t="str">
        <f>IF(Q27="","",IF(R27="","",IF(SUM(Q27:R27)=0,"",SUM(Q27:R27))))</f>
        <v/>
      </c>
      <c r="T27" s="68" t="str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/>
      </c>
      <c r="U27" s="76" t="str">
        <f>IF(AF27=1,T27*AI27,"")</f>
        <v/>
      </c>
      <c r="V27" s="69"/>
      <c r="W27" s="69"/>
      <c r="X27" s="69"/>
      <c r="Y27" s="77"/>
      <c r="Z27" s="72"/>
      <c r="AA27" s="70"/>
      <c r="AB27" s="71"/>
      <c r="AC27" s="91">
        <f>U5</f>
        <v>45451</v>
      </c>
      <c r="AD27" s="95" t="b">
        <f>IF(ISNUMBER(FIND("M",E27)),"m",IF(ISNUMBER(FIND("K",E27)),"k"))</f>
        <v>0</v>
      </c>
      <c r="AE27" s="108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" t="str">
        <f>IF(D27="","",IF(D27&gt;193.609,1,IF(D27&lt;32,10^(0.722762521*LOG10(32/193.609)^2),10^(0.722762521*LOG10(D27/193.609)^2))))</f>
        <v/>
      </c>
    </row>
    <row r="28" spans="2:36" s="8" customFormat="1" ht="20.25" customHeight="1">
      <c r="B28" s="116"/>
      <c r="C28" s="72"/>
      <c r="D28" s="72"/>
      <c r="E28" s="72"/>
      <c r="F28" s="73"/>
      <c r="G28" s="74"/>
      <c r="H28" s="78"/>
      <c r="I28" s="75"/>
      <c r="J28" s="75"/>
      <c r="K28" s="129"/>
      <c r="L28" s="129"/>
      <c r="M28" s="129"/>
      <c r="N28" s="130"/>
      <c r="O28" s="130"/>
      <c r="P28" s="130"/>
      <c r="Q28" s="118"/>
      <c r="R28" s="72"/>
      <c r="S28" s="129" t="str">
        <f>IF(T27="","",T27*1.2)</f>
        <v/>
      </c>
      <c r="T28" s="129"/>
      <c r="U28" s="72"/>
      <c r="V28" s="72" t="str">
        <f>IF(V27&gt;0,V27*20,"")</f>
        <v/>
      </c>
      <c r="W28" s="72" t="str">
        <f>IF(W27="","",(W27*10)*AJ27)</f>
        <v/>
      </c>
      <c r="X28" s="76" t="str">
        <f>IF(ROUNDUP(X27,1)&gt;0,IF((80+(8-ROUNDUP(X27,1))*40)&lt;0,0,80+(8-ROUNDUP(X27,1))*40),"")</f>
        <v/>
      </c>
      <c r="Y28" s="77" t="str">
        <f>IF(SUM(V28,W28,X28)&gt;0,SUM(V28,W28,X28),"")</f>
        <v/>
      </c>
      <c r="Z28" s="82" t="str">
        <f>IF(AE27&gt;34,(IF(OR(S28="",V28="",W28="",X28=""),"",SUM(S28,V28,W28,X28))*AI27),IF(OR(S28="",V28="",W28="",X28=""),"", SUM(S28,V28,W28,X28)))</f>
        <v/>
      </c>
      <c r="AA28" s="85"/>
      <c r="AC28" s="91"/>
      <c r="AD28" s="1"/>
      <c r="AE28" s="93"/>
      <c r="AF28" s="34"/>
      <c r="AH28" s="36"/>
      <c r="AI28" s="36"/>
    </row>
    <row r="29" spans="2:36" s="8" customFormat="1" ht="20.25" customHeight="1">
      <c r="B29" s="115"/>
      <c r="C29" s="83"/>
      <c r="D29" s="82"/>
      <c r="E29" s="83"/>
      <c r="F29" s="120"/>
      <c r="G29" s="121"/>
      <c r="H29" s="70"/>
      <c r="I29" s="122"/>
      <c r="J29" s="75"/>
      <c r="K29" s="78"/>
      <c r="L29" s="84"/>
      <c r="M29" s="84"/>
      <c r="N29" s="78"/>
      <c r="O29" s="84"/>
      <c r="P29" s="84"/>
      <c r="Q29" s="117" t="str">
        <f>IF(MAX(K29:M29)&gt;0,IF(MAX(K29:M29)&lt;0,0,TRUNC(MAX(K29:M29)/1)*1),"")</f>
        <v/>
      </c>
      <c r="R29" s="67" t="str">
        <f>IF(MAX(N29:P29)&gt;0,IF(MAX(N29:P29)&lt;0,0,TRUNC(MAX(N29:P29)/1)*1),"")</f>
        <v/>
      </c>
      <c r="S29" s="85" t="str">
        <f>IF(Q29="","",IF(R29="","",IF(SUM(Q29:R29)=0,"",SUM(Q29:R29))))</f>
        <v/>
      </c>
      <c r="T29" s="68" t="str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/>
      </c>
      <c r="U29" s="76" t="str">
        <f>IF(AF29=1,T29*AI29,"")</f>
        <v/>
      </c>
      <c r="V29" s="69"/>
      <c r="W29" s="69"/>
      <c r="X29" s="69"/>
      <c r="Y29" s="77"/>
      <c r="Z29" s="72"/>
      <c r="AA29" s="70"/>
      <c r="AB29" s="71"/>
      <c r="AC29" s="91">
        <f>U5</f>
        <v>45451</v>
      </c>
      <c r="AD29" s="95" t="b">
        <f>IF(ISNUMBER(FIND("M",E29)),"m",IF(ISNUMBER(FIND("K",E29)),"k"))</f>
        <v>0</v>
      </c>
      <c r="AE29" s="108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.25" customHeight="1">
      <c r="B30" s="116"/>
      <c r="C30" s="65"/>
      <c r="D30" s="72"/>
      <c r="E30" s="73"/>
      <c r="F30" s="73"/>
      <c r="G30" s="92"/>
      <c r="H30" s="74"/>
      <c r="I30" s="75"/>
      <c r="J30" s="75"/>
      <c r="K30" s="181"/>
      <c r="L30" s="182"/>
      <c r="M30" s="183"/>
      <c r="N30" s="181"/>
      <c r="O30" s="182"/>
      <c r="P30" s="183"/>
      <c r="Q30" s="118"/>
      <c r="R30" s="72"/>
      <c r="S30" s="129" t="str">
        <f>IF(T29="","",T29*1.2)</f>
        <v/>
      </c>
      <c r="T30" s="129"/>
      <c r="U30" s="72"/>
      <c r="V30" s="72" t="str">
        <f>IF(V29&gt;0,V29*20,"")</f>
        <v/>
      </c>
      <c r="W30" s="72" t="str">
        <f>IF(W29="","",(W29*10)*AJ29)</f>
        <v/>
      </c>
      <c r="X30" s="76" t="str">
        <f>IF(ROUNDUP(X29,1)&gt;0,IF((80+(8-ROUNDUP(X29,1))*40)&lt;0,0,80+(8-ROUNDUP(X29,1))*40),"")</f>
        <v/>
      </c>
      <c r="Y30" s="77" t="str">
        <f>IF(SUM(V30,W30,X30)&gt;0,SUM(V30,W30,X30),"")</f>
        <v/>
      </c>
      <c r="Z30" s="82" t="str">
        <f>IF(AE29&gt;34,(IF(OR(S30="",V30="",W30="",X30=""),"",SUM(S30,V30,W30,X30))*AI29),IF(OR(S30="",V30="",W30="",X30=""),"", SUM(S30,V30,W30,X30)))</f>
        <v/>
      </c>
      <c r="AA30" s="78"/>
      <c r="AB30" s="79"/>
      <c r="AC30" s="91"/>
      <c r="AD30" s="1"/>
      <c r="AE30" s="93"/>
      <c r="AF30" s="34"/>
      <c r="AH30" s="36"/>
      <c r="AI30" s="36"/>
    </row>
    <row r="31" spans="2:36" s="8" customFormat="1" ht="20.25" customHeight="1">
      <c r="B31" s="115"/>
      <c r="C31" s="109"/>
      <c r="D31" s="82"/>
      <c r="E31" s="111"/>
      <c r="F31" s="110"/>
      <c r="G31" s="88"/>
      <c r="H31" s="83"/>
      <c r="I31" s="75" t="s">
        <v>13</v>
      </c>
      <c r="J31" s="75"/>
      <c r="K31" s="66"/>
      <c r="L31" s="89"/>
      <c r="M31" s="89"/>
      <c r="N31" s="89"/>
      <c r="O31" s="90"/>
      <c r="P31" s="90"/>
      <c r="Q31" s="117" t="str">
        <f>IF(MAX(K31:M31)&gt;0,IF(MAX(K31:M31)&lt;0,0,TRUNC(MAX(K31:M31)/1)*1),"")</f>
        <v/>
      </c>
      <c r="R31" s="67" t="str">
        <f>IF(MAX(N31:P31)&gt;0,IF(MAX(N31:P31)&lt;0,0,TRUNC(MAX(N31:P31)/1)*1),"")</f>
        <v/>
      </c>
      <c r="S31" s="85" t="str">
        <f>IF(Q31="","",IF(R31="","",IF(SUM(Q31:R31)=0,"",SUM(Q31:R31))))</f>
        <v/>
      </c>
      <c r="T31" s="68" t="str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/>
      </c>
      <c r="U31" s="76" t="str">
        <f>IF(AF31=1,T31*AI31,"")</f>
        <v/>
      </c>
      <c r="V31" s="80"/>
      <c r="W31" s="80"/>
      <c r="X31" s="81"/>
      <c r="Y31" s="77"/>
      <c r="Z31" s="72"/>
      <c r="AA31" s="70"/>
      <c r="AB31" s="71"/>
      <c r="AC31" s="91">
        <f>U5</f>
        <v>45451</v>
      </c>
      <c r="AD31" s="95" t="b">
        <f>IF(ISNUMBER(FIND("M",E31)),"m",IF(ISNUMBER(FIND("K",E31)),"k"))</f>
        <v>0</v>
      </c>
      <c r="AE31" s="108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.25" customHeight="1">
      <c r="B32" s="116"/>
      <c r="C32" s="65"/>
      <c r="D32" s="72"/>
      <c r="E32" s="73"/>
      <c r="F32" s="73"/>
      <c r="G32" s="92"/>
      <c r="H32" s="74"/>
      <c r="I32" s="75"/>
      <c r="J32" s="75"/>
      <c r="K32" s="130"/>
      <c r="L32" s="130"/>
      <c r="M32" s="130"/>
      <c r="N32" s="130"/>
      <c r="O32" s="130"/>
      <c r="P32" s="130"/>
      <c r="Q32" s="118"/>
      <c r="R32" s="72"/>
      <c r="S32" s="129" t="str">
        <f>IF(T31="","",T31*1.2)</f>
        <v/>
      </c>
      <c r="T32" s="129"/>
      <c r="U32" s="72"/>
      <c r="V32" s="72" t="str">
        <f>IF(V31&gt;0,V31*20,"")</f>
        <v/>
      </c>
      <c r="W32" s="72" t="str">
        <f>IF(W31="","",(W31*10)*AJ31)</f>
        <v/>
      </c>
      <c r="X32" s="76" t="str">
        <f>IF(ROUNDUP(X31,1)&gt;0,IF((80+(8-ROUNDUP(X31,1))*40)&lt;0,0,80+(8-ROUNDUP(X31,1))*40),"")</f>
        <v/>
      </c>
      <c r="Y32" s="77" t="str">
        <f>IF(SUM(V32,W32,X32)&gt;0,SUM(V32,W32,X32),"")</f>
        <v/>
      </c>
      <c r="Z32" s="82" t="str">
        <f>IF(AE31&gt;34,(IF(OR(S32="",V32="",W32="",X32=""),"",SUM(S32,V32,W32,X32))*AI31),IF(OR(S32="",V32="",W32="",X32=""),"", SUM(S32,V32,W32,X32)))</f>
        <v/>
      </c>
      <c r="AA32" s="78"/>
      <c r="AB32" s="79"/>
      <c r="AC32" s="91"/>
      <c r="AD32" s="1"/>
      <c r="AE32" s="93"/>
      <c r="AF32" s="34"/>
      <c r="AH32" s="36"/>
      <c r="AI32" s="36"/>
    </row>
    <row r="33" spans="2:35" s="6" customFormat="1" ht="19.25" customHeight="1">
      <c r="D33" s="102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102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25" customHeight="1">
      <c r="B35" s="133" t="s">
        <v>34</v>
      </c>
      <c r="C35" s="134"/>
      <c r="D35" s="103" t="s">
        <v>33</v>
      </c>
      <c r="E35" s="133" t="s">
        <v>4</v>
      </c>
      <c r="F35" s="139"/>
      <c r="G35" s="139"/>
      <c r="H35" s="134"/>
      <c r="I35" s="50" t="s">
        <v>43</v>
      </c>
      <c r="J35" s="21"/>
      <c r="K35" s="133" t="s">
        <v>34</v>
      </c>
      <c r="L35" s="139"/>
      <c r="M35" s="134"/>
      <c r="N35" s="53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25" customHeight="1">
      <c r="B36" s="135" t="s">
        <v>41</v>
      </c>
      <c r="C36" s="136"/>
      <c r="D36" s="104">
        <v>1957001</v>
      </c>
      <c r="E36" s="140" t="s">
        <v>146</v>
      </c>
      <c r="F36" s="141"/>
      <c r="G36" s="141"/>
      <c r="H36" s="136"/>
      <c r="I36" s="49" t="s">
        <v>156</v>
      </c>
      <c r="J36" s="4"/>
      <c r="K36" s="135" t="s">
        <v>36</v>
      </c>
      <c r="L36" s="141"/>
      <c r="M36" s="136"/>
      <c r="N36" s="126">
        <v>1980001</v>
      </c>
      <c r="O36" s="151" t="s">
        <v>158</v>
      </c>
      <c r="P36" s="152"/>
      <c r="Q36" s="152"/>
      <c r="R36" s="153"/>
      <c r="S36" s="151" t="s">
        <v>156</v>
      </c>
      <c r="T36" s="180"/>
      <c r="AF36" s="1"/>
      <c r="AH36" s="35"/>
      <c r="AI36" s="35"/>
    </row>
    <row r="37" spans="2:35" s="5" customFormat="1" ht="21" customHeight="1">
      <c r="B37" s="137" t="s">
        <v>37</v>
      </c>
      <c r="C37" s="138"/>
      <c r="D37" s="105">
        <v>1990024</v>
      </c>
      <c r="E37" s="142" t="s">
        <v>157</v>
      </c>
      <c r="F37" s="143"/>
      <c r="G37" s="143"/>
      <c r="H37" s="138"/>
      <c r="I37" s="47" t="s">
        <v>156</v>
      </c>
      <c r="J37" s="4"/>
      <c r="K37" s="137" t="s">
        <v>39</v>
      </c>
      <c r="L37" s="143"/>
      <c r="M37" s="138"/>
      <c r="N37" s="51">
        <v>1963002</v>
      </c>
      <c r="O37" s="131" t="s">
        <v>61</v>
      </c>
      <c r="P37" s="154"/>
      <c r="Q37" s="154"/>
      <c r="R37" s="155"/>
      <c r="S37" s="131" t="s">
        <v>156</v>
      </c>
      <c r="T37" s="132"/>
      <c r="AH37" s="35"/>
      <c r="AI37" s="35"/>
    </row>
    <row r="38" spans="2:35" s="5" customFormat="1" ht="19.25" customHeight="1">
      <c r="B38" s="137" t="s">
        <v>37</v>
      </c>
      <c r="C38" s="138"/>
      <c r="D38" s="105">
        <v>2006023</v>
      </c>
      <c r="E38" s="142" t="s">
        <v>206</v>
      </c>
      <c r="F38" s="143"/>
      <c r="G38" s="143"/>
      <c r="H38" s="138"/>
      <c r="I38" s="47" t="s">
        <v>156</v>
      </c>
      <c r="J38" s="4"/>
      <c r="K38" s="137" t="s">
        <v>38</v>
      </c>
      <c r="L38" s="143"/>
      <c r="M38" s="138"/>
      <c r="N38" s="51"/>
      <c r="O38" s="131"/>
      <c r="P38" s="154"/>
      <c r="Q38" s="154"/>
      <c r="R38" s="155"/>
      <c r="S38" s="131"/>
      <c r="T38" s="132"/>
      <c r="V38" s="5" t="s">
        <v>55</v>
      </c>
      <c r="AH38" s="35"/>
      <c r="AI38" s="35"/>
    </row>
    <row r="39" spans="2:35" s="5" customFormat="1" ht="21" customHeight="1">
      <c r="B39" s="137" t="s">
        <v>37</v>
      </c>
      <c r="C39" s="138"/>
      <c r="D39" s="105">
        <v>1996021</v>
      </c>
      <c r="E39" s="142" t="s">
        <v>154</v>
      </c>
      <c r="F39" s="143"/>
      <c r="G39" s="143"/>
      <c r="H39" s="138"/>
      <c r="I39" s="47" t="s">
        <v>207</v>
      </c>
      <c r="J39" s="4"/>
      <c r="K39" s="137" t="s">
        <v>35</v>
      </c>
      <c r="L39" s="143"/>
      <c r="M39" s="138"/>
      <c r="N39" s="51"/>
      <c r="O39" s="131"/>
      <c r="P39" s="154"/>
      <c r="Q39" s="154"/>
      <c r="R39" s="155"/>
      <c r="S39" s="131"/>
      <c r="T39" s="132"/>
      <c r="AD39" s="5" t="s">
        <v>13</v>
      </c>
      <c r="AH39" s="35"/>
      <c r="AI39" s="35"/>
    </row>
    <row r="40" spans="2:35" s="5" customFormat="1" ht="20.25" customHeight="1">
      <c r="B40" s="137" t="s">
        <v>37</v>
      </c>
      <c r="C40" s="138"/>
      <c r="D40" s="105"/>
      <c r="E40" s="142"/>
      <c r="F40" s="143"/>
      <c r="G40" s="143"/>
      <c r="H40" s="138"/>
      <c r="I40" s="47"/>
      <c r="J40" s="4"/>
      <c r="K40" s="137" t="s">
        <v>35</v>
      </c>
      <c r="L40" s="143"/>
      <c r="M40" s="138"/>
      <c r="N40" s="51"/>
      <c r="O40" s="131"/>
      <c r="P40" s="154"/>
      <c r="Q40" s="154"/>
      <c r="R40" s="155"/>
      <c r="S40" s="131"/>
      <c r="T40" s="132"/>
      <c r="AH40" s="35"/>
      <c r="AI40" s="35"/>
    </row>
    <row r="41" spans="2:35" ht="19.25" customHeight="1">
      <c r="B41" s="137" t="s">
        <v>37</v>
      </c>
      <c r="C41" s="138"/>
      <c r="D41" s="105"/>
      <c r="E41" s="142"/>
      <c r="F41" s="143"/>
      <c r="G41" s="143"/>
      <c r="H41" s="138"/>
      <c r="I41" s="47"/>
      <c r="J41" s="3"/>
      <c r="K41" s="137" t="s">
        <v>35</v>
      </c>
      <c r="L41" s="143"/>
      <c r="M41" s="138"/>
      <c r="N41" s="51"/>
      <c r="O41" s="131"/>
      <c r="P41" s="154"/>
      <c r="Q41" s="154"/>
      <c r="R41" s="155"/>
      <c r="S41" s="131"/>
      <c r="T41" s="132"/>
      <c r="U41" s="3"/>
      <c r="V41" s="3"/>
      <c r="W41" s="3"/>
      <c r="X41" s="3"/>
      <c r="Y41" s="3"/>
      <c r="Z41" s="3"/>
      <c r="AA41" s="3"/>
      <c r="AB41" s="3"/>
    </row>
    <row r="42" spans="2:35" ht="20.25" customHeight="1">
      <c r="B42" s="137" t="s">
        <v>40</v>
      </c>
      <c r="C42" s="138"/>
      <c r="D42" s="105">
        <v>1992004</v>
      </c>
      <c r="E42" s="142" t="s">
        <v>67</v>
      </c>
      <c r="F42" s="143"/>
      <c r="G42" s="143"/>
      <c r="H42" s="138"/>
      <c r="I42" s="47" t="s">
        <v>156</v>
      </c>
      <c r="J42" s="3"/>
      <c r="K42" s="137" t="s">
        <v>56</v>
      </c>
      <c r="L42" s="143"/>
      <c r="M42" s="138"/>
      <c r="N42" s="51">
        <v>1963002</v>
      </c>
      <c r="O42" s="131" t="s">
        <v>61</v>
      </c>
      <c r="P42" s="154"/>
      <c r="Q42" s="154"/>
      <c r="R42" s="155"/>
      <c r="S42" s="131" t="s">
        <v>156</v>
      </c>
      <c r="T42" s="132"/>
      <c r="U42" s="3"/>
      <c r="V42" s="3"/>
      <c r="W42" s="3"/>
      <c r="X42" s="3"/>
      <c r="Y42" s="3"/>
      <c r="Z42" s="3"/>
      <c r="AA42" s="3"/>
      <c r="AB42" s="3"/>
    </row>
    <row r="43" spans="2:35" ht="20.25" customHeight="1">
      <c r="B43" s="145"/>
      <c r="C43" s="147"/>
      <c r="D43" s="106"/>
      <c r="E43" s="176"/>
      <c r="F43" s="146"/>
      <c r="G43" s="146"/>
      <c r="H43" s="147"/>
      <c r="I43" s="48"/>
      <c r="J43" s="3"/>
      <c r="K43" s="145"/>
      <c r="L43" s="146"/>
      <c r="M43" s="147"/>
      <c r="N43" s="52"/>
      <c r="O43" s="171"/>
      <c r="P43" s="172"/>
      <c r="Q43" s="172"/>
      <c r="R43" s="173"/>
      <c r="S43" s="171"/>
      <c r="T43" s="174"/>
      <c r="U43" s="3"/>
      <c r="V43" s="3"/>
      <c r="W43" s="3"/>
      <c r="X43" s="3"/>
      <c r="Y43" s="3"/>
      <c r="Z43" s="3"/>
      <c r="AA43" s="3"/>
      <c r="AB43" s="3"/>
    </row>
    <row r="44" spans="2:35" ht="19.25" customHeight="1">
      <c r="B44" s="178"/>
      <c r="C44" s="178"/>
      <c r="D44" s="144"/>
      <c r="E44" s="144"/>
      <c r="F44" s="55"/>
      <c r="G44" s="144"/>
      <c r="H44" s="144"/>
      <c r="I44" s="144"/>
      <c r="J44" s="3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7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100"/>
      <c r="E47" s="46"/>
      <c r="F47" s="46"/>
      <c r="G47" s="100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107"/>
      <c r="E48" s="13"/>
      <c r="F48" s="13"/>
      <c r="G48" s="101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75"/>
      <c r="F50" s="175"/>
      <c r="G50" s="175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31">
    <cfRule type="cellIs" dxfId="51" priority="24" stopIfTrue="1" operator="lessThanOrEqual">
      <formula>0</formula>
    </cfRule>
    <cfRule type="cellIs" dxfId="50" priority="23" stopIfTrue="1" operator="between">
      <formula>1</formula>
      <formula>300</formula>
    </cfRule>
  </conditionalFormatting>
  <conditionalFormatting sqref="K9:P9">
    <cfRule type="cellIs" dxfId="49" priority="18" stopIfTrue="1" operator="lessThanOrEqual">
      <formula>0</formula>
    </cfRule>
    <cfRule type="cellIs" dxfId="48" priority="17" stopIfTrue="1" operator="between">
      <formula>1</formula>
      <formula>300</formula>
    </cfRule>
  </conditionalFormatting>
  <conditionalFormatting sqref="K11:P11">
    <cfRule type="cellIs" dxfId="47" priority="5" stopIfTrue="1" operator="between">
      <formula>1</formula>
      <formula>300</formula>
    </cfRule>
    <cfRule type="cellIs" dxfId="46" priority="6" stopIfTrue="1" operator="lessThanOrEqual">
      <formula>0</formula>
    </cfRule>
  </conditionalFormatting>
  <conditionalFormatting sqref="K13:P13">
    <cfRule type="cellIs" dxfId="45" priority="7" stopIfTrue="1" operator="between">
      <formula>1</formula>
      <formula>300</formula>
    </cfRule>
    <cfRule type="cellIs" dxfId="44" priority="8" stopIfTrue="1" operator="lessThanOrEqual">
      <formula>0</formula>
    </cfRule>
  </conditionalFormatting>
  <conditionalFormatting sqref="K15:P15">
    <cfRule type="cellIs" dxfId="43" priority="15" stopIfTrue="1" operator="between">
      <formula>1</formula>
      <formula>300</formula>
    </cfRule>
    <cfRule type="cellIs" dxfId="42" priority="16" stopIfTrue="1" operator="lessThanOrEqual">
      <formula>0</formula>
    </cfRule>
  </conditionalFormatting>
  <conditionalFormatting sqref="K17:P17">
    <cfRule type="cellIs" dxfId="41" priority="19" stopIfTrue="1" operator="between">
      <formula>1</formula>
      <formula>300</formula>
    </cfRule>
    <cfRule type="cellIs" dxfId="40" priority="20" stopIfTrue="1" operator="lessThanOrEqual">
      <formula>0</formula>
    </cfRule>
  </conditionalFormatting>
  <conditionalFormatting sqref="K19:P19">
    <cfRule type="cellIs" dxfId="39" priority="10" stopIfTrue="1" operator="lessThanOrEqual">
      <formula>0</formula>
    </cfRule>
    <cfRule type="cellIs" dxfId="38" priority="9" stopIfTrue="1" operator="between">
      <formula>1</formula>
      <formula>300</formula>
    </cfRule>
  </conditionalFormatting>
  <conditionalFormatting sqref="K21:P21">
    <cfRule type="cellIs" dxfId="37" priority="11" stopIfTrue="1" operator="between">
      <formula>1</formula>
      <formula>300</formula>
    </cfRule>
    <cfRule type="cellIs" dxfId="36" priority="12" stopIfTrue="1" operator="lessThanOrEqual">
      <formula>0</formula>
    </cfRule>
  </conditionalFormatting>
  <conditionalFormatting sqref="K23:P23">
    <cfRule type="cellIs" dxfId="35" priority="13" stopIfTrue="1" operator="between">
      <formula>1</formula>
      <formula>300</formula>
    </cfRule>
    <cfRule type="cellIs" dxfId="34" priority="14" stopIfTrue="1" operator="lessThanOrEqual">
      <formula>0</formula>
    </cfRule>
  </conditionalFormatting>
  <conditionalFormatting sqref="K25:P25">
    <cfRule type="cellIs" dxfId="33" priority="21" stopIfTrue="1" operator="between">
      <formula>1</formula>
      <formula>300</formula>
    </cfRule>
    <cfRule type="cellIs" dxfId="32" priority="22" stopIfTrue="1" operator="lessThanOrEqual">
      <formula>0</formula>
    </cfRule>
  </conditionalFormatting>
  <conditionalFormatting sqref="K27:P27">
    <cfRule type="cellIs" dxfId="31" priority="1" stopIfTrue="1" operator="between">
      <formula>1</formula>
      <formula>300</formula>
    </cfRule>
    <cfRule type="cellIs" dxfId="30" priority="2" stopIfTrue="1" operator="lessThanOrEqual">
      <formula>0</formula>
    </cfRule>
  </conditionalFormatting>
  <conditionalFormatting sqref="K29:P29">
    <cfRule type="cellIs" dxfId="29" priority="4" stopIfTrue="1" operator="lessThanOrEqual">
      <formula>0</formula>
    </cfRule>
    <cfRule type="cellIs" dxfId="28" priority="3" stopIfTrue="1" operator="between">
      <formula>1</formula>
      <formula>300</formula>
    </cfRule>
  </conditionalFormatting>
  <conditionalFormatting sqref="L31:N31">
    <cfRule type="cellIs" dxfId="27" priority="25" stopIfTrue="1" operator="between">
      <formula>1</formula>
      <formula>300</formula>
    </cfRule>
    <cfRule type="cellIs" dxfId="26" priority="26" stopIfTrue="1" operator="lessThanOrEqual">
      <formula>0</formula>
    </cfRule>
  </conditionalFormatting>
  <dataValidations count="5">
    <dataValidation type="list" allowBlank="1" showInputMessage="1" showErrorMessage="1" sqref="B36:C43 K36:M43" xr:uid="{9FE2279A-8F6A-4B6F-BF29-0640A488D5C1}">
      <formula1>"Dommer,Stevnets leder,Jury,Sekretær,Speaker,Teknisk kontrollør, Chief Marshall,Tidtaker"</formula1>
    </dataValidation>
    <dataValidation type="list" allowBlank="1" showInputMessage="1" showErrorMessage="1" sqref="D5:I5" xr:uid="{7F846425-827A-4772-84C1-88E2AB0B357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31 C15 C17 C19 C21 C23 C25 C13 C27 C29" xr:uid="{4FC0EA5C-A87A-4139-9807-D58F1AB17060}">
      <formula1>"40,45,49,55,59,64,71,76,81,+81,87,+87,49,55,61,67,73,81,89,96,102,+102,109,+109"</formula1>
    </dataValidation>
    <dataValidation type="list" allowBlank="1" showInputMessage="1" showErrorMessage="1" sqref="E9 E11 E31 E15 E17 E19 E21 E23 E25 E13 E27 E29" xr:uid="{9A3D6083-C4F8-4F40-BC3B-FB936F2DE762}">
      <formula1>"UM,JM,SM,UK,JK,SK,M35,M40,M45,M50,M55,M60,M65,M70,M75,M80,M85,M90,K35,K40,K45,K50,K55,K60,K65,K70,K75,K80,K85,K90"</formula1>
    </dataValidation>
    <dataValidation type="list" allowBlank="1" showInputMessage="1" showErrorMessage="1" sqref="F9 F11 F31 F15 F17 F19 F21 F23 F25 F13 F27 F29" xr:uid="{A4032E39-D993-4AC7-90A8-38FC56B7BBF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1896-2458-453B-B043-D0AC29C78C2D}">
  <sheetPr>
    <pageSetUpPr autoPageBreaks="0" fitToPage="1"/>
  </sheetPr>
  <dimension ref="A1:AJ50"/>
  <sheetViews>
    <sheetView showGridLines="0" showRowColHeaders="0" showZeros="0" tabSelected="1" showOutlineSymbols="0" zoomScaleNormal="100" zoomScaleSheetLayoutView="75" zoomScalePageLayoutView="120" workbookViewId="0">
      <selection activeCell="B9" sqref="B9"/>
    </sheetView>
  </sheetViews>
  <sheetFormatPr baseColWidth="10" defaultColWidth="9.19921875" defaultRowHeight="13"/>
  <cols>
    <col min="1" max="1" width="4.19921875" style="3" customWidth="1"/>
    <col min="2" max="2" width="10.19921875" style="3" bestFit="1" customWidth="1"/>
    <col min="3" max="3" width="6.19921875" style="1" customWidth="1"/>
    <col min="4" max="4" width="8.796875" style="1" customWidth="1"/>
    <col min="5" max="6" width="6.19921875" style="16" customWidth="1"/>
    <col min="7" max="7" width="10.796875" style="1" customWidth="1"/>
    <col min="8" max="8" width="3.796875" style="1" customWidth="1"/>
    <col min="9" max="9" width="27.796875" style="4" customWidth="1"/>
    <col min="10" max="10" width="19.796875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19921875" style="17" customWidth="1"/>
    <col min="28" max="28" width="5.796875" style="17" customWidth="1"/>
    <col min="29" max="29" width="9.79687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16384" width="9.19921875" style="3"/>
  </cols>
  <sheetData>
    <row r="1" spans="1:36" customFormat="1" ht="19.25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66" t="s">
        <v>58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5"/>
      <c r="T2" s="15"/>
      <c r="U2" s="112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113"/>
      <c r="F3" s="15"/>
      <c r="G3" s="167" t="s">
        <v>21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14" t="s">
        <v>60</v>
      </c>
      <c r="T3" s="114"/>
      <c r="U3" s="114"/>
      <c r="V3" s="114"/>
      <c r="W3" s="114"/>
      <c r="X3" s="114"/>
      <c r="Y3" s="114"/>
      <c r="Z3" s="114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59" t="s">
        <v>152</v>
      </c>
      <c r="E5" s="159"/>
      <c r="F5" s="159"/>
      <c r="G5" s="159"/>
      <c r="H5" s="159"/>
      <c r="I5" s="159"/>
      <c r="J5" s="24" t="s">
        <v>0</v>
      </c>
      <c r="K5" s="159" t="s">
        <v>156</v>
      </c>
      <c r="L5" s="159"/>
      <c r="M5" s="159"/>
      <c r="N5" s="159"/>
      <c r="O5" s="24" t="s">
        <v>1</v>
      </c>
      <c r="P5" s="158" t="s">
        <v>159</v>
      </c>
      <c r="Q5" s="158"/>
      <c r="R5" s="158"/>
      <c r="S5" s="158"/>
      <c r="T5" s="24" t="s">
        <v>2</v>
      </c>
      <c r="U5" s="128">
        <v>45451</v>
      </c>
      <c r="V5" s="128"/>
      <c r="W5" s="54"/>
      <c r="X5" s="54"/>
      <c r="Y5" s="54"/>
      <c r="Z5" s="25" t="s">
        <v>15</v>
      </c>
      <c r="AA5" s="25"/>
      <c r="AB5" s="26">
        <v>4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9" t="s">
        <v>57</v>
      </c>
    </row>
    <row r="7" spans="1:36" s="1" customFormat="1">
      <c r="B7" s="156" t="s">
        <v>33</v>
      </c>
      <c r="C7" s="160" t="s">
        <v>53</v>
      </c>
      <c r="D7" s="160" t="s">
        <v>52</v>
      </c>
      <c r="E7" s="162" t="s">
        <v>54</v>
      </c>
      <c r="F7" s="164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6" t="s">
        <v>9</v>
      </c>
      <c r="V7" s="62" t="s">
        <v>45</v>
      </c>
      <c r="W7" s="62" t="s">
        <v>46</v>
      </c>
      <c r="X7" s="62" t="s">
        <v>47</v>
      </c>
      <c r="Y7" s="97" t="s">
        <v>48</v>
      </c>
      <c r="Z7" s="98" t="s">
        <v>44</v>
      </c>
      <c r="AA7" s="99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9"/>
    </row>
    <row r="8" spans="1:36" s="1" customFormat="1">
      <c r="B8" s="157"/>
      <c r="C8" s="161"/>
      <c r="D8" s="161"/>
      <c r="E8" s="163"/>
      <c r="F8" s="165"/>
      <c r="G8" s="56" t="s">
        <v>14</v>
      </c>
      <c r="H8" s="56" t="s">
        <v>20</v>
      </c>
      <c r="I8" s="56"/>
      <c r="J8" s="56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49</v>
      </c>
      <c r="Z8" s="64" t="s">
        <v>50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25" customHeight="1">
      <c r="B9" s="127">
        <v>2006008</v>
      </c>
      <c r="C9" s="83" t="s">
        <v>124</v>
      </c>
      <c r="D9" s="82">
        <v>72.28</v>
      </c>
      <c r="E9" s="83" t="s">
        <v>121</v>
      </c>
      <c r="F9" s="120" t="s">
        <v>87</v>
      </c>
      <c r="G9" s="121">
        <v>38922</v>
      </c>
      <c r="H9" s="70">
        <v>1</v>
      </c>
      <c r="I9" s="75" t="s">
        <v>196</v>
      </c>
      <c r="J9" s="75" t="s">
        <v>156</v>
      </c>
      <c r="K9" s="78">
        <v>90</v>
      </c>
      <c r="L9" s="84">
        <v>-94</v>
      </c>
      <c r="M9" s="84">
        <v>-97</v>
      </c>
      <c r="N9" s="78">
        <v>120</v>
      </c>
      <c r="O9" s="84">
        <v>-125</v>
      </c>
      <c r="P9" s="84">
        <v>-125</v>
      </c>
      <c r="Q9" s="117">
        <f>IF(MAX(K9:M9)&gt;0,IF(MAX(K9:M9)&lt;0,0,TRUNC(MAX(K9:M9)/1)*1),"")</f>
        <v>90</v>
      </c>
      <c r="R9" s="67">
        <f>IF(MAX(N9:P9)&gt;0,IF(MAX(N9:P9)&lt;0,0,TRUNC(MAX(N9:P9)/1)*1),"")</f>
        <v>120</v>
      </c>
      <c r="S9" s="67">
        <f>IF(Q9="","",IF(R9="","",IF(SUM(Q9:R9)=0,"",SUM(Q9:R9))))</f>
        <v>210</v>
      </c>
      <c r="T9" s="6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284.81347922524776</v>
      </c>
      <c r="U9" s="76" t="str">
        <f>IF(AF9=1,T9*AI9,"")</f>
        <v/>
      </c>
      <c r="V9" s="69">
        <v>8.18</v>
      </c>
      <c r="W9" s="69">
        <v>13.7</v>
      </c>
      <c r="X9" s="69">
        <v>5.59</v>
      </c>
      <c r="Y9" s="68"/>
      <c r="Z9" s="72"/>
      <c r="AA9" s="72"/>
      <c r="AB9" s="71"/>
      <c r="AC9" s="94">
        <f>U5</f>
        <v>45451</v>
      </c>
      <c r="AD9" s="95" t="str">
        <f>IF(ISNUMBER(FIND("M",E9)),"m",IF(ISNUMBER(FIND("K",E9)),"k"))</f>
        <v>m</v>
      </c>
      <c r="AE9" s="93">
        <f>IF(OR(G9="",AC9=""),0,(YEAR(AC9)-YEAR(G9)))</f>
        <v>18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1.3562546629773704</v>
      </c>
    </row>
    <row r="10" spans="1:36" s="8" customFormat="1" ht="20.25" customHeight="1">
      <c r="B10" s="115"/>
      <c r="C10" s="72"/>
      <c r="D10" s="72"/>
      <c r="E10" s="72"/>
      <c r="F10" s="73"/>
      <c r="G10" s="74"/>
      <c r="H10" s="78"/>
      <c r="I10" s="75"/>
      <c r="J10" s="75"/>
      <c r="K10" s="129"/>
      <c r="L10" s="129"/>
      <c r="M10" s="129"/>
      <c r="N10" s="130"/>
      <c r="O10" s="130"/>
      <c r="P10" s="130"/>
      <c r="Q10" s="118"/>
      <c r="R10" s="72"/>
      <c r="S10" s="129">
        <f>IF(T9="","",T9*1.2)</f>
        <v>341.77617507029731</v>
      </c>
      <c r="T10" s="129"/>
      <c r="U10" s="72"/>
      <c r="V10" s="72">
        <f>IF(V9&gt;0,V9*20,"")</f>
        <v>163.6</v>
      </c>
      <c r="W10" s="72">
        <f>IF(W9="","",(W9*10)*AJ9)</f>
        <v>185.80688882789974</v>
      </c>
      <c r="X10" s="76">
        <f>IF(ROUNDUP(X9,1)&gt;0,IF((80+(8-ROUNDUP(X9,1))*40)&lt;0,0,80+(8-ROUNDUP(X9,1))*40),"")</f>
        <v>176</v>
      </c>
      <c r="Y10" s="77">
        <f>IF(SUM(V10,W10,X10)&gt;0,SUM(V10,W10,X10),"")</f>
        <v>525.40688882789971</v>
      </c>
      <c r="Z10" s="82">
        <f>IF(AE9&gt;34,(IF(OR(S10="",V10="",W10="",X10=""),"",SUM(S10,V10,W10,X10))*AI9),IF(OR(S10="",V10="",W10="",X10=""),"", SUM(S10,V10,W10,X10)))</f>
        <v>867.18306389819713</v>
      </c>
      <c r="AA10" s="84">
        <v>2</v>
      </c>
      <c r="AB10" s="79"/>
      <c r="AC10" s="91"/>
      <c r="AD10" s="1"/>
      <c r="AE10" s="93"/>
      <c r="AF10" s="40"/>
      <c r="AH10" s="36"/>
      <c r="AI10" s="36"/>
    </row>
    <row r="11" spans="1:36" s="8" customFormat="1" ht="20.25" customHeight="1">
      <c r="B11" s="115" t="s">
        <v>197</v>
      </c>
      <c r="C11" s="83" t="s">
        <v>143</v>
      </c>
      <c r="D11" s="82">
        <v>91.79</v>
      </c>
      <c r="E11" s="83" t="s">
        <v>121</v>
      </c>
      <c r="F11" s="120" t="s">
        <v>87</v>
      </c>
      <c r="G11" s="121">
        <v>38951</v>
      </c>
      <c r="H11" s="70">
        <v>2</v>
      </c>
      <c r="I11" s="75" t="s">
        <v>198</v>
      </c>
      <c r="J11" s="75" t="s">
        <v>156</v>
      </c>
      <c r="K11" s="78">
        <v>94</v>
      </c>
      <c r="L11" s="84">
        <v>-97</v>
      </c>
      <c r="M11" s="84">
        <v>-97</v>
      </c>
      <c r="N11" s="78">
        <v>120</v>
      </c>
      <c r="O11" s="84">
        <v>-125</v>
      </c>
      <c r="P11" s="84">
        <v>-125</v>
      </c>
      <c r="Q11" s="117">
        <f>IF(MAX(K11:M11)&gt;0,IF(MAX(K11:M11)&lt;0,0,TRUNC(MAX(K11:M11)/1)*1),"")</f>
        <v>94</v>
      </c>
      <c r="R11" s="67">
        <f>IF(MAX(N11:P11)&gt;0,IF(MAX(N11:P11)&lt;0,0,TRUNC(MAX(N11:P11)/1)*1),"")</f>
        <v>120</v>
      </c>
      <c r="S11" s="67">
        <f>IF(Q11="","",IF(R11="","",IF(SUM(Q11:R11)=0,"",SUM(Q11:R11))))</f>
        <v>214</v>
      </c>
      <c r="T11" s="6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254.88687342666748</v>
      </c>
      <c r="U11" s="76" t="str">
        <f>IF(AF11=1,T11*AI11,"")</f>
        <v/>
      </c>
      <c r="V11" s="69">
        <v>7.5</v>
      </c>
      <c r="W11" s="69">
        <v>9.59</v>
      </c>
      <c r="X11" s="69">
        <v>6.81</v>
      </c>
      <c r="Y11" s="77"/>
      <c r="Z11" s="72"/>
      <c r="AA11" s="70"/>
      <c r="AB11" s="71"/>
      <c r="AC11" s="91">
        <f>U5</f>
        <v>45451</v>
      </c>
      <c r="AD11" s="95" t="str">
        <f>IF(ISNUMBER(FIND("M",E11)),"m",IF(ISNUMBER(FIND("K",E11)),"k"))</f>
        <v>m</v>
      </c>
      <c r="AE11" s="93">
        <f>IF(OR(G11="",AC11=""),0,(YEAR(AC11)-YEAR(G11)))</f>
        <v>18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1.1910601561993808</v>
      </c>
    </row>
    <row r="12" spans="1:36" s="8" customFormat="1" ht="20.25" customHeight="1">
      <c r="B12" s="116"/>
      <c r="C12" s="72"/>
      <c r="D12" s="72"/>
      <c r="E12" s="72"/>
      <c r="F12" s="73"/>
      <c r="G12" s="74"/>
      <c r="H12" s="78"/>
      <c r="I12" s="75"/>
      <c r="J12" s="75"/>
      <c r="K12" s="129"/>
      <c r="L12" s="129"/>
      <c r="M12" s="129"/>
      <c r="N12" s="130"/>
      <c r="O12" s="130"/>
      <c r="P12" s="130"/>
      <c r="Q12" s="118"/>
      <c r="R12" s="72"/>
      <c r="S12" s="129">
        <f>IF(T11="","",T11*1.2)</f>
        <v>305.86424811200095</v>
      </c>
      <c r="T12" s="129"/>
      <c r="U12" s="82"/>
      <c r="V12" s="72">
        <f>IF(V11&gt;0,V11*20,"")</f>
        <v>150</v>
      </c>
      <c r="W12" s="72">
        <f>IF(W11="","",(W11*10)*AJ11)</f>
        <v>114.22266897952062</v>
      </c>
      <c r="X12" s="76">
        <f>IF(ROUNDUP(X11,1)&gt;0,IF((80+(8-ROUNDUP(X11,1))*40)&lt;0,0,80+(8-ROUNDUP(X11,1))*40),"")</f>
        <v>124.00000000000003</v>
      </c>
      <c r="Y12" s="77">
        <f>IF(SUM(V12,W12,X12)&gt;0,SUM(V12,W12,X12),"")</f>
        <v>388.22266897952068</v>
      </c>
      <c r="Z12" s="82">
        <f>IF(AE11&gt;34,(IF(OR(S12="",V12="",W12="",X12=""),"",SUM(S12,V12,W12,X12))*AI11),IF(OR(S12="",V12="",W12="",X12=""),"", SUM(S12,V12,W12,X12)))</f>
        <v>694.08691709152163</v>
      </c>
      <c r="AA12" s="78">
        <v>6</v>
      </c>
      <c r="AB12" s="79"/>
      <c r="AC12" s="91"/>
      <c r="AD12" s="1"/>
      <c r="AE12" s="93"/>
      <c r="AF12" s="34"/>
      <c r="AH12" s="36"/>
      <c r="AI12" s="36"/>
    </row>
    <row r="13" spans="1:36" s="8" customFormat="1" ht="20.25" customHeight="1">
      <c r="B13" s="115" t="s">
        <v>200</v>
      </c>
      <c r="C13" s="83" t="s">
        <v>111</v>
      </c>
      <c r="D13" s="82">
        <v>84.42</v>
      </c>
      <c r="E13" s="83" t="s">
        <v>121</v>
      </c>
      <c r="F13" s="120" t="s">
        <v>87</v>
      </c>
      <c r="G13" s="121">
        <v>38859</v>
      </c>
      <c r="H13" s="70">
        <v>3</v>
      </c>
      <c r="I13" s="75" t="s">
        <v>199</v>
      </c>
      <c r="J13" s="75" t="s">
        <v>156</v>
      </c>
      <c r="K13" s="78">
        <v>102</v>
      </c>
      <c r="L13" s="84">
        <v>-105</v>
      </c>
      <c r="M13" s="84">
        <v>-105</v>
      </c>
      <c r="N13" s="78">
        <v>125</v>
      </c>
      <c r="O13" s="84">
        <v>130</v>
      </c>
      <c r="P13" s="84">
        <v>-133</v>
      </c>
      <c r="Q13" s="117">
        <f>IF(MAX(K13:M13)&gt;0,IF(MAX(K13:M13)&lt;0,0,TRUNC(MAX(K13:M13)/1)*1),"")</f>
        <v>102</v>
      </c>
      <c r="R13" s="67">
        <f>IF(MAX(N13:P13)&gt;0,IF(MAX(N13:P13)&lt;0,0,TRUNC(MAX(N13:P13)/1)*1),"")</f>
        <v>130</v>
      </c>
      <c r="S13" s="67">
        <f>IF(Q13="","",IF(R13="","",IF(SUM(Q13:R13)=0,"",SUM(Q13:R13))))</f>
        <v>232</v>
      </c>
      <c r="T13" s="6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288.01032812516075</v>
      </c>
      <c r="U13" s="76" t="str">
        <f>IF(AF13=1,T13*AI13,"")</f>
        <v/>
      </c>
      <c r="V13" s="69">
        <v>7.93</v>
      </c>
      <c r="W13" s="69">
        <v>12.69</v>
      </c>
      <c r="X13" s="69">
        <v>6.5</v>
      </c>
      <c r="Y13" s="86"/>
      <c r="Z13" s="72"/>
      <c r="AA13" s="70"/>
      <c r="AB13" s="71"/>
      <c r="AC13" s="91">
        <f>U5</f>
        <v>45451</v>
      </c>
      <c r="AD13" s="95" t="str">
        <f>IF(ISNUMBER(FIND("M",E13)),"m",IF(ISNUMBER(FIND("K",E13)),"k"))</f>
        <v>m</v>
      </c>
      <c r="AE13" s="93">
        <f>IF(OR(G13="",AC13=""),0,(YEAR(AC13)-YEAR(G13)))</f>
        <v>18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1.2414238281256929</v>
      </c>
    </row>
    <row r="14" spans="1:36" s="8" customFormat="1" ht="20.25" customHeight="1">
      <c r="B14" s="116"/>
      <c r="C14" s="72"/>
      <c r="D14" s="72"/>
      <c r="E14" s="72"/>
      <c r="F14" s="73"/>
      <c r="G14" s="74"/>
      <c r="H14" s="78"/>
      <c r="I14" s="75"/>
      <c r="J14" s="75"/>
      <c r="K14" s="129"/>
      <c r="L14" s="129"/>
      <c r="M14" s="129"/>
      <c r="N14" s="130"/>
      <c r="O14" s="130"/>
      <c r="P14" s="130"/>
      <c r="Q14" s="118"/>
      <c r="R14" s="72"/>
      <c r="S14" s="129">
        <f>IF(T13="","",T13*1.2)</f>
        <v>345.61239375019289</v>
      </c>
      <c r="T14" s="129"/>
      <c r="U14" s="72"/>
      <c r="V14" s="72">
        <f>IF(V13&gt;0,V13*20,"")</f>
        <v>158.6</v>
      </c>
      <c r="W14" s="72">
        <f>IF(W13="","",(W13*10)*AJ13)</f>
        <v>157.5366837891504</v>
      </c>
      <c r="X14" s="76">
        <f>IF(ROUNDUP(X13,1)&gt;0,IF((80+(8-ROUNDUP(X13,1))*40)&lt;0,0,80+(8-ROUNDUP(X13,1))*40),"")</f>
        <v>140</v>
      </c>
      <c r="Y14" s="77">
        <f>IF(SUM(V14,W14,X14)&gt;0,SUM(V14,W14,X14),"")</f>
        <v>456.13668378915042</v>
      </c>
      <c r="Z14" s="82">
        <f>IF(AE13&gt;34,(IF(OR(S14="",V14="",W14="",X14=""),"",SUM(S14,V14,W14,X14))*AI13),IF(OR(S14="",V14="",W14="",X14=""),"", SUM(S14,V14,W14,X14)))</f>
        <v>801.74907753934326</v>
      </c>
      <c r="AA14" s="84" t="s">
        <v>131</v>
      </c>
      <c r="AB14" s="79"/>
      <c r="AC14" s="91"/>
      <c r="AD14" s="1"/>
      <c r="AE14" s="93"/>
      <c r="AF14" s="34"/>
      <c r="AH14" s="36"/>
      <c r="AI14" s="36"/>
    </row>
    <row r="15" spans="1:36" s="8" customFormat="1" ht="20.25" customHeight="1">
      <c r="B15" s="115" t="s">
        <v>202</v>
      </c>
      <c r="C15" s="83" t="s">
        <v>123</v>
      </c>
      <c r="D15" s="82">
        <v>77.38</v>
      </c>
      <c r="E15" s="83" t="s">
        <v>121</v>
      </c>
      <c r="F15" s="120" t="s">
        <v>87</v>
      </c>
      <c r="G15" s="121">
        <v>39076</v>
      </c>
      <c r="H15" s="70">
        <v>4</v>
      </c>
      <c r="I15" s="75" t="s">
        <v>201</v>
      </c>
      <c r="J15" s="75" t="s">
        <v>156</v>
      </c>
      <c r="K15" s="78">
        <v>-75</v>
      </c>
      <c r="L15" s="84">
        <v>75</v>
      </c>
      <c r="M15" s="84">
        <v>78</v>
      </c>
      <c r="N15" s="78">
        <v>95</v>
      </c>
      <c r="O15" s="84">
        <v>100</v>
      </c>
      <c r="P15" s="84">
        <v>-105</v>
      </c>
      <c r="Q15" s="117">
        <f>IF(MAX(K15:M15)&gt;0,IF(MAX(K15:M15)&lt;0,0,TRUNC(MAX(K15:M15)/1)*1),"")</f>
        <v>78</v>
      </c>
      <c r="R15" s="67">
        <f>IF(MAX(N15:P15)&gt;0,IF(MAX(N15:P15)&lt;0,0,TRUNC(MAX(N15:P15)/1)*1),"")</f>
        <v>100</v>
      </c>
      <c r="S15" s="67">
        <f>IF(Q15="","",IF(R15="","",IF(SUM(Q15:R15)=0,"",SUM(Q15:R15))))</f>
        <v>178</v>
      </c>
      <c r="T15" s="6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231.78178571896382</v>
      </c>
      <c r="U15" s="76" t="str">
        <f>IF(AF15=1,T15*AI15,"")</f>
        <v/>
      </c>
      <c r="V15" s="69">
        <v>7.73</v>
      </c>
      <c r="W15" s="69">
        <v>11.12</v>
      </c>
      <c r="X15" s="69">
        <v>7</v>
      </c>
      <c r="Y15" s="77"/>
      <c r="Z15" s="72"/>
      <c r="AA15" s="70"/>
      <c r="AB15" s="71"/>
      <c r="AC15" s="91">
        <f>U5</f>
        <v>45451</v>
      </c>
      <c r="AD15" s="95" t="str">
        <f>IF(ISNUMBER(FIND("M",E15)),"m",IF(ISNUMBER(FIND("K",E15)),"k"))</f>
        <v>m</v>
      </c>
      <c r="AE15" s="93">
        <f>IF(OR(G15="",AC15=""),0,(YEAR(AC15)-YEAR(G15)))</f>
        <v>18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1.3021448635896844</v>
      </c>
    </row>
    <row r="16" spans="1:36" s="8" customFormat="1" ht="20.25" customHeight="1">
      <c r="B16" s="116"/>
      <c r="C16" s="72"/>
      <c r="D16" s="72"/>
      <c r="E16" s="72"/>
      <c r="F16" s="73"/>
      <c r="G16" s="74"/>
      <c r="H16" s="78"/>
      <c r="I16" s="75"/>
      <c r="J16" s="75"/>
      <c r="K16" s="129"/>
      <c r="L16" s="129"/>
      <c r="M16" s="129"/>
      <c r="N16" s="130"/>
      <c r="O16" s="130"/>
      <c r="P16" s="130"/>
      <c r="Q16" s="119"/>
      <c r="R16" s="87"/>
      <c r="S16" s="129">
        <f>IF(T15="","",T15*1.2)</f>
        <v>278.13814286275658</v>
      </c>
      <c r="T16" s="129"/>
      <c r="U16" s="72"/>
      <c r="V16" s="72">
        <f>IF(V15&gt;0,V15*20,"")</f>
        <v>154.60000000000002</v>
      </c>
      <c r="W16" s="72">
        <f>IF(W15="","",(W15*10)*AJ15)</f>
        <v>144.79850883117288</v>
      </c>
      <c r="X16" s="76">
        <f>IF(ROUNDUP(X15,1)&gt;0,IF((80+(8-ROUNDUP(X15,1))*40)&lt;0,0,80+(8-ROUNDUP(X15,1))*40),"")</f>
        <v>120</v>
      </c>
      <c r="Y16" s="77">
        <f>IF(SUM(V16,W16,X16)&gt;0,SUM(V16,W16,X16),"")</f>
        <v>419.39850883117288</v>
      </c>
      <c r="Z16" s="82">
        <f>IF(AE15&gt;34,(IF(OR(S16="",V16="",W16="",X16=""),"",SUM(S16,V16,W16,X16))*AI15),IF(OR(S16="",V16="",W16="",X16=""),"", SUM(S16,V16,W16,X16)))</f>
        <v>697.53665169392946</v>
      </c>
      <c r="AA16" s="78">
        <v>5</v>
      </c>
      <c r="AB16" s="79"/>
      <c r="AC16" s="91"/>
      <c r="AD16" s="1"/>
      <c r="AE16" s="93"/>
      <c r="AF16" s="34"/>
      <c r="AH16" s="36"/>
      <c r="AI16" s="36"/>
    </row>
    <row r="17" spans="2:36" s="8" customFormat="1" ht="20.25" customHeight="1">
      <c r="B17" s="115" t="s">
        <v>105</v>
      </c>
      <c r="C17" s="83" t="s">
        <v>124</v>
      </c>
      <c r="D17" s="82">
        <v>72.98</v>
      </c>
      <c r="E17" s="83" t="s">
        <v>120</v>
      </c>
      <c r="F17" s="120" t="s">
        <v>87</v>
      </c>
      <c r="G17" s="121">
        <v>39373</v>
      </c>
      <c r="H17" s="70">
        <v>5</v>
      </c>
      <c r="I17" s="75" t="s">
        <v>77</v>
      </c>
      <c r="J17" s="75" t="s">
        <v>167</v>
      </c>
      <c r="K17" s="78">
        <v>57</v>
      </c>
      <c r="L17" s="84">
        <v>60</v>
      </c>
      <c r="M17" s="84">
        <v>-62</v>
      </c>
      <c r="N17" s="78">
        <v>65</v>
      </c>
      <c r="O17" s="84">
        <v>68</v>
      </c>
      <c r="P17" s="84">
        <v>71</v>
      </c>
      <c r="Q17" s="117">
        <f>IF(MAX(K17:M17)&gt;0,IF(MAX(K17:M17)&lt;0,0,TRUNC(MAX(K17:M17)/1)*1),"")</f>
        <v>60</v>
      </c>
      <c r="R17" s="67">
        <f>IF(MAX(N17:P17)&gt;0,IF(MAX(N17:P17)&lt;0,0,TRUNC(MAX(N17:P17)/1)*1),"")</f>
        <v>71</v>
      </c>
      <c r="S17" s="85">
        <f>IF(Q17="","",IF(R17="","",IF(SUM(Q17:R17)=0,"",SUM(Q17:R17))))</f>
        <v>131</v>
      </c>
      <c r="T17" s="6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176.61847284707392</v>
      </c>
      <c r="U17" s="76" t="str">
        <f>IF(AF17=1,T17*AI17,"")</f>
        <v/>
      </c>
      <c r="V17" s="69">
        <v>8.4600000000000009</v>
      </c>
      <c r="W17" s="69">
        <v>8.14</v>
      </c>
      <c r="X17" s="69">
        <v>6.77</v>
      </c>
      <c r="Y17" s="77"/>
      <c r="Z17" s="72"/>
      <c r="AA17" s="70"/>
      <c r="AB17" s="71"/>
      <c r="AC17" s="91">
        <f>U5</f>
        <v>45451</v>
      </c>
      <c r="AD17" s="95" t="str">
        <f>IF(ISNUMBER(FIND("M",E17)),"m",IF(ISNUMBER(FIND("K",E17)),"k"))</f>
        <v>m</v>
      </c>
      <c r="AE17" s="93">
        <f>IF(OR(G17="",AC17=""),0,(YEAR(AC17)-YEAR(G17)))</f>
        <v>17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1.3482326171532359</v>
      </c>
    </row>
    <row r="18" spans="2:36" s="8" customFormat="1" ht="20.25" customHeight="1">
      <c r="B18" s="116"/>
      <c r="C18" s="72"/>
      <c r="D18" s="72"/>
      <c r="E18" s="72"/>
      <c r="F18" s="73"/>
      <c r="G18" s="74"/>
      <c r="H18" s="78"/>
      <c r="I18" s="75"/>
      <c r="J18" s="75"/>
      <c r="K18" s="129"/>
      <c r="L18" s="129"/>
      <c r="M18" s="129"/>
      <c r="N18" s="130"/>
      <c r="O18" s="130"/>
      <c r="P18" s="130"/>
      <c r="Q18" s="118"/>
      <c r="R18" s="72"/>
      <c r="S18" s="129">
        <f>IF(T17="","",T17*1.2)</f>
        <v>211.9421674164887</v>
      </c>
      <c r="T18" s="129"/>
      <c r="U18" s="72"/>
      <c r="V18" s="72">
        <f>IF(V17&gt;0,V17*20,"")</f>
        <v>169.20000000000002</v>
      </c>
      <c r="W18" s="72">
        <f>IF(W17="","",(W17*10)*AJ17)</f>
        <v>109.74613503627342</v>
      </c>
      <c r="X18" s="76">
        <f>IF(ROUNDUP(X17,1)&gt;0,IF((80+(8-ROUNDUP(X17,1))*40)&lt;0,0,80+(8-ROUNDUP(X17,1))*40),"")</f>
        <v>128</v>
      </c>
      <c r="Y18" s="77">
        <f>IF(SUM(V18,W18,X18)&gt;0,SUM(V18,W18,X18),"")</f>
        <v>406.9461350362734</v>
      </c>
      <c r="Z18" s="82">
        <f>IF(AE17&gt;34,(IF(OR(S18="",V18="",W18="",X18=""),"",SUM(S18,V18,W18,X18))*AI17),IF(OR(S18="",V18="",W18="",X18=""),"", SUM(S18,V18,W18,X18)))</f>
        <v>618.88830245276222</v>
      </c>
      <c r="AA18" s="78">
        <v>7</v>
      </c>
      <c r="AB18" s="79"/>
      <c r="AC18" s="91"/>
      <c r="AD18" s="1"/>
      <c r="AE18" s="93"/>
      <c r="AF18" s="34"/>
      <c r="AH18" s="36"/>
      <c r="AI18" s="36"/>
    </row>
    <row r="19" spans="2:36" s="8" customFormat="1" ht="20.25" customHeight="1">
      <c r="B19" s="115" t="s">
        <v>203</v>
      </c>
      <c r="C19" s="83" t="s">
        <v>125</v>
      </c>
      <c r="D19" s="82">
        <v>65.31</v>
      </c>
      <c r="E19" s="83" t="s">
        <v>120</v>
      </c>
      <c r="F19" s="120" t="s">
        <v>87</v>
      </c>
      <c r="G19" s="121">
        <v>39342</v>
      </c>
      <c r="H19" s="70">
        <v>6</v>
      </c>
      <c r="I19" s="75" t="s">
        <v>85</v>
      </c>
      <c r="J19" s="75" t="s">
        <v>156</v>
      </c>
      <c r="K19" s="78">
        <v>73</v>
      </c>
      <c r="L19" s="84">
        <v>76</v>
      </c>
      <c r="M19" s="84">
        <v>78</v>
      </c>
      <c r="N19" s="78">
        <v>87</v>
      </c>
      <c r="O19" s="84">
        <v>92</v>
      </c>
      <c r="P19" s="84">
        <v>95</v>
      </c>
      <c r="Q19" s="117">
        <f>IF(MAX(K19:M19)&gt;0,IF(MAX(K19:M19)&lt;0,0,TRUNC(MAX(K19:M19)/1)*1),"")</f>
        <v>78</v>
      </c>
      <c r="R19" s="67">
        <f>IF(MAX(N19:P19)&gt;0,IF(MAX(N19:P19)&lt;0,0,TRUNC(MAX(N19:P19)/1)*1),"")</f>
        <v>95</v>
      </c>
      <c r="S19" s="85">
        <f>IF(Q19="","",IF(R19="","",IF(SUM(Q19:R19)=0,"",SUM(Q19:R19))))</f>
        <v>173</v>
      </c>
      <c r="T19" s="6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250.62771252951424</v>
      </c>
      <c r="U19" s="76" t="str">
        <f>IF(AF19=1,T19*AI19,"")</f>
        <v/>
      </c>
      <c r="V19" s="69">
        <v>8.11</v>
      </c>
      <c r="W19" s="69">
        <v>10.27</v>
      </c>
      <c r="X19" s="69">
        <v>6.4</v>
      </c>
      <c r="Y19" s="77"/>
      <c r="Z19" s="72"/>
      <c r="AA19" s="70"/>
      <c r="AB19" s="71"/>
      <c r="AC19" s="91">
        <f>U5</f>
        <v>45451</v>
      </c>
      <c r="AD19" s="95" t="str">
        <f>IF(ISNUMBER(FIND("M",E19)),"m",IF(ISNUMBER(FIND("K",E19)),"k"))</f>
        <v>m</v>
      </c>
      <c r="AE19" s="93">
        <f>IF(OR(G19="",AC19=""),0,(YEAR(AC19)-YEAR(G19)))</f>
        <v>17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1.4487151013266719</v>
      </c>
    </row>
    <row r="20" spans="2:36" s="8" customFormat="1" ht="20.25" customHeight="1">
      <c r="B20" s="116"/>
      <c r="C20" s="72"/>
      <c r="D20" s="72"/>
      <c r="E20" s="72"/>
      <c r="F20" s="73"/>
      <c r="G20" s="74"/>
      <c r="H20" s="78" t="s">
        <v>13</v>
      </c>
      <c r="I20" s="75"/>
      <c r="J20" s="75"/>
      <c r="K20" s="129"/>
      <c r="L20" s="129"/>
      <c r="M20" s="129"/>
      <c r="N20" s="130"/>
      <c r="O20" s="130"/>
      <c r="P20" s="130"/>
      <c r="Q20" s="118"/>
      <c r="R20" s="72"/>
      <c r="S20" s="129">
        <f>IF(T19="","",T19*1.2)</f>
        <v>300.75325503541706</v>
      </c>
      <c r="T20" s="129"/>
      <c r="U20" s="72"/>
      <c r="V20" s="72">
        <f>IF(V19&gt;0,V19*20,"")</f>
        <v>162.19999999999999</v>
      </c>
      <c r="W20" s="72">
        <f>IF(W19="","",(W19*10)*AJ19)</f>
        <v>148.7830409062492</v>
      </c>
      <c r="X20" s="76">
        <f>IF(ROUNDUP(X19,1)&gt;0,IF((80+(8-ROUNDUP(X19,1))*40)&lt;0,0,80+(8-ROUNDUP(X19,1))*40),"")</f>
        <v>144</v>
      </c>
      <c r="Y20" s="77">
        <f>IF(SUM(V20,W20,X20)&gt;0,SUM(V20,W20,X20),"")</f>
        <v>454.98304090624919</v>
      </c>
      <c r="Z20" s="82">
        <f>IF(AE19&gt;34,(IF(OR(S20="",V20="",W20="",X20=""),"",SUM(S20,V20,W20,X20))*AI19),IF(OR(S20="",V20="",W20="",X20=""),"", SUM(S20,V20,W20,X20)))</f>
        <v>755.73629594166619</v>
      </c>
      <c r="AA20" s="78">
        <v>4</v>
      </c>
      <c r="AB20" s="79"/>
      <c r="AC20" s="91"/>
      <c r="AD20" s="1"/>
      <c r="AE20" s="93"/>
      <c r="AF20" s="34"/>
      <c r="AH20" s="36"/>
      <c r="AI20" s="36"/>
    </row>
    <row r="21" spans="2:36" s="8" customFormat="1" ht="20.25" customHeight="1">
      <c r="B21" s="115" t="s">
        <v>163</v>
      </c>
      <c r="C21" s="83" t="s">
        <v>126</v>
      </c>
      <c r="D21" s="82">
        <v>59.33</v>
      </c>
      <c r="E21" s="83" t="s">
        <v>120</v>
      </c>
      <c r="F21" s="120" t="s">
        <v>87</v>
      </c>
      <c r="G21" s="121">
        <v>39198</v>
      </c>
      <c r="H21" s="70">
        <v>7</v>
      </c>
      <c r="I21" s="75" t="s">
        <v>118</v>
      </c>
      <c r="J21" s="75" t="s">
        <v>169</v>
      </c>
      <c r="K21" s="78">
        <v>30</v>
      </c>
      <c r="L21" s="84">
        <v>-35</v>
      </c>
      <c r="M21" s="84">
        <v>-35</v>
      </c>
      <c r="N21" s="78">
        <v>37</v>
      </c>
      <c r="O21" s="84">
        <v>-42</v>
      </c>
      <c r="P21" s="84">
        <v>45</v>
      </c>
      <c r="Q21" s="117">
        <f>IF(MAX(K21:M21)&gt;0,IF(MAX(K21:M21)&lt;0,0,TRUNC(MAX(K21:M21)/1)*1),"")</f>
        <v>30</v>
      </c>
      <c r="R21" s="67">
        <f>IF(MAX(N21:P21)&gt;0,IF(MAX(N21:P21)&lt;0,0,TRUNC(MAX(N21:P21)/1)*1),"")</f>
        <v>45</v>
      </c>
      <c r="S21" s="85">
        <f>IF(Q21="","",IF(R21="","",IF(SUM(Q21:R21)=0,"",SUM(Q21:R21))))</f>
        <v>75</v>
      </c>
      <c r="T21" s="6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116.3464549907214</v>
      </c>
      <c r="U21" s="76" t="str">
        <f>IF(AF21=1,T21*AI21,"")</f>
        <v/>
      </c>
      <c r="V21" s="69">
        <v>7.74</v>
      </c>
      <c r="W21" s="69">
        <v>8.34</v>
      </c>
      <c r="X21" s="69">
        <v>6.44</v>
      </c>
      <c r="Y21" s="77"/>
      <c r="Z21" s="72"/>
      <c r="AA21" s="70"/>
      <c r="AB21" s="71"/>
      <c r="AC21" s="91">
        <f>U5</f>
        <v>45451</v>
      </c>
      <c r="AD21" s="95" t="str">
        <f>IF(ISNUMBER(FIND("M",E21)),"m",IF(ISNUMBER(FIND("K",E21)),"k"))</f>
        <v>m</v>
      </c>
      <c r="AE21" s="93">
        <f>IF(OR(G21="",AC21=""),0,(YEAR(AC21)-YEAR(G21)))</f>
        <v>17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1.551286066542952</v>
      </c>
    </row>
    <row r="22" spans="2:36" s="8" customFormat="1" ht="20.25" customHeight="1">
      <c r="B22" s="116"/>
      <c r="C22" s="72"/>
      <c r="D22" s="72"/>
      <c r="E22" s="72"/>
      <c r="F22" s="73"/>
      <c r="G22" s="74"/>
      <c r="H22" s="78"/>
      <c r="I22" s="75"/>
      <c r="J22" s="75"/>
      <c r="K22" s="129"/>
      <c r="L22" s="129"/>
      <c r="M22" s="129"/>
      <c r="N22" s="130"/>
      <c r="O22" s="130"/>
      <c r="P22" s="130"/>
      <c r="Q22" s="118"/>
      <c r="R22" s="72"/>
      <c r="S22" s="129">
        <f>IF(T21="","",T21*1.2)</f>
        <v>139.61574598886568</v>
      </c>
      <c r="T22" s="129"/>
      <c r="U22" s="72"/>
      <c r="V22" s="72">
        <f>IF(V21&gt;0,V21*20,"")</f>
        <v>154.80000000000001</v>
      </c>
      <c r="W22" s="72">
        <f>IF(W21="","",(W21*10)*AJ21)</f>
        <v>129.37725794968222</v>
      </c>
      <c r="X22" s="76">
        <f>IF(ROUNDUP(X21,1)&gt;0,IF((80+(8-ROUNDUP(X21,1))*40)&lt;0,0,80+(8-ROUNDUP(X21,1))*40),"")</f>
        <v>140</v>
      </c>
      <c r="Y22" s="77">
        <f>IF(SUM(V22,W22,X22)&gt;0,SUM(V22,W22,X22),"")</f>
        <v>424.17725794968226</v>
      </c>
      <c r="Z22" s="82">
        <f>IF(AE21&gt;34,(IF(OR(S22="",V22="",W22="",X22=""),"",SUM(S22,V22,W22,X22))*AI21),IF(OR(S22="",V22="",W22="",X22=""),"", SUM(S22,V22,W22,X22)))</f>
        <v>563.79300393854794</v>
      </c>
      <c r="AA22" s="78">
        <v>7</v>
      </c>
      <c r="AB22" s="79"/>
      <c r="AC22" s="91"/>
      <c r="AD22" s="1"/>
      <c r="AE22" s="93"/>
      <c r="AF22" s="34"/>
      <c r="AH22" s="36"/>
      <c r="AI22" s="36"/>
    </row>
    <row r="23" spans="2:36" s="8" customFormat="1" ht="20.25" customHeight="1">
      <c r="B23" s="115" t="s">
        <v>106</v>
      </c>
      <c r="C23" s="83" t="s">
        <v>144</v>
      </c>
      <c r="D23" s="82">
        <v>109.55</v>
      </c>
      <c r="E23" s="83" t="s">
        <v>122</v>
      </c>
      <c r="F23" s="120" t="s">
        <v>83</v>
      </c>
      <c r="G23" s="121">
        <v>36937</v>
      </c>
      <c r="H23" s="70">
        <v>8</v>
      </c>
      <c r="I23" s="75" t="s">
        <v>86</v>
      </c>
      <c r="J23" s="75" t="s">
        <v>167</v>
      </c>
      <c r="K23" s="78">
        <v>-122</v>
      </c>
      <c r="L23" s="84">
        <v>-122</v>
      </c>
      <c r="M23" s="84">
        <v>-122</v>
      </c>
      <c r="N23" s="78">
        <v>157</v>
      </c>
      <c r="O23" s="84">
        <v>-163</v>
      </c>
      <c r="P23" s="84">
        <v>-165</v>
      </c>
      <c r="Q23" s="117" t="str">
        <f>IF(MAX(K23:M23)&gt;0,IF(MAX(K23:M23)&lt;0,0,TRUNC(MAX(K23:M23)/1)*1),"")</f>
        <v/>
      </c>
      <c r="R23" s="67">
        <f>IF(MAX(N23:P23)&gt;0,IF(MAX(N23:P23)&lt;0,0,TRUNC(MAX(N23:P23)/1)*1),"")</f>
        <v>157</v>
      </c>
      <c r="S23" s="85" t="str">
        <f>IF(Q23="","",IF(R23="","",IF(SUM(Q23:R23)=0,"",SUM(Q23:R23))))</f>
        <v/>
      </c>
      <c r="T23" s="68" t="str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/>
      </c>
      <c r="U23" s="76" t="str">
        <f>IF(AF23=1,T23*AI23,"")</f>
        <v/>
      </c>
      <c r="V23" s="69">
        <v>8.58</v>
      </c>
      <c r="W23" s="69">
        <v>16.73</v>
      </c>
      <c r="X23" s="69">
        <v>6.5</v>
      </c>
      <c r="Y23" s="77"/>
      <c r="Z23" s="72"/>
      <c r="AA23" s="70" t="s">
        <v>137</v>
      </c>
      <c r="AB23" s="71"/>
      <c r="AC23" s="91">
        <f>U5</f>
        <v>45451</v>
      </c>
      <c r="AD23" s="95" t="str">
        <f>IF(ISNUMBER(FIND("M",E23)),"m",IF(ISNUMBER(FIND("K",E23)),"k"))</f>
        <v>m</v>
      </c>
      <c r="AE23" s="108">
        <f>IF(OR(G23="",AC23=""),0,(YEAR(AC23)-YEAR(G23)))</f>
        <v>23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1.1071511146217539</v>
      </c>
    </row>
    <row r="24" spans="2:36" s="8" customFormat="1" ht="20.25" customHeight="1">
      <c r="B24" s="116"/>
      <c r="C24" s="72"/>
      <c r="D24" s="72"/>
      <c r="E24" s="72"/>
      <c r="F24" s="73"/>
      <c r="G24" s="74"/>
      <c r="H24" s="78"/>
      <c r="I24" s="75"/>
      <c r="J24" s="75"/>
      <c r="K24" s="129"/>
      <c r="L24" s="129"/>
      <c r="M24" s="129"/>
      <c r="N24" s="130"/>
      <c r="O24" s="130"/>
      <c r="P24" s="130"/>
      <c r="Q24" s="118"/>
      <c r="R24" s="72"/>
      <c r="S24" s="129" t="str">
        <f>IF(T23="","",T23*1.2)</f>
        <v/>
      </c>
      <c r="T24" s="129"/>
      <c r="U24" s="72"/>
      <c r="V24" s="72">
        <f>IF(V23&gt;0,V23*20,"")</f>
        <v>171.6</v>
      </c>
      <c r="W24" s="72">
        <f>IF(W23="","",(W23*10)*AJ23)</f>
        <v>185.22638147621944</v>
      </c>
      <c r="X24" s="76">
        <f>IF(ROUNDUP(X23,1)&gt;0,IF((80+(8-ROUNDUP(X23,1))*40)&lt;0,0,80+(8-ROUNDUP(X23,1))*40),"")</f>
        <v>140</v>
      </c>
      <c r="Y24" s="77">
        <f>IF(SUM(V24,W24,X24)&gt;0,SUM(V24,W24,X24),"")</f>
        <v>496.82638147621947</v>
      </c>
      <c r="Z24" s="82" t="str">
        <f>IF(AE23&gt;34,(IF(OR(S24="",V24="",W24="",X24=""),"",SUM(S24,V24,W24,X24))*AI23),IF(OR(S24="",V24="",W24="",X24=""),"", SUM(S24,V24,W24,X24)))</f>
        <v/>
      </c>
      <c r="AA24" s="78"/>
      <c r="AB24" s="79"/>
      <c r="AC24" s="91"/>
      <c r="AD24" s="1"/>
      <c r="AE24" s="93"/>
      <c r="AF24" s="34"/>
      <c r="AH24" s="36"/>
      <c r="AI24" s="36"/>
    </row>
    <row r="25" spans="2:36" s="8" customFormat="1" ht="20.25" customHeight="1">
      <c r="B25" s="115" t="s">
        <v>107</v>
      </c>
      <c r="C25" s="83" t="s">
        <v>111</v>
      </c>
      <c r="D25" s="82">
        <v>85.45</v>
      </c>
      <c r="E25" s="83" t="s">
        <v>122</v>
      </c>
      <c r="F25" s="120" t="s">
        <v>84</v>
      </c>
      <c r="G25" s="121">
        <v>36505</v>
      </c>
      <c r="H25" s="70">
        <v>9</v>
      </c>
      <c r="I25" s="122" t="s">
        <v>78</v>
      </c>
      <c r="J25" s="75" t="s">
        <v>167</v>
      </c>
      <c r="K25" s="78">
        <v>120</v>
      </c>
      <c r="L25" s="84">
        <v>125</v>
      </c>
      <c r="M25" s="84">
        <v>-130</v>
      </c>
      <c r="N25" s="78">
        <v>145</v>
      </c>
      <c r="O25" s="84">
        <v>150</v>
      </c>
      <c r="P25" s="84">
        <v>-155</v>
      </c>
      <c r="Q25" s="117">
        <f>IF(MAX(K25:M25)&gt;0,IF(MAX(K25:M25)&lt;0,0,TRUNC(MAX(K25:M25)/1)*1),"")</f>
        <v>125</v>
      </c>
      <c r="R25" s="67">
        <f>IF(MAX(N25:P25)&gt;0,IF(MAX(N25:P25)&lt;0,0,TRUNC(MAX(N25:P25)/1)*1),"")</f>
        <v>150</v>
      </c>
      <c r="S25" s="85">
        <f>IF(Q25="","",IF(R25="","",IF(SUM(Q25:R25)=0,"",SUM(Q25:R25))))</f>
        <v>275</v>
      </c>
      <c r="T25" s="68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339.25668996672198</v>
      </c>
      <c r="U25" s="76" t="str">
        <f>IF(AF25=1,T25*AI25,"")</f>
        <v/>
      </c>
      <c r="V25" s="69">
        <v>8.41</v>
      </c>
      <c r="W25" s="69">
        <v>13.6</v>
      </c>
      <c r="X25" s="69">
        <v>5.69</v>
      </c>
      <c r="Y25" s="77"/>
      <c r="Z25" s="72"/>
      <c r="AA25" s="70"/>
      <c r="AB25" s="71"/>
      <c r="AC25" s="91">
        <f>U5</f>
        <v>45451</v>
      </c>
      <c r="AD25" s="95" t="str">
        <f>IF(ISNUMBER(FIND("M",E25)),"m",IF(ISNUMBER(FIND("K",E25)),"k"))</f>
        <v>m</v>
      </c>
      <c r="AE25" s="108">
        <f>IF(OR(G25="",AC25=""),0,(YEAR(AC25)-YEAR(G25)))</f>
        <v>25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">
        <f>IF(D25="","",IF(D25&gt;193.609,1,IF(D25&lt;32,10^(0.722762521*LOG10(32/193.609)^2),10^(0.722762521*LOG10(D25/193.609)^2))))</f>
        <v>1.2336606907880798</v>
      </c>
    </row>
    <row r="26" spans="2:36" s="8" customFormat="1" ht="20.25" customHeight="1">
      <c r="B26" s="116"/>
      <c r="C26" s="72"/>
      <c r="D26" s="72"/>
      <c r="E26" s="72"/>
      <c r="F26" s="73"/>
      <c r="G26" s="74"/>
      <c r="H26" s="78"/>
      <c r="I26" s="75"/>
      <c r="J26" s="75"/>
      <c r="K26" s="129"/>
      <c r="L26" s="129"/>
      <c r="M26" s="129"/>
      <c r="N26" s="130"/>
      <c r="O26" s="130"/>
      <c r="P26" s="130"/>
      <c r="Q26" s="118"/>
      <c r="R26" s="72"/>
      <c r="S26" s="129">
        <f>IF(T25="","",T25*1.2)</f>
        <v>407.10802796006635</v>
      </c>
      <c r="T26" s="129"/>
      <c r="U26" s="72"/>
      <c r="V26" s="72">
        <f>IF(V25&gt;0,V25*20,"")</f>
        <v>168.2</v>
      </c>
      <c r="W26" s="72">
        <f>IF(W25="","",(W25*10)*AJ25)</f>
        <v>167.77785394717887</v>
      </c>
      <c r="X26" s="76">
        <f>IF(ROUNDUP(X25,1)&gt;0,IF((80+(8-ROUNDUP(X25,1))*40)&lt;0,0,80+(8-ROUNDUP(X25,1))*40),"")</f>
        <v>172.00000000000003</v>
      </c>
      <c r="Y26" s="77">
        <f>IF(SUM(V26,W26,X26)&gt;0,SUM(V26,W26,X26),"")</f>
        <v>507.97785394717891</v>
      </c>
      <c r="Z26" s="82">
        <f>IF(AE25&gt;34,(IF(OR(S26="",V26="",W26="",X26=""),"",SUM(S26,V26,W26,X26))*AI25),IF(OR(S26="",V26="",W26="",X26=""),"", SUM(S26,V26,W26,X26)))</f>
        <v>915.08588190724515</v>
      </c>
      <c r="AA26" s="78" t="s">
        <v>130</v>
      </c>
      <c r="AB26" s="79"/>
      <c r="AC26" s="91"/>
      <c r="AD26" s="1"/>
      <c r="AE26" s="93"/>
      <c r="AF26" s="34"/>
      <c r="AH26" s="36"/>
      <c r="AI26" s="36"/>
    </row>
    <row r="27" spans="2:36" s="8" customFormat="1" ht="20.25" customHeight="1">
      <c r="B27" s="115" t="s">
        <v>164</v>
      </c>
      <c r="C27" s="83" t="s">
        <v>124</v>
      </c>
      <c r="D27" s="82">
        <v>67.209999999999994</v>
      </c>
      <c r="E27" s="83" t="s">
        <v>122</v>
      </c>
      <c r="F27" s="120" t="s">
        <v>84</v>
      </c>
      <c r="G27" s="121">
        <v>36529</v>
      </c>
      <c r="H27" s="70">
        <v>10</v>
      </c>
      <c r="I27" s="122" t="s">
        <v>88</v>
      </c>
      <c r="J27" s="75" t="s">
        <v>169</v>
      </c>
      <c r="K27" s="78">
        <v>90</v>
      </c>
      <c r="L27" s="84">
        <v>95</v>
      </c>
      <c r="M27" s="84">
        <v>98</v>
      </c>
      <c r="N27" s="78">
        <v>111</v>
      </c>
      <c r="O27" s="84">
        <v>115</v>
      </c>
      <c r="P27" s="84">
        <v>-120</v>
      </c>
      <c r="Q27" s="117">
        <f>IF(MAX(K27:M27)&gt;0,IF(MAX(K27:M27)&lt;0,0,TRUNC(MAX(K27:M27)/1)*1),"")</f>
        <v>98</v>
      </c>
      <c r="R27" s="67">
        <f>IF(MAX(N27:P27)&gt;0,IF(MAX(N27:P27)&lt;0,0,TRUNC(MAX(N27:P27)/1)*1),"")</f>
        <v>115</v>
      </c>
      <c r="S27" s="85">
        <f>IF(Q27="","",IF(R27="","",IF(SUM(Q27:R27)=0,"",SUM(Q27:R27))))</f>
        <v>213</v>
      </c>
      <c r="T27" s="68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302.67622881717813</v>
      </c>
      <c r="U27" s="76" t="str">
        <f>IF(AF27=1,T27*AI27,"")</f>
        <v/>
      </c>
      <c r="V27" s="69">
        <v>8.16</v>
      </c>
      <c r="W27" s="69">
        <v>12.8</v>
      </c>
      <c r="X27" s="69">
        <v>6.09</v>
      </c>
      <c r="Y27" s="77"/>
      <c r="Z27" s="72"/>
      <c r="AA27" s="70"/>
      <c r="AB27" s="71"/>
      <c r="AC27" s="91">
        <f>U5</f>
        <v>45451</v>
      </c>
      <c r="AD27" s="95" t="str">
        <f>IF(ISNUMBER(FIND("M",E27)),"m",IF(ISNUMBER(FIND("K",E27)),"k"))</f>
        <v>m</v>
      </c>
      <c r="AE27" s="108">
        <f>IF(OR(G27="",AC27=""),0,(YEAR(AC27)-YEAR(G27)))</f>
        <v>24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">
        <f>IF(D27="","",IF(D27&gt;193.609,1,IF(D27&lt;32,10^(0.722762521*LOG10(32/193.609)^2),10^(0.722762521*LOG10(D27/193.609)^2))))</f>
        <v>1.4210151587660944</v>
      </c>
    </row>
    <row r="28" spans="2:36" s="8" customFormat="1" ht="20.25" customHeight="1">
      <c r="B28" s="116"/>
      <c r="C28" s="72"/>
      <c r="D28" s="72"/>
      <c r="E28" s="72"/>
      <c r="F28" s="73"/>
      <c r="G28" s="74"/>
      <c r="H28" s="78"/>
      <c r="I28" s="75"/>
      <c r="J28" s="75"/>
      <c r="K28" s="129"/>
      <c r="L28" s="129"/>
      <c r="M28" s="129"/>
      <c r="N28" s="130"/>
      <c r="O28" s="130"/>
      <c r="P28" s="130"/>
      <c r="Q28" s="118"/>
      <c r="R28" s="72"/>
      <c r="S28" s="129">
        <f>IF(T27="","",T27*1.2)</f>
        <v>363.21147458061375</v>
      </c>
      <c r="T28" s="129"/>
      <c r="U28" s="72"/>
      <c r="V28" s="72">
        <f>IF(V27&gt;0,V27*20,"")</f>
        <v>163.19999999999999</v>
      </c>
      <c r="W28" s="72">
        <f>IF(W27="","",(W27*10)*AJ27)</f>
        <v>181.88994032206008</v>
      </c>
      <c r="X28" s="76">
        <f>IF(ROUNDUP(X27,1)&gt;0,IF((80+(8-ROUNDUP(X27,1))*40)&lt;0,0,80+(8-ROUNDUP(X27,1))*40),"")</f>
        <v>156</v>
      </c>
      <c r="Y28" s="77">
        <f>IF(SUM(V28,W28,X28)&gt;0,SUM(V28,W28,X28),"")</f>
        <v>501.0899403220601</v>
      </c>
      <c r="Z28" s="82">
        <f>IF(AE27&gt;34,(IF(OR(S28="",V28="",W28="",X28=""),"",SUM(S28,V28,W28,X28))*AI27),IF(OR(S28="",V28="",W28="",X28=""),"", SUM(S28,V28,W28,X28)))</f>
        <v>864.30141490267374</v>
      </c>
      <c r="AA28" s="85" t="s">
        <v>131</v>
      </c>
      <c r="AC28" s="91"/>
      <c r="AD28" s="1"/>
      <c r="AE28" s="93"/>
      <c r="AF28" s="34"/>
      <c r="AH28" s="36"/>
      <c r="AI28" s="36"/>
    </row>
    <row r="29" spans="2:36" s="8" customFormat="1" ht="20.25" customHeight="1">
      <c r="B29" s="115" t="s">
        <v>108</v>
      </c>
      <c r="C29" s="83" t="s">
        <v>143</v>
      </c>
      <c r="D29" s="82">
        <v>95.53</v>
      </c>
      <c r="E29" s="83" t="s">
        <v>122</v>
      </c>
      <c r="F29" s="120" t="s">
        <v>84</v>
      </c>
      <c r="G29" s="121">
        <v>34617</v>
      </c>
      <c r="H29" s="70">
        <v>11</v>
      </c>
      <c r="I29" s="122" t="s">
        <v>79</v>
      </c>
      <c r="J29" s="75" t="s">
        <v>167</v>
      </c>
      <c r="K29" s="78">
        <v>100</v>
      </c>
      <c r="L29" s="84">
        <v>103</v>
      </c>
      <c r="M29" s="84">
        <v>-105</v>
      </c>
      <c r="N29" s="78">
        <v>122</v>
      </c>
      <c r="O29" s="84">
        <v>126</v>
      </c>
      <c r="P29" s="84">
        <v>130</v>
      </c>
      <c r="Q29" s="117">
        <f>IF(MAX(K29:M29)&gt;0,IF(MAX(K29:M29)&lt;0,0,TRUNC(MAX(K29:M29)/1)*1),"")</f>
        <v>103</v>
      </c>
      <c r="R29" s="67">
        <f>IF(MAX(N29:P29)&gt;0,IF(MAX(N29:P29)&lt;0,0,TRUNC(MAX(N29:P29)/1)*1),"")</f>
        <v>130</v>
      </c>
      <c r="S29" s="85">
        <f>IF(Q29="","",IF(R29="","",IF(SUM(Q29:R29)=0,"",SUM(Q29:R29))))</f>
        <v>233</v>
      </c>
      <c r="T29" s="68">
        <f>IF(S29="","",IF(D29="","",IF((AD29="k"),IF(D29&gt;153.757,S29,IF(D29&lt;28,10^(0.0787004341*LOG10(28/153.757)^2)*S29,10^(0.787004341*LOG10(D29/153.757)^2)*S29)),IF(D29&gt;193.609,S29,IF(D29&lt;32,10^(0.722762521*LOG10(32/193.609)^2)*S29,10^(0.722762521*LOG10(D29/193.609)^2)*S29)))))</f>
        <v>272.5087968160675</v>
      </c>
      <c r="U29" s="76" t="str">
        <f>IF(AF29=1,T29*AI29,"")</f>
        <v/>
      </c>
      <c r="V29" s="69">
        <v>7.77</v>
      </c>
      <c r="W29" s="69">
        <v>13.55</v>
      </c>
      <c r="X29" s="69">
        <v>6.5</v>
      </c>
      <c r="Y29" s="77"/>
      <c r="Z29" s="72"/>
      <c r="AA29" s="70"/>
      <c r="AB29" s="71"/>
      <c r="AC29" s="91">
        <f>U5</f>
        <v>45451</v>
      </c>
      <c r="AD29" s="95" t="str">
        <f>IF(ISNUMBER(FIND("M",E29)),"m",IF(ISNUMBER(FIND("K",E29)),"k"))</f>
        <v>m</v>
      </c>
      <c r="AE29" s="108">
        <f>IF(OR(G29="",AC29=""),0,(YEAR(AC29)-YEAR(G29)))</f>
        <v>30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b">
        <f t="shared" ref="AI29" si="7">IF(AD29="m",AG29,IF(AD29="k",AH29,""))</f>
        <v>0</v>
      </c>
      <c r="AJ29" s="8">
        <f>IF(D29="","",IF(D29&gt;193.609,1,IF(D29&lt;32,10^(0.722762521*LOG10(32/193.609)^2),10^(0.722762521*LOG10(D29/193.609)^2))))</f>
        <v>1.1695656515711053</v>
      </c>
    </row>
    <row r="30" spans="2:36" s="8" customFormat="1" ht="20.25" customHeight="1">
      <c r="B30" s="116"/>
      <c r="C30" s="65"/>
      <c r="D30" s="72"/>
      <c r="E30" s="73"/>
      <c r="F30" s="73"/>
      <c r="G30" s="92"/>
      <c r="H30" s="74"/>
      <c r="I30" s="75"/>
      <c r="J30" s="75"/>
      <c r="K30" s="181"/>
      <c r="L30" s="182"/>
      <c r="M30" s="183"/>
      <c r="N30" s="181"/>
      <c r="O30" s="182"/>
      <c r="P30" s="183"/>
      <c r="Q30" s="118"/>
      <c r="R30" s="72"/>
      <c r="S30" s="129">
        <f>IF(T29="","",T29*1.2)</f>
        <v>327.01055617928097</v>
      </c>
      <c r="T30" s="129"/>
      <c r="U30" s="72"/>
      <c r="V30" s="72">
        <f>IF(V29&gt;0,V29*20,"")</f>
        <v>155.39999999999998</v>
      </c>
      <c r="W30" s="72">
        <f>IF(W29="","",(W29*10)*AJ29)</f>
        <v>158.47614578788478</v>
      </c>
      <c r="X30" s="76">
        <f>IF(ROUNDUP(X29,1)&gt;0,IF((80+(8-ROUNDUP(X29,1))*40)&lt;0,0,80+(8-ROUNDUP(X29,1))*40),"")</f>
        <v>140</v>
      </c>
      <c r="Y30" s="77">
        <f>IF(SUM(V30,W30,X30)&gt;0,SUM(V30,W30,X30),"")</f>
        <v>453.87614578788475</v>
      </c>
      <c r="Z30" s="82">
        <f>IF(AE29&gt;34,(IF(OR(S30="",V30="",W30="",X30=""),"",SUM(S30,V30,W30,X30))*AI29),IF(OR(S30="",V30="",W30="",X30=""),"", SUM(S30,V30,W30,X30)))</f>
        <v>780.88670196716566</v>
      </c>
      <c r="AA30" s="78" t="s">
        <v>132</v>
      </c>
      <c r="AB30" s="79"/>
      <c r="AC30" s="91"/>
      <c r="AD30" s="1"/>
      <c r="AE30" s="93"/>
      <c r="AF30" s="34"/>
      <c r="AH30" s="36"/>
      <c r="AI30" s="36"/>
    </row>
    <row r="31" spans="2:36" s="8" customFormat="1" ht="20.25" customHeight="1">
      <c r="B31" s="115" t="s">
        <v>165</v>
      </c>
      <c r="C31" s="109">
        <v>89</v>
      </c>
      <c r="D31" s="82">
        <v>88.11</v>
      </c>
      <c r="E31" s="111" t="s">
        <v>122</v>
      </c>
      <c r="F31" s="110" t="s">
        <v>84</v>
      </c>
      <c r="G31" s="88">
        <v>36748</v>
      </c>
      <c r="H31" s="83" t="s">
        <v>208</v>
      </c>
      <c r="I31" s="75" t="s">
        <v>145</v>
      </c>
      <c r="J31" s="75" t="s">
        <v>169</v>
      </c>
      <c r="K31" s="66">
        <v>108</v>
      </c>
      <c r="L31" s="89">
        <v>-112</v>
      </c>
      <c r="M31" s="89">
        <v>112</v>
      </c>
      <c r="N31" s="89">
        <v>138</v>
      </c>
      <c r="O31" s="90">
        <v>145</v>
      </c>
      <c r="P31" s="90">
        <v>-150</v>
      </c>
      <c r="Q31" s="117">
        <f>IF(MAX(K31:M31)&gt;0,IF(MAX(K31:M31)&lt;0,0,TRUNC(MAX(K31:M31)/1)*1),"")</f>
        <v>112</v>
      </c>
      <c r="R31" s="67">
        <f>IF(MAX(N31:P31)&gt;0,IF(MAX(N31:P31)&lt;0,0,TRUNC(MAX(N31:P31)/1)*1),"")</f>
        <v>145</v>
      </c>
      <c r="S31" s="85">
        <f>IF(Q31="","",IF(R31="","",IF(SUM(Q31:R31)=0,"",SUM(Q31:R31))))</f>
        <v>257</v>
      </c>
      <c r="T31" s="68">
        <f>IF(S31="","",IF(D31="","",IF((AD31="k"),IF(D31&gt;153.757,S31,IF(D31&lt;28,10^(0.0787004341*LOG10(28/153.757)^2)*S31,10^(0.787004341*LOG10(D31/153.757)^2)*S31)),IF(D31&gt;193.609,S31,IF(D31&lt;32,10^(0.722762521*LOG10(32/193.609)^2)*S31,10^(0.722762521*LOG10(D31/193.609)^2)*S31)))))</f>
        <v>312.19148779599215</v>
      </c>
      <c r="U31" s="76" t="str">
        <f>IF(AF31=1,T31*AI31,"")</f>
        <v/>
      </c>
      <c r="V31" s="80">
        <v>9.01</v>
      </c>
      <c r="W31" s="80">
        <v>16.350000000000001</v>
      </c>
      <c r="X31" s="81">
        <v>5.84</v>
      </c>
      <c r="Y31" s="77"/>
      <c r="Z31" s="72"/>
      <c r="AA31" s="70"/>
      <c r="AB31" s="71"/>
      <c r="AC31" s="91">
        <f>U5</f>
        <v>45451</v>
      </c>
      <c r="AD31" s="95" t="str">
        <f>IF(ISNUMBER(FIND("M",E31)),"m",IF(ISNUMBER(FIND("K",E31)),"k"))</f>
        <v>m</v>
      </c>
      <c r="AE31" s="108">
        <f>IF(OR(G31="",AC31=""),0,(YEAR(AC31)-YEAR(G31)))</f>
        <v>24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b">
        <f t="shared" ref="AI31" si="9">IF(AD31="m",AG31,IF(AD31="k",AH31,""))</f>
        <v>0</v>
      </c>
      <c r="AJ31" s="8">
        <f>IF(D31="","",IF(D31&gt;193.609,1,IF(D31&lt;32,10^(0.722762521*LOG10(32/193.609)^2),10^(0.722762521*LOG10(D31/193.609)^2))))</f>
        <v>1.2147528708015258</v>
      </c>
    </row>
    <row r="32" spans="2:36" s="8" customFormat="1" ht="20.25" customHeight="1">
      <c r="B32" s="116"/>
      <c r="C32" s="65"/>
      <c r="D32" s="72"/>
      <c r="E32" s="73"/>
      <c r="F32" s="73"/>
      <c r="G32" s="92"/>
      <c r="H32" s="74"/>
      <c r="I32" s="75"/>
      <c r="J32" s="75"/>
      <c r="K32" s="130"/>
      <c r="L32" s="130"/>
      <c r="M32" s="130"/>
      <c r="N32" s="130"/>
      <c r="O32" s="130"/>
      <c r="P32" s="130"/>
      <c r="Q32" s="118"/>
      <c r="R32" s="72"/>
      <c r="S32" s="129">
        <f>IF(T31="","",T31*1.2)</f>
        <v>374.62978535519056</v>
      </c>
      <c r="T32" s="129"/>
      <c r="U32" s="72"/>
      <c r="V32" s="72">
        <f>IF(V31&gt;0,V31*20,"")</f>
        <v>180.2</v>
      </c>
      <c r="W32" s="72">
        <f>IF(W31="","",(W31*10)*AJ31)</f>
        <v>198.61209437604947</v>
      </c>
      <c r="X32" s="76">
        <f>IF(ROUNDUP(X31,1)&gt;0,IF((80+(8-ROUNDUP(X31,1))*40)&lt;0,0,80+(8-ROUNDUP(X31,1))*40),"")</f>
        <v>164.00000000000003</v>
      </c>
      <c r="Y32" s="77">
        <f>IF(SUM(V32,W32,X32)&gt;0,SUM(V32,W32,X32),"")</f>
        <v>542.81209437604946</v>
      </c>
      <c r="Z32" s="82">
        <f>IF(AE31&gt;34,(IF(OR(S32="",V32="",W32="",X32=""),"",SUM(S32,V32,W32,X32))*AI31),IF(OR(S32="",V32="",W32="",X32=""),"", SUM(S32,V32,W32,X32)))</f>
        <v>917.44187973124008</v>
      </c>
      <c r="AA32" s="78" t="s">
        <v>129</v>
      </c>
      <c r="AB32" s="79"/>
      <c r="AC32" s="91"/>
      <c r="AD32" s="1"/>
      <c r="AE32" s="93"/>
      <c r="AF32" s="34"/>
      <c r="AH32" s="36"/>
      <c r="AI32" s="36"/>
    </row>
    <row r="33" spans="2:35" s="6" customFormat="1" ht="19.25" customHeight="1">
      <c r="D33" s="102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102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25" customHeight="1">
      <c r="B35" s="133" t="s">
        <v>34</v>
      </c>
      <c r="C35" s="134"/>
      <c r="D35" s="103" t="s">
        <v>33</v>
      </c>
      <c r="E35" s="133" t="s">
        <v>4</v>
      </c>
      <c r="F35" s="139"/>
      <c r="G35" s="139"/>
      <c r="H35" s="134"/>
      <c r="I35" s="50" t="s">
        <v>43</v>
      </c>
      <c r="J35" s="21"/>
      <c r="K35" s="133" t="s">
        <v>34</v>
      </c>
      <c r="L35" s="139"/>
      <c r="M35" s="134"/>
      <c r="N35" s="53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25" customHeight="1">
      <c r="B36" s="135" t="s">
        <v>41</v>
      </c>
      <c r="C36" s="136"/>
      <c r="D36" s="104">
        <v>1957001</v>
      </c>
      <c r="E36" s="140" t="s">
        <v>146</v>
      </c>
      <c r="F36" s="141"/>
      <c r="G36" s="141"/>
      <c r="H36" s="136"/>
      <c r="I36" s="49" t="s">
        <v>156</v>
      </c>
      <c r="J36" s="4"/>
      <c r="K36" s="135" t="s">
        <v>36</v>
      </c>
      <c r="L36" s="141"/>
      <c r="M36" s="136"/>
      <c r="N36" s="126">
        <v>1957001</v>
      </c>
      <c r="O36" s="151" t="s">
        <v>146</v>
      </c>
      <c r="P36" s="152"/>
      <c r="Q36" s="152"/>
      <c r="R36" s="153"/>
      <c r="S36" s="151" t="s">
        <v>156</v>
      </c>
      <c r="T36" s="180"/>
      <c r="AF36" s="1"/>
      <c r="AH36" s="35"/>
      <c r="AI36" s="35"/>
    </row>
    <row r="37" spans="2:35" s="5" customFormat="1" ht="21" customHeight="1">
      <c r="B37" s="137" t="s">
        <v>37</v>
      </c>
      <c r="C37" s="138"/>
      <c r="D37" s="105">
        <v>1990024</v>
      </c>
      <c r="E37" s="142" t="s">
        <v>157</v>
      </c>
      <c r="F37" s="143"/>
      <c r="G37" s="143"/>
      <c r="H37" s="138"/>
      <c r="I37" s="47" t="s">
        <v>156</v>
      </c>
      <c r="J37" s="4"/>
      <c r="K37" s="137" t="s">
        <v>39</v>
      </c>
      <c r="L37" s="143"/>
      <c r="M37" s="138"/>
      <c r="N37" s="51">
        <v>1963002</v>
      </c>
      <c r="O37" s="131" t="s">
        <v>61</v>
      </c>
      <c r="P37" s="154"/>
      <c r="Q37" s="154"/>
      <c r="R37" s="155"/>
      <c r="S37" s="131" t="s">
        <v>156</v>
      </c>
      <c r="T37" s="132"/>
      <c r="AH37" s="35"/>
      <c r="AI37" s="35"/>
    </row>
    <row r="38" spans="2:35" s="5" customFormat="1" ht="19.25" customHeight="1">
      <c r="B38" s="137" t="s">
        <v>37</v>
      </c>
      <c r="C38" s="138"/>
      <c r="D38" s="105">
        <v>1988001</v>
      </c>
      <c r="E38" s="142" t="s">
        <v>109</v>
      </c>
      <c r="F38" s="143"/>
      <c r="G38" s="143"/>
      <c r="H38" s="138"/>
      <c r="I38" s="47" t="s">
        <v>156</v>
      </c>
      <c r="J38" s="4"/>
      <c r="K38" s="137" t="s">
        <v>38</v>
      </c>
      <c r="L38" s="143"/>
      <c r="M38" s="138"/>
      <c r="N38" s="51"/>
      <c r="O38" s="131"/>
      <c r="P38" s="154"/>
      <c r="Q38" s="154"/>
      <c r="R38" s="155"/>
      <c r="S38" s="131"/>
      <c r="T38" s="132"/>
      <c r="V38" s="5" t="s">
        <v>55</v>
      </c>
      <c r="AH38" s="35"/>
      <c r="AI38" s="35"/>
    </row>
    <row r="39" spans="2:35" s="5" customFormat="1" ht="21" customHeight="1">
      <c r="B39" s="137" t="s">
        <v>37</v>
      </c>
      <c r="C39" s="138"/>
      <c r="D39" s="105">
        <v>1996021</v>
      </c>
      <c r="E39" s="142" t="s">
        <v>154</v>
      </c>
      <c r="F39" s="143"/>
      <c r="G39" s="143"/>
      <c r="H39" s="138"/>
      <c r="I39" s="47" t="s">
        <v>207</v>
      </c>
      <c r="J39" s="4"/>
      <c r="K39" s="137" t="s">
        <v>35</v>
      </c>
      <c r="L39" s="143"/>
      <c r="M39" s="138"/>
      <c r="N39" s="51"/>
      <c r="O39" s="131"/>
      <c r="P39" s="154"/>
      <c r="Q39" s="154"/>
      <c r="R39" s="155"/>
      <c r="S39" s="131"/>
      <c r="T39" s="132"/>
      <c r="AD39" s="5" t="s">
        <v>13</v>
      </c>
      <c r="AH39" s="35"/>
      <c r="AI39" s="35"/>
    </row>
    <row r="40" spans="2:35" s="5" customFormat="1" ht="20.25" customHeight="1">
      <c r="B40" s="137" t="s">
        <v>37</v>
      </c>
      <c r="C40" s="138"/>
      <c r="D40" s="105"/>
      <c r="E40" s="142"/>
      <c r="F40" s="143"/>
      <c r="G40" s="143"/>
      <c r="H40" s="138"/>
      <c r="I40" s="47"/>
      <c r="J40" s="4"/>
      <c r="K40" s="137" t="s">
        <v>35</v>
      </c>
      <c r="L40" s="143"/>
      <c r="M40" s="138"/>
      <c r="N40" s="51"/>
      <c r="O40" s="131"/>
      <c r="P40" s="154"/>
      <c r="Q40" s="154"/>
      <c r="R40" s="155"/>
      <c r="S40" s="131"/>
      <c r="T40" s="132"/>
      <c r="AH40" s="35"/>
      <c r="AI40" s="35"/>
    </row>
    <row r="41" spans="2:35" ht="19.25" customHeight="1">
      <c r="B41" s="137" t="s">
        <v>37</v>
      </c>
      <c r="C41" s="138"/>
      <c r="D41" s="105"/>
      <c r="E41" s="142"/>
      <c r="F41" s="143"/>
      <c r="G41" s="143"/>
      <c r="H41" s="138"/>
      <c r="I41" s="47"/>
      <c r="J41" s="3"/>
      <c r="K41" s="137" t="s">
        <v>35</v>
      </c>
      <c r="L41" s="143"/>
      <c r="M41" s="138"/>
      <c r="N41" s="51"/>
      <c r="O41" s="131"/>
      <c r="P41" s="154"/>
      <c r="Q41" s="154"/>
      <c r="R41" s="155"/>
      <c r="S41" s="131"/>
      <c r="T41" s="132"/>
      <c r="U41" s="3"/>
      <c r="V41" s="3"/>
      <c r="W41" s="3"/>
      <c r="X41" s="3"/>
      <c r="Y41" s="3"/>
      <c r="Z41" s="3"/>
      <c r="AA41" s="3"/>
      <c r="AB41" s="3"/>
    </row>
    <row r="42" spans="2:35" ht="20.25" customHeight="1">
      <c r="B42" s="137" t="s">
        <v>40</v>
      </c>
      <c r="C42" s="138"/>
      <c r="D42" s="105">
        <v>1992004</v>
      </c>
      <c r="E42" s="142" t="s">
        <v>67</v>
      </c>
      <c r="F42" s="143"/>
      <c r="G42" s="143"/>
      <c r="H42" s="138"/>
      <c r="I42" s="47" t="s">
        <v>156</v>
      </c>
      <c r="J42" s="3"/>
      <c r="K42" s="137" t="s">
        <v>56</v>
      </c>
      <c r="L42" s="143"/>
      <c r="M42" s="138"/>
      <c r="N42" s="51">
        <v>1963002</v>
      </c>
      <c r="O42" s="131" t="s">
        <v>61</v>
      </c>
      <c r="P42" s="154"/>
      <c r="Q42" s="154"/>
      <c r="R42" s="155"/>
      <c r="S42" s="131" t="s">
        <v>156</v>
      </c>
      <c r="T42" s="132"/>
      <c r="U42" s="3"/>
      <c r="V42" s="3"/>
      <c r="W42" s="3"/>
      <c r="X42" s="3"/>
      <c r="Y42" s="3"/>
      <c r="Z42" s="3"/>
      <c r="AA42" s="3"/>
      <c r="AB42" s="3"/>
    </row>
    <row r="43" spans="2:35" ht="20.25" customHeight="1">
      <c r="B43" s="145"/>
      <c r="C43" s="147"/>
      <c r="D43" s="106"/>
      <c r="E43" s="176"/>
      <c r="F43" s="146"/>
      <c r="G43" s="146"/>
      <c r="H43" s="147"/>
      <c r="I43" s="48"/>
      <c r="J43" s="3"/>
      <c r="K43" s="145"/>
      <c r="L43" s="146"/>
      <c r="M43" s="147"/>
      <c r="N43" s="52"/>
      <c r="O43" s="171"/>
      <c r="P43" s="172"/>
      <c r="Q43" s="172"/>
      <c r="R43" s="173"/>
      <c r="S43" s="171"/>
      <c r="T43" s="174"/>
      <c r="U43" s="3"/>
      <c r="V43" s="3"/>
      <c r="W43" s="3"/>
      <c r="X43" s="3"/>
      <c r="Y43" s="3"/>
      <c r="Z43" s="3"/>
      <c r="AA43" s="3"/>
      <c r="AB43" s="3"/>
    </row>
    <row r="44" spans="2:35" ht="19.25" customHeight="1">
      <c r="B44" s="178"/>
      <c r="C44" s="178"/>
      <c r="D44" s="144"/>
      <c r="E44" s="144"/>
      <c r="F44" s="55"/>
      <c r="G44" s="144"/>
      <c r="H44" s="144"/>
      <c r="I44" s="144"/>
      <c r="J44" s="3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7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100"/>
      <c r="E47" s="46"/>
      <c r="F47" s="46"/>
      <c r="G47" s="100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107"/>
      <c r="E48" s="13"/>
      <c r="F48" s="13"/>
      <c r="G48" s="101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75"/>
      <c r="F50" s="175"/>
      <c r="G50" s="175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31">
    <cfRule type="cellIs" dxfId="25" priority="24" stopIfTrue="1" operator="lessThanOrEqual">
      <formula>0</formula>
    </cfRule>
    <cfRule type="cellIs" dxfId="24" priority="23" stopIfTrue="1" operator="between">
      <formula>1</formula>
      <formula>300</formula>
    </cfRule>
  </conditionalFormatting>
  <conditionalFormatting sqref="K9:P9">
    <cfRule type="cellIs" dxfId="23" priority="18" stopIfTrue="1" operator="lessThanOrEqual">
      <formula>0</formula>
    </cfRule>
    <cfRule type="cellIs" dxfId="22" priority="17" stopIfTrue="1" operator="between">
      <formula>1</formula>
      <formula>300</formula>
    </cfRule>
  </conditionalFormatting>
  <conditionalFormatting sqref="K11:P11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15" stopIfTrue="1" operator="between">
      <formula>1</formula>
      <formula>300</formula>
    </cfRule>
    <cfRule type="cellIs" dxfId="16" priority="16" stopIfTrue="1" operator="lessThanOrEqual">
      <formula>0</formula>
    </cfRule>
  </conditionalFormatting>
  <conditionalFormatting sqref="K17:P17">
    <cfRule type="cellIs" dxfId="15" priority="19" stopIfTrue="1" operator="between">
      <formula>1</formula>
      <formula>300</formula>
    </cfRule>
    <cfRule type="cellIs" dxfId="14" priority="20" stopIfTrue="1" operator="lessThanOrEqual">
      <formula>0</formula>
    </cfRule>
  </conditionalFormatting>
  <conditionalFormatting sqref="K19:P19">
    <cfRule type="cellIs" dxfId="13" priority="10" stopIfTrue="1" operator="lessThanOrEqual">
      <formula>0</formula>
    </cfRule>
    <cfRule type="cellIs" dxfId="12" priority="9" stopIfTrue="1" operator="between">
      <formula>1</formula>
      <formula>300</formula>
    </cfRule>
  </conditionalFormatting>
  <conditionalFormatting sqref="K21:P21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K23:P23">
    <cfRule type="cellIs" dxfId="9" priority="13" stopIfTrue="1" operator="between">
      <formula>1</formula>
      <formula>300</formula>
    </cfRule>
    <cfRule type="cellIs" dxfId="8" priority="14" stopIfTrue="1" operator="lessThanOrEqual">
      <formula>0</formula>
    </cfRule>
  </conditionalFormatting>
  <conditionalFormatting sqref="K25:P25">
    <cfRule type="cellIs" dxfId="7" priority="21" stopIfTrue="1" operator="between">
      <formula>1</formula>
      <formula>300</formula>
    </cfRule>
    <cfRule type="cellIs" dxfId="6" priority="22" stopIfTrue="1" operator="lessThanOrEqual">
      <formula>0</formula>
    </cfRule>
  </conditionalFormatting>
  <conditionalFormatting sqref="K27:P27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conditionalFormatting sqref="K29:P29">
    <cfRule type="cellIs" dxfId="3" priority="4" stopIfTrue="1" operator="lessThanOrEqual">
      <formula>0</formula>
    </cfRule>
    <cfRule type="cellIs" dxfId="2" priority="3" stopIfTrue="1" operator="between">
      <formula>1</formula>
      <formula>300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5">
    <dataValidation type="list" allowBlank="1" showInputMessage="1" showErrorMessage="1" sqref="F9 F11 F31 F15 F17 F19 F21 F23 F25 F13 F27 F29" xr:uid="{8FA27FFB-5E2B-49B4-9713-08B934369068}">
      <formula1>"11-12,13-14,15-16,17-18,19-23,24-34,+35"</formula1>
    </dataValidation>
    <dataValidation type="list" allowBlank="1" showInputMessage="1" showErrorMessage="1" sqref="E9 E11 E31 E15 E17 E19 E21 E23 E25 E13 E27 E29" xr:uid="{A6E67315-13D8-4B90-B5AF-02D67CA8E39A}">
      <formula1>"UM,JM,SM,UK,JK,SK,M35,M40,M45,M50,M55,M60,M65,M70,M75,M80,M85,M90,K35,K40,K45,K50,K55,K60,K65,K70,K75,K80,K85,K90"</formula1>
    </dataValidation>
    <dataValidation type="list" allowBlank="1" showInputMessage="1" showErrorMessage="1" sqref="C9 C11 C31 C15 C17 C19 C21 C23 C25 C13 C27 C29" xr:uid="{7C4E6131-384A-4696-AAC7-A1758B8EB082}">
      <formula1>"40,45,49,55,59,64,71,76,81,+81,87,+87,49,55,61,67,73,81,89,96,102,+102,109,+109"</formula1>
    </dataValidation>
    <dataValidation type="list" allowBlank="1" showInputMessage="1" showErrorMessage="1" sqref="D5:I5" xr:uid="{84E9C8BE-A2DE-4ACD-B3DB-52746890B327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AE4273E0-F7FF-408C-9D4C-21E8B8C3710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A11" sqref="A11:XFD11"/>
    </sheetView>
  </sheetViews>
  <sheetFormatPr baseColWidth="10" defaultColWidth="9.19921875" defaultRowHeight="13"/>
  <cols>
    <col min="1" max="1" width="11.19921875" customWidth="1"/>
    <col min="2" max="2" width="11.796875" style="23" customWidth="1"/>
    <col min="3" max="3" width="12.19921875" bestFit="1" customWidth="1"/>
  </cols>
  <sheetData>
    <row r="1" spans="1:3">
      <c r="A1" s="184" t="s">
        <v>24</v>
      </c>
      <c r="B1" s="184"/>
      <c r="C1" s="184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4</vt:i4>
      </vt:variant>
    </vt:vector>
  </HeadingPairs>
  <TitlesOfParts>
    <vt:vector size="9" baseType="lpstr">
      <vt:lpstr>Pulje 1</vt:lpstr>
      <vt:lpstr>Pulje 2</vt:lpstr>
      <vt:lpstr>Pulje 3</vt:lpstr>
      <vt:lpstr>Pulje 4</vt:lpstr>
      <vt:lpstr>Meltzer-Faber</vt:lpstr>
      <vt:lpstr>'Pulje 1'!Utskriftsområde</vt:lpstr>
      <vt:lpstr>'Pulje 2'!Utskriftsområde</vt:lpstr>
      <vt:lpstr>'Pulje 3'!Utskriftsområde</vt:lpstr>
      <vt:lpstr>'Pulje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2023-05-26T11:37:03Z</cp:lastPrinted>
  <dcterms:created xsi:type="dcterms:W3CDTF">2001-08-31T20:44:44Z</dcterms:created>
  <dcterms:modified xsi:type="dcterms:W3CDTF">2024-06-24T13:50:48Z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