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26f6db26ae93d7f/Dokumenter/Stevner/2023/"/>
    </mc:Choice>
  </mc:AlternateContent>
  <xr:revisionPtr revIDLastSave="88" documentId="8_{F1492EA8-C0D0-496D-8795-1367183C7492}" xr6:coauthVersionLast="47" xr6:coauthVersionMax="47" xr10:uidLastSave="{7D8B0AFF-9DBE-4340-9402-A491BA0A59FE}"/>
  <bookViews>
    <workbookView xWindow="-120" yWindow="-120" windowWidth="20730" windowHeight="11160" tabRatio="178" xr2:uid="{00000000-000D-0000-FFFF-FFFF00000000}"/>
  </bookViews>
  <sheets>
    <sheet name="Pulje 1" sheetId="34" r:id="rId1"/>
    <sheet name="Pulje 2" sheetId="50" r:id="rId2"/>
    <sheet name="Ark1" sheetId="51" r:id="rId3"/>
    <sheet name="Meltzer-Faber" sheetId="23" state="hidden" r:id="rId4"/>
    <sheet name="Module1" sheetId="2" state="veryHidden" r:id="rId5"/>
  </sheets>
  <definedNames>
    <definedName name="_xlnm.Print_Area" localSheetId="0">'Pulje 1'!$B$1:$AB$46</definedName>
    <definedName name="_xlnm.Print_Area" localSheetId="1">'Pulje 2'!$B$1:$AB$46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1" i="34" l="1"/>
  <c r="T29" i="50"/>
  <c r="T25" i="50"/>
  <c r="T23" i="50"/>
  <c r="T21" i="34"/>
  <c r="T25" i="34"/>
  <c r="T29" i="34"/>
  <c r="Z31" i="34" l="1"/>
  <c r="T27" i="50"/>
  <c r="T31" i="34"/>
  <c r="T27" i="34"/>
  <c r="U25" i="34"/>
  <c r="Q31" i="50" l="1"/>
  <c r="AF33" i="50"/>
  <c r="AE33" i="50"/>
  <c r="X32" i="50"/>
  <c r="W32" i="50"/>
  <c r="V32" i="50"/>
  <c r="Y32" i="50" s="1"/>
  <c r="AJ31" i="50"/>
  <c r="AD31" i="50"/>
  <c r="AI31" i="50" s="1"/>
  <c r="AC31" i="50"/>
  <c r="AE31" i="50" s="1"/>
  <c r="R31" i="50"/>
  <c r="S31" i="50"/>
  <c r="T31" i="50" s="1"/>
  <c r="S32" i="50" s="1"/>
  <c r="X30" i="50"/>
  <c r="W30" i="50"/>
  <c r="V30" i="50"/>
  <c r="Y30" i="50" s="1"/>
  <c r="AJ29" i="50"/>
  <c r="AD29" i="50"/>
  <c r="AC29" i="50"/>
  <c r="AE29" i="50" s="1"/>
  <c r="R29" i="50"/>
  <c r="Q29" i="50"/>
  <c r="S29" i="50" s="1"/>
  <c r="S30" i="50" s="1"/>
  <c r="X28" i="50"/>
  <c r="W28" i="50"/>
  <c r="V28" i="50"/>
  <c r="Y28" i="50" s="1"/>
  <c r="AJ27" i="50"/>
  <c r="AD27" i="50"/>
  <c r="AC27" i="50"/>
  <c r="AE27" i="50" s="1"/>
  <c r="R27" i="50"/>
  <c r="Q27" i="50"/>
  <c r="S27" i="50" s="1"/>
  <c r="S28" i="50" s="1"/>
  <c r="X26" i="50"/>
  <c r="W26" i="50"/>
  <c r="V26" i="50"/>
  <c r="Y26" i="50" s="1"/>
  <c r="AJ25" i="50"/>
  <c r="AD25" i="50"/>
  <c r="AC25" i="50"/>
  <c r="AE25" i="50" s="1"/>
  <c r="R25" i="50"/>
  <c r="Q25" i="50"/>
  <c r="S25" i="50" s="1"/>
  <c r="S26" i="50" s="1"/>
  <c r="X24" i="50"/>
  <c r="W24" i="50"/>
  <c r="V24" i="50"/>
  <c r="Y24" i="50" s="1"/>
  <c r="AJ23" i="50"/>
  <c r="AD23" i="50"/>
  <c r="AC23" i="50"/>
  <c r="AE23" i="50" s="1"/>
  <c r="R23" i="50"/>
  <c r="Q23" i="50"/>
  <c r="S23" i="50" s="1"/>
  <c r="S24" i="50" s="1"/>
  <c r="X22" i="50"/>
  <c r="W22" i="50"/>
  <c r="V22" i="50"/>
  <c r="AJ21" i="50"/>
  <c r="AD21" i="50"/>
  <c r="AC21" i="50"/>
  <c r="AE21" i="50" s="1"/>
  <c r="R21" i="50"/>
  <c r="Q21" i="50"/>
  <c r="S21" i="50" s="1"/>
  <c r="T21" i="50" s="1"/>
  <c r="S22" i="50" s="1"/>
  <c r="X20" i="50"/>
  <c r="W20" i="50"/>
  <c r="V20" i="50"/>
  <c r="Y20" i="50" s="1"/>
  <c r="AJ19" i="50"/>
  <c r="AD19" i="50"/>
  <c r="AC19" i="50"/>
  <c r="AE19" i="50" s="1"/>
  <c r="AF19" i="50" s="1"/>
  <c r="AG19" i="50" s="1"/>
  <c r="U19" i="50"/>
  <c r="R19" i="50"/>
  <c r="Q19" i="50"/>
  <c r="S19" i="50" s="1"/>
  <c r="T19" i="50" s="1"/>
  <c r="S20" i="50" s="1"/>
  <c r="Z20" i="50" s="1"/>
  <c r="X18" i="50"/>
  <c r="W18" i="50"/>
  <c r="V18" i="50"/>
  <c r="AJ17" i="50"/>
  <c r="AD17" i="50"/>
  <c r="AC17" i="50"/>
  <c r="AE17" i="50" s="1"/>
  <c r="AF17" i="50" s="1"/>
  <c r="R17" i="50"/>
  <c r="Q17" i="50"/>
  <c r="S17" i="50" s="1"/>
  <c r="T17" i="50" s="1"/>
  <c r="S18" i="50" s="1"/>
  <c r="X16" i="50"/>
  <c r="W16" i="50"/>
  <c r="V16" i="50"/>
  <c r="Y16" i="50" s="1"/>
  <c r="AJ15" i="50"/>
  <c r="AD15" i="50"/>
  <c r="AC15" i="50"/>
  <c r="AE15" i="50" s="1"/>
  <c r="R15" i="50"/>
  <c r="Q15" i="50"/>
  <c r="S15" i="50" s="1"/>
  <c r="T15" i="50" s="1"/>
  <c r="S16" i="50" s="1"/>
  <c r="X14" i="50"/>
  <c r="W14" i="50"/>
  <c r="V14" i="50"/>
  <c r="Y14" i="50" s="1"/>
  <c r="AJ13" i="50"/>
  <c r="AD13" i="50"/>
  <c r="AC13" i="50"/>
  <c r="AE13" i="50" s="1"/>
  <c r="R13" i="50"/>
  <c r="Q13" i="50"/>
  <c r="S13" i="50" s="1"/>
  <c r="T13" i="50" s="1"/>
  <c r="S14" i="50" s="1"/>
  <c r="X12" i="50"/>
  <c r="W12" i="50"/>
  <c r="V12" i="50"/>
  <c r="Y12" i="50" s="1"/>
  <c r="AJ11" i="50"/>
  <c r="AD11" i="50"/>
  <c r="AC11" i="50"/>
  <c r="AE11" i="50" s="1"/>
  <c r="AF11" i="50" s="1"/>
  <c r="AG11" i="50" s="1"/>
  <c r="R11" i="50"/>
  <c r="Q11" i="50"/>
  <c r="S11" i="50" s="1"/>
  <c r="T11" i="50" s="1"/>
  <c r="S12" i="50" s="1"/>
  <c r="Z12" i="50" s="1"/>
  <c r="X10" i="50"/>
  <c r="W10" i="50"/>
  <c r="V10" i="50"/>
  <c r="AJ9" i="50"/>
  <c r="AD9" i="50"/>
  <c r="AC9" i="50"/>
  <c r="AE9" i="50" s="1"/>
  <c r="AF9" i="50" s="1"/>
  <c r="R9" i="50"/>
  <c r="Q9" i="50"/>
  <c r="S9" i="50" s="1"/>
  <c r="T9" i="50" s="1"/>
  <c r="S10" i="50" s="1"/>
  <c r="Y10" i="50" l="1"/>
  <c r="Y18" i="50"/>
  <c r="Y22" i="50"/>
  <c r="AI11" i="50"/>
  <c r="AI19" i="50"/>
  <c r="AF27" i="50"/>
  <c r="Z27" i="50"/>
  <c r="Z28" i="50"/>
  <c r="U9" i="50"/>
  <c r="AH9" i="50"/>
  <c r="AG9" i="50"/>
  <c r="AI9" i="50" s="1"/>
  <c r="Z16" i="50"/>
  <c r="AF15" i="50"/>
  <c r="U17" i="50"/>
  <c r="AH17" i="50"/>
  <c r="AG17" i="50"/>
  <c r="AI17" i="50" s="1"/>
  <c r="Z24" i="50"/>
  <c r="AF23" i="50"/>
  <c r="AF31" i="50"/>
  <c r="Z31" i="50"/>
  <c r="Z32" i="50"/>
  <c r="AF25" i="50"/>
  <c r="Z26" i="50"/>
  <c r="Z22" i="50"/>
  <c r="AF21" i="50"/>
  <c r="Z14" i="50"/>
  <c r="AF13" i="50"/>
  <c r="AF29" i="50"/>
  <c r="Z29" i="50"/>
  <c r="Z30" i="50"/>
  <c r="U11" i="50"/>
  <c r="AH11" i="50"/>
  <c r="AH19" i="50"/>
  <c r="Z10" i="50"/>
  <c r="Z18" i="50"/>
  <c r="AH21" i="50" l="1"/>
  <c r="AG21" i="50"/>
  <c r="AI21" i="50" s="1"/>
  <c r="U21" i="50"/>
  <c r="AG15" i="50"/>
  <c r="AI15" i="50" s="1"/>
  <c r="U15" i="50"/>
  <c r="AH15" i="50"/>
  <c r="U29" i="50"/>
  <c r="AH29" i="50"/>
  <c r="AG29" i="50"/>
  <c r="AI29" i="50" s="1"/>
  <c r="AH13" i="50"/>
  <c r="U13" i="50"/>
  <c r="AG13" i="50"/>
  <c r="AI13" i="50" s="1"/>
  <c r="U31" i="50"/>
  <c r="AH31" i="50"/>
  <c r="AG31" i="50"/>
  <c r="U25" i="50"/>
  <c r="AH25" i="50"/>
  <c r="AG25" i="50"/>
  <c r="AI25" i="50" s="1"/>
  <c r="AH23" i="50"/>
  <c r="AG23" i="50"/>
  <c r="AI23" i="50" s="1"/>
  <c r="U23" i="50"/>
  <c r="U27" i="50"/>
  <c r="AH27" i="50"/>
  <c r="AG27" i="50"/>
  <c r="AI27" i="50" s="1"/>
  <c r="W32" i="34" l="1"/>
  <c r="W30" i="34"/>
  <c r="W28" i="34"/>
  <c r="AJ31" i="34" l="1"/>
  <c r="AJ29" i="34"/>
  <c r="AJ27" i="34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D15" i="34"/>
  <c r="AE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T23" i="34" s="1"/>
  <c r="AC25" i="34"/>
  <c r="AE25" i="34" s="1"/>
  <c r="AD25" i="34"/>
  <c r="AC27" i="34"/>
  <c r="AE27" i="34" s="1"/>
  <c r="AD27" i="34"/>
  <c r="AC29" i="34"/>
  <c r="AE29" i="34" s="1"/>
  <c r="AD29" i="34"/>
  <c r="AC31" i="34"/>
  <c r="AE31" i="34" s="1"/>
  <c r="AD31" i="34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V10" i="34"/>
  <c r="Y30" i="34" l="1"/>
  <c r="AF31" i="34"/>
  <c r="AF27" i="34"/>
  <c r="AF29" i="34"/>
  <c r="AG29" i="34" s="1"/>
  <c r="AF17" i="34"/>
  <c r="AG17" i="34" s="1"/>
  <c r="AF25" i="34"/>
  <c r="AG25" i="34" s="1"/>
  <c r="AF21" i="34"/>
  <c r="AF11" i="34"/>
  <c r="AG11" i="34" s="1"/>
  <c r="AF23" i="34"/>
  <c r="AH23" i="34" s="1"/>
  <c r="AI23" i="34" s="1"/>
  <c r="AF19" i="34"/>
  <c r="AH19" i="34" s="1"/>
  <c r="AI19" i="34" s="1"/>
  <c r="AF15" i="34"/>
  <c r="AF13" i="34"/>
  <c r="AH13" i="34" s="1"/>
  <c r="AI13" i="34" s="1"/>
  <c r="AF9" i="34"/>
  <c r="AG9" i="34" s="1"/>
  <c r="Y26" i="34"/>
  <c r="Y22" i="34"/>
  <c r="Y28" i="34"/>
  <c r="Y12" i="34"/>
  <c r="AG13" i="34"/>
  <c r="AG15" i="34"/>
  <c r="AH15" i="34"/>
  <c r="AI15" i="34" s="1"/>
  <c r="AH27" i="34"/>
  <c r="AI27" i="34" s="1"/>
  <c r="AG27" i="34"/>
  <c r="AG31" i="34"/>
  <c r="AH31" i="34"/>
  <c r="AI31" i="34" s="1"/>
  <c r="AG19" i="34"/>
  <c r="AG23" i="34"/>
  <c r="AH21" i="34"/>
  <c r="AI21" i="34" s="1"/>
  <c r="AG21" i="34"/>
  <c r="AH25" i="34"/>
  <c r="AI25" i="34" s="1"/>
  <c r="AH17" i="34"/>
  <c r="AI17" i="34" s="1"/>
  <c r="Y14" i="34"/>
  <c r="Y18" i="34"/>
  <c r="AH11" i="34" l="1"/>
  <c r="AI11" i="34" s="1"/>
  <c r="AH9" i="34"/>
  <c r="AI9" i="34" s="1"/>
  <c r="AH29" i="34"/>
  <c r="AI29" i="34" s="1"/>
  <c r="U27" i="34"/>
  <c r="U17" i="34"/>
  <c r="U11" i="34"/>
  <c r="R31" i="34" l="1"/>
  <c r="Q31" i="34"/>
  <c r="S31" i="34" s="1"/>
  <c r="R29" i="34"/>
  <c r="Q29" i="34"/>
  <c r="R27" i="34"/>
  <c r="Q27" i="34"/>
  <c r="S27" i="34" s="1"/>
  <c r="R25" i="34"/>
  <c r="Q25" i="34"/>
  <c r="S29" i="34" l="1"/>
  <c r="S25" i="34"/>
  <c r="S28" i="34"/>
  <c r="S32" i="34" l="1"/>
  <c r="Z28" i="34"/>
  <c r="Z27" i="34"/>
  <c r="Z32" i="34"/>
  <c r="S30" i="34"/>
  <c r="U29" i="34"/>
  <c r="S26" i="34"/>
  <c r="Z26" i="34" s="1"/>
  <c r="R23" i="34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Z30" i="34" l="1"/>
  <c r="Z29" i="34"/>
  <c r="S11" i="34"/>
  <c r="T11" i="34" s="1"/>
  <c r="S12" i="34" s="1"/>
  <c r="S15" i="34"/>
  <c r="S13" i="34"/>
  <c r="Z12" i="34" l="1"/>
  <c r="Y16" i="34"/>
  <c r="T15" i="34"/>
  <c r="T13" i="34"/>
  <c r="S19" i="34" l="1"/>
  <c r="Y20" i="34" l="1"/>
  <c r="T19" i="34"/>
  <c r="R9" i="34"/>
  <c r="Q9" i="34"/>
  <c r="S9" i="34" l="1"/>
  <c r="S23" i="34"/>
  <c r="S21" i="34"/>
  <c r="S20" i="34"/>
  <c r="S17" i="34"/>
  <c r="Z20" i="34" l="1"/>
  <c r="T17" i="34"/>
  <c r="S18" i="34" s="1"/>
  <c r="S22" i="34"/>
  <c r="Z22" i="34" s="1"/>
  <c r="Z18" i="34" l="1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88948598-9DDB-024D-978B-16E819B3A25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D950C69-5A65-CA47-9C8F-53C12DD53BD2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64BB3AA9-C28B-3C4D-9447-89D235DAE66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03A0A4-369E-3A44-868F-98D66327373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F745925A-BAA9-044B-84E4-ADBE05538A22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8224A8F-723E-7942-ADF8-7050718F1A6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7F7C3706-C3B2-D046-8F44-52A30086E3AC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A8AF54A-E4CA-1145-BDF9-A8FBBDF30708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6DB3B0F-64CA-6740-B393-AE3B2178BE69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9DC90355-353F-2F49-A497-10F628077B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ACAD0BAC-1E89-9448-B784-E32889F3B9F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0EB82093-2D3D-1A4F-88E2-0C03CE2109D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19A39A89-C8A7-1542-9056-A3A7818FDC1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<sst xmlns="http://schemas.openxmlformats.org/spreadsheetml/2006/main" count="350" uniqueCount="147">
  <si>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</si>
  <si>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</si>
  <si>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</si>
  <si>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</si>
  <si>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</si>
  <si>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</si>
  <si>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</si>
  <si>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</si>
  <si>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</si>
  <si>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</si>
  <si>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</si>
  <si>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</si>
  <si>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</si>
  <si>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</si>
  <si>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</si>
  <si>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</si>
  <si>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</si>
  <si>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</si>
  <si>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</si>
  <si>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</si>
  <si>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</si>
  <si>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</si>
  <si>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</si>
  <si>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</si>
  <si>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</si>
  <si>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</si>
  <si>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</si>
  <si>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</si>
  <si>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</si>
  <si>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</si>
  <si>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</si>
  <si>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</si>
  <si>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</si>
  <si>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</si>
  <si>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</si>
  <si>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</si>
  <si>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</si>
  <si>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</si>
  <si>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</si>
  <si>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</si>
  <si>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</si>
  <si>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</si>
  <si>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</si>
  <si>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</si>
  <si>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</si>
  <si>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</si>
  <si>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</si>
  <si>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</si>
  <si>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</si>
  <si>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</si>
  <si>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</si>
  <si>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</si>
  <si>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</si>
  <si>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</si>
  <si>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</si>
  <si>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</si>
  <si>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</si>
  <si>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</si>
  <si>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</si>
  <si>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</si>
  <si>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</si>
  <si>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Regionsmesterskap</t>
  </si>
  <si>
    <t>Vigrestad IK</t>
  </si>
  <si>
    <t>Vigrestad Hallen</t>
  </si>
  <si>
    <t>UK</t>
  </si>
  <si>
    <t>11-12</t>
  </si>
  <si>
    <t>2011008</t>
  </si>
  <si>
    <t>55</t>
  </si>
  <si>
    <t>59</t>
  </si>
  <si>
    <t>K45</t>
  </si>
  <si>
    <t>Ingrid Emilie Haugland</t>
  </si>
  <si>
    <t>2011007</t>
  </si>
  <si>
    <t>2011011</t>
  </si>
  <si>
    <t>2009002</t>
  </si>
  <si>
    <t>13-14</t>
  </si>
  <si>
    <t>Nora Kristin Haugland</t>
  </si>
  <si>
    <t>2009017</t>
  </si>
  <si>
    <t>Lisa Siqveland</t>
  </si>
  <si>
    <t>2009003</t>
  </si>
  <si>
    <t>Lea B. Jensen</t>
  </si>
  <si>
    <t>2005009</t>
  </si>
  <si>
    <t>17-18</t>
  </si>
  <si>
    <t>Rina Tysse</t>
  </si>
  <si>
    <t>2004023</t>
  </si>
  <si>
    <t>JK</t>
  </si>
  <si>
    <t>19-23</t>
  </si>
  <si>
    <t>Siv-Helene Haaland</t>
  </si>
  <si>
    <t>2001016</t>
  </si>
  <si>
    <t>2007004</t>
  </si>
  <si>
    <t>64</t>
  </si>
  <si>
    <t>15-16</t>
  </si>
  <si>
    <t>Eline Svendsen</t>
  </si>
  <si>
    <t>2008005</t>
  </si>
  <si>
    <t>Eline Høien</t>
  </si>
  <si>
    <t>1998010</t>
  </si>
  <si>
    <t>SK</t>
  </si>
  <si>
    <t>24-34</t>
  </si>
  <si>
    <t>Sara Vestvik</t>
  </si>
  <si>
    <t>1975001</t>
  </si>
  <si>
    <t>81</t>
  </si>
  <si>
    <t>+35</t>
  </si>
  <si>
    <t>Monika Zakrzewska</t>
  </si>
  <si>
    <t>UM</t>
  </si>
  <si>
    <t>Tord Risdal</t>
  </si>
  <si>
    <t>67</t>
  </si>
  <si>
    <t>Marius Bøckman</t>
  </si>
  <si>
    <t>2009008</t>
  </si>
  <si>
    <t>Svein Surdal</t>
  </si>
  <si>
    <t>2008007</t>
  </si>
  <si>
    <t>William Kyvik</t>
  </si>
  <si>
    <t>2007005</t>
  </si>
  <si>
    <t>73</t>
  </si>
  <si>
    <t>Sean Elliot Paudel</t>
  </si>
  <si>
    <t>2005008</t>
  </si>
  <si>
    <t>1997007</t>
  </si>
  <si>
    <t>96</t>
  </si>
  <si>
    <t>SM</t>
  </si>
  <si>
    <t>Andreas Klinkenberg</t>
  </si>
  <si>
    <t>1999009</t>
  </si>
  <si>
    <t>89</t>
  </si>
  <si>
    <t>Eskil Andersen</t>
  </si>
  <si>
    <t>2009005</t>
  </si>
  <si>
    <t>Ove Berge Christiansen</t>
  </si>
  <si>
    <t>1991016</t>
  </si>
  <si>
    <t>Tord Gravdal</t>
  </si>
  <si>
    <t>JM</t>
  </si>
  <si>
    <t>+102</t>
  </si>
  <si>
    <t>+109</t>
  </si>
  <si>
    <t>49</t>
  </si>
  <si>
    <t>40</t>
  </si>
  <si>
    <t>Anna Siqveland</t>
  </si>
  <si>
    <t>-</t>
  </si>
  <si>
    <t>Hans B. Hagenes</t>
  </si>
  <si>
    <t>Erika Jellestad</t>
  </si>
  <si>
    <t>Hans Bjørnar Hagenes</t>
  </si>
  <si>
    <t>Jan Sturle Andersen</t>
  </si>
  <si>
    <t>Lars Eilif Stavnheim</t>
  </si>
  <si>
    <t>Tysvær VK</t>
  </si>
  <si>
    <t>Stavanger VK</t>
  </si>
  <si>
    <t>Torbjørn Ødegård</t>
  </si>
  <si>
    <t>Christer Andersen</t>
  </si>
  <si>
    <t>Tor Steinar Herikstad</t>
  </si>
  <si>
    <t>Roy Johan Andersen Revheim</t>
  </si>
  <si>
    <t>Roy Johan Andresen Revheim</t>
  </si>
  <si>
    <t>Ronny Matnisdal</t>
  </si>
  <si>
    <t>Camilla Larsen  Eiane</t>
  </si>
  <si>
    <t>Stefan Rønnevik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</si>
</sst>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167" fontId="4" fillId="0" borderId="3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91BBC5-91C5-FD42-926E-BF24987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="80" zoomScaleNormal="80" zoomScaleSheetLayoutView="75" zoomScalePageLayoutView="120" workbookViewId="0">
      <selection activeCell="T34" sqref="T34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47" t="s">
        <v>58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5"/>
      <c r="T2" s="15"/>
      <c r="U2" s="112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3"/>
      <c r="F3" s="15"/>
      <c r="G3" s="148" t="s">
        <v>21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14" t="s">
        <v>60</v>
      </c>
      <c r="T3" s="114"/>
      <c r="U3" s="114"/>
      <c r="V3" s="114"/>
      <c r="W3" s="114"/>
      <c r="X3" s="114"/>
      <c r="Y3" s="114"/>
      <c r="Z3" s="114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7" t="s">
        <v>61</v>
      </c>
      <c r="E5" s="167"/>
      <c r="F5" s="167"/>
      <c r="G5" s="167"/>
      <c r="H5" s="167"/>
      <c r="I5" s="167"/>
      <c r="J5" s="24" t="s">
        <v>0</v>
      </c>
      <c r="K5" s="167" t="s">
        <v>62</v>
      </c>
      <c r="L5" s="167"/>
      <c r="M5" s="167"/>
      <c r="N5" s="167"/>
      <c r="O5" s="24" t="s">
        <v>1</v>
      </c>
      <c r="P5" s="166" t="s">
        <v>63</v>
      </c>
      <c r="Q5" s="166"/>
      <c r="R5" s="166"/>
      <c r="S5" s="166"/>
      <c r="T5" s="24" t="s">
        <v>2</v>
      </c>
      <c r="U5" s="178">
        <v>45087</v>
      </c>
      <c r="V5" s="178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26" t="s">
        <v>57</v>
      </c>
    </row>
    <row r="7" spans="1:36" s="1" customFormat="1" x14ac:dyDescent="0.2">
      <c r="B7" s="164" t="s">
        <v>33</v>
      </c>
      <c r="C7" s="168" t="s">
        <v>53</v>
      </c>
      <c r="D7" s="168" t="s">
        <v>52</v>
      </c>
      <c r="E7" s="170" t="s">
        <v>54</v>
      </c>
      <c r="F7" s="172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6"/>
    </row>
    <row r="8" spans="1:36" s="1" customFormat="1" x14ac:dyDescent="0.2">
      <c r="B8" s="165"/>
      <c r="C8" s="169"/>
      <c r="D8" s="169"/>
      <c r="E8" s="171"/>
      <c r="F8" s="173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16" t="s">
        <v>71</v>
      </c>
      <c r="C9" s="84" t="s">
        <v>129</v>
      </c>
      <c r="D9" s="83">
        <v>39.01</v>
      </c>
      <c r="E9" s="84" t="s">
        <v>64</v>
      </c>
      <c r="F9" s="121" t="s">
        <v>65</v>
      </c>
      <c r="G9" s="125">
        <v>40626</v>
      </c>
      <c r="H9" s="71">
        <v>1</v>
      </c>
      <c r="I9" s="123" t="s">
        <v>130</v>
      </c>
      <c r="J9" s="76" t="s">
        <v>62</v>
      </c>
      <c r="K9" s="79">
        <v>10</v>
      </c>
      <c r="L9" s="85">
        <v>13</v>
      </c>
      <c r="M9" s="85">
        <v>15</v>
      </c>
      <c r="N9" s="79">
        <v>12</v>
      </c>
      <c r="O9" s="85">
        <v>15</v>
      </c>
      <c r="P9" s="85">
        <v>17</v>
      </c>
      <c r="Q9" s="118">
        <f>IF(MAX(K9:M9)&gt;0,IF(MAX(K9:M9)&lt;0,0,TRUNC(MAX(K9:M9)/1)*1),"")</f>
        <v>15</v>
      </c>
      <c r="R9" s="68">
        <f>IF(MAX(N9:P9)&gt;0,IF(MAX(N9:P9)&lt;0,0,TRUNC(MAX(N9:P9)/1)*1),"")</f>
        <v>17</v>
      </c>
      <c r="S9" s="68">
        <f>IF(Q9="","",IF(R9="","",IF(SUM(Q9:R9)=0,"",SUM(Q9:R9))))</f>
        <v>32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60.867667337433197</v>
      </c>
      <c r="U9" s="77" t="str">
        <f>IF(AF9=1,T9*AI9,"")</f>
        <v/>
      </c>
      <c r="V9" s="70">
        <v>4.75</v>
      </c>
      <c r="W9" s="70">
        <v>4.7</v>
      </c>
      <c r="X9" s="70">
        <v>8.8000000000000007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k</v>
      </c>
      <c r="AE9" s="94">
        <f>IF(OR(G9="",AC9=""),0,(YEAR(AC9)-YEAR(G9)))</f>
        <v>12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2.2380296833618605</v>
      </c>
    </row>
    <row r="10" spans="1:36" s="8" customFormat="1" ht="20.100000000000001" customHeight="1" x14ac:dyDescent="0.2">
      <c r="B10" s="116"/>
      <c r="C10" s="84"/>
      <c r="D10" s="73"/>
      <c r="E10" s="84"/>
      <c r="F10" s="121"/>
      <c r="G10" s="125"/>
      <c r="H10" s="79"/>
      <c r="I10" s="76"/>
      <c r="J10" s="76"/>
      <c r="K10" s="127"/>
      <c r="L10" s="127"/>
      <c r="M10" s="127"/>
      <c r="N10" s="128"/>
      <c r="O10" s="128"/>
      <c r="P10" s="128"/>
      <c r="Q10" s="119"/>
      <c r="R10" s="73"/>
      <c r="S10" s="127">
        <f>IF(T9="","",T9*1.2)</f>
        <v>73.041200804919839</v>
      </c>
      <c r="T10" s="127"/>
      <c r="U10" s="73"/>
      <c r="V10" s="73">
        <f>IF(V9&gt;0,V9*20,"")</f>
        <v>95</v>
      </c>
      <c r="W10" s="73">
        <f>IF(W9="","",(W9*10)*AJ9)</f>
        <v>105.18739511800744</v>
      </c>
      <c r="X10" s="77">
        <f>IF(ROUNDUP(X9,1)&gt;0,IF((80+(8-ROUNDUP(X9,1))*40)&lt;0,0,80+(8-ROUNDUP(X9,1))*40),"")</f>
        <v>47.999999999999972</v>
      </c>
      <c r="Y10" s="78">
        <f>IF(SUM(V10,W10,X10)&gt;0,SUM(V10,W10,X10),"")</f>
        <v>248.1873951180074</v>
      </c>
      <c r="Z10" s="83">
        <f>IF(AE9&gt;34,(IF(OR(S10="",V10="",W10="",X10=""),"",SUM(S10,V10,W10,X10))*AI9),IF(OR(S10="",V10="",W10="",X10=""),"", SUM(S10,V10,W10,X10)))</f>
        <v>321.2285959229273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16" t="s">
        <v>66</v>
      </c>
      <c r="C11" s="84" t="s">
        <v>129</v>
      </c>
      <c r="D11" s="73">
        <v>36.36</v>
      </c>
      <c r="E11" s="84" t="s">
        <v>64</v>
      </c>
      <c r="F11" s="121" t="s">
        <v>65</v>
      </c>
      <c r="G11" s="125">
        <v>40757</v>
      </c>
      <c r="H11" s="79">
        <v>2</v>
      </c>
      <c r="I11" s="76" t="s">
        <v>70</v>
      </c>
      <c r="J11" s="76" t="s">
        <v>62</v>
      </c>
      <c r="K11" s="79">
        <v>15</v>
      </c>
      <c r="L11" s="85">
        <v>17</v>
      </c>
      <c r="M11" s="85">
        <v>19</v>
      </c>
      <c r="N11" s="79">
        <v>17</v>
      </c>
      <c r="O11" s="85">
        <v>20</v>
      </c>
      <c r="P11" s="85">
        <v>22</v>
      </c>
      <c r="Q11" s="118">
        <f>IF(MAX(K11:M11)&gt;0,IF(MAX(K11:M11)&lt;0,0,TRUNC(MAX(K11:M11)/1)*1),"")</f>
        <v>19</v>
      </c>
      <c r="R11" s="68">
        <f>IF(MAX(N11:P11)&gt;0,IF(MAX(N11:P11)&lt;0,0,TRUNC(MAX(N11:P11)/1)*1),"")</f>
        <v>22</v>
      </c>
      <c r="S11" s="68">
        <f>IF(Q11="","",IF(R11="","",IF(SUM(Q11:R11)=0,"",SUM(Q11:R11))))</f>
        <v>41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83.444925506101001</v>
      </c>
      <c r="U11" s="77" t="str">
        <f>IF(AF11=1,T11*AI11,"")</f>
        <v/>
      </c>
      <c r="V11" s="70">
        <v>4.8</v>
      </c>
      <c r="W11" s="70">
        <v>5.8</v>
      </c>
      <c r="X11" s="70">
        <v>8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k</v>
      </c>
      <c r="AE11" s="94">
        <f>IF(OR(G11="",AC11=""),0,(YEAR(AC11)-YEAR(G11)))</f>
        <v>12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2.4058438117116108</v>
      </c>
    </row>
    <row r="12" spans="1:36" s="8" customFormat="1" ht="20.100000000000001" customHeight="1" x14ac:dyDescent="0.2">
      <c r="B12" s="116"/>
      <c r="C12" s="84"/>
      <c r="D12" s="73"/>
      <c r="E12" s="84"/>
      <c r="F12" s="121"/>
      <c r="G12" s="125"/>
      <c r="H12" s="79"/>
      <c r="I12" s="76"/>
      <c r="J12" s="76"/>
      <c r="K12" s="127"/>
      <c r="L12" s="127"/>
      <c r="M12" s="127"/>
      <c r="N12" s="128"/>
      <c r="O12" s="128"/>
      <c r="P12" s="128"/>
      <c r="Q12" s="119"/>
      <c r="R12" s="73"/>
      <c r="S12" s="127">
        <f>IF(T11="","",T11*1.2)</f>
        <v>100.1339106073212</v>
      </c>
      <c r="T12" s="127"/>
      <c r="U12" s="83"/>
      <c r="V12" s="73">
        <f>IF(V11&gt;0,V11*20,"")</f>
        <v>96</v>
      </c>
      <c r="W12" s="73">
        <f>IF(W11="","",(W11*10)*AJ11)</f>
        <v>139.53894107927343</v>
      </c>
      <c r="X12" s="77">
        <f>IF(ROUNDUP(X11,1)&gt;0,IF((80+(8-ROUNDUP(X11,1))*40)&lt;0,0,80+(8-ROUNDUP(X11,1))*40),"")</f>
        <v>80</v>
      </c>
      <c r="Y12" s="78">
        <f>IF(SUM(V12,W12,X12)&gt;0,SUM(V12,W12,X12),"")</f>
        <v>315.5389410792734</v>
      </c>
      <c r="Z12" s="83">
        <f>IF(AE11&gt;34,(IF(OR(S12="",V12="",W12="",X12=""),"",SUM(S12,V12,W12,X12))*AI11),IF(OR(S12="",V12="",W12="",X12=""),"", SUM(S12,V12,W12,X12)))</f>
        <v>415.67285168659464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6" t="s">
        <v>73</v>
      </c>
      <c r="C13" s="84" t="s">
        <v>128</v>
      </c>
      <c r="D13" s="83">
        <v>48.5</v>
      </c>
      <c r="E13" s="84" t="s">
        <v>64</v>
      </c>
      <c r="F13" s="121" t="s">
        <v>74</v>
      </c>
      <c r="G13" s="125">
        <v>39957</v>
      </c>
      <c r="H13" s="71">
        <v>3</v>
      </c>
      <c r="I13" s="123" t="s">
        <v>75</v>
      </c>
      <c r="J13" s="76" t="s">
        <v>62</v>
      </c>
      <c r="K13" s="79">
        <v>28</v>
      </c>
      <c r="L13" s="85">
        <v>32</v>
      </c>
      <c r="M13" s="85">
        <v>34</v>
      </c>
      <c r="N13" s="79">
        <v>35</v>
      </c>
      <c r="O13" s="85">
        <v>38</v>
      </c>
      <c r="P13" s="85">
        <v>41</v>
      </c>
      <c r="Q13" s="118">
        <f>IF(MAX(K13:M13)&gt;0,IF(MAX(K13:M13)&lt;0,0,TRUNC(MAX(K13:M13)/1)*1),"")</f>
        <v>34</v>
      </c>
      <c r="R13" s="68">
        <f>IF(MAX(N13:P13)&gt;0,IF(MAX(N13:P13)&lt;0,0,TRUNC(MAX(N13:P13)/1)*1),"")</f>
        <v>41</v>
      </c>
      <c r="S13" s="68">
        <f>IF(Q13="","",IF(R13="","",IF(SUM(Q13:R13)=0,"",SUM(Q13:R13))))</f>
        <v>75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118.21527839497902</v>
      </c>
      <c r="U13" s="77" t="str">
        <f>IF(AF13=1,T13*AI13,"")</f>
        <v/>
      </c>
      <c r="V13" s="70">
        <v>5.18</v>
      </c>
      <c r="W13" s="70">
        <v>8.6</v>
      </c>
      <c r="X13" s="70">
        <v>7.6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k</v>
      </c>
      <c r="AE13" s="94">
        <f>IF(OR(G13="",AC13=""),0,(YEAR(AC13)-YEAR(G13)))</f>
        <v>14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1.8248293220932927</v>
      </c>
    </row>
    <row r="14" spans="1:36" s="8" customFormat="1" ht="20.100000000000001" customHeight="1" x14ac:dyDescent="0.2">
      <c r="B14" s="116"/>
      <c r="C14" s="84"/>
      <c r="D14" s="73"/>
      <c r="E14" s="84"/>
      <c r="F14" s="121"/>
      <c r="G14" s="125"/>
      <c r="H14" s="79"/>
      <c r="I14" s="76"/>
      <c r="J14" s="76"/>
      <c r="K14" s="127"/>
      <c r="L14" s="127"/>
      <c r="M14" s="127"/>
      <c r="N14" s="128"/>
      <c r="O14" s="128"/>
      <c r="P14" s="128"/>
      <c r="Q14" s="119"/>
      <c r="R14" s="73"/>
      <c r="S14" s="127">
        <f>IF(T13="","",T13*1.2)</f>
        <v>141.85833407397482</v>
      </c>
      <c r="T14" s="127"/>
      <c r="U14" s="73"/>
      <c r="V14" s="73">
        <f>IF(V13&gt;0,V13*20,"")</f>
        <v>103.6</v>
      </c>
      <c r="W14" s="73">
        <f>IF(W13="","",(W13*10)*AJ13)</f>
        <v>156.93532170002317</v>
      </c>
      <c r="X14" s="77">
        <f>IF(ROUNDUP(X13,1)&gt;0,IF((80+(8-ROUNDUP(X13,1))*40)&lt;0,0,80+(8-ROUNDUP(X13,1))*40),"")</f>
        <v>96.000000000000014</v>
      </c>
      <c r="Y14" s="78">
        <f>IF(SUM(V14,W14,X14)&gt;0,SUM(V14,W14,X14),"")</f>
        <v>356.53532170002313</v>
      </c>
      <c r="Z14" s="83">
        <f>IF(AE13&gt;34,(IF(OR(S14="",V14="",W14="",X14=""),"",SUM(S14,V14,W14,X14))*AI13),IF(OR(S14="",V14="",W14="",X14=""),"", SUM(S14,V14,W14,X14)))</f>
        <v>498.39365577399798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6" t="s">
        <v>76</v>
      </c>
      <c r="C15" s="84" t="s">
        <v>67</v>
      </c>
      <c r="D15" s="73">
        <v>54.03</v>
      </c>
      <c r="E15" s="84" t="s">
        <v>64</v>
      </c>
      <c r="F15" s="121" t="s">
        <v>74</v>
      </c>
      <c r="G15" s="125">
        <v>39863</v>
      </c>
      <c r="H15" s="79">
        <v>4</v>
      </c>
      <c r="I15" s="76" t="s">
        <v>77</v>
      </c>
      <c r="J15" s="76" t="s">
        <v>62</v>
      </c>
      <c r="K15" s="79">
        <v>-30</v>
      </c>
      <c r="L15" s="85">
        <v>30</v>
      </c>
      <c r="M15" s="85">
        <v>-33</v>
      </c>
      <c r="N15" s="79">
        <v>32</v>
      </c>
      <c r="O15" s="85">
        <v>35</v>
      </c>
      <c r="P15" s="85">
        <v>38</v>
      </c>
      <c r="Q15" s="118">
        <f>IF(MAX(K15:M15)&gt;0,IF(MAX(K15:M15)&lt;0,0,TRUNC(MAX(K15:M15)/1)*1),"")</f>
        <v>30</v>
      </c>
      <c r="R15" s="68">
        <f>IF(MAX(N15:P15)&gt;0,IF(MAX(N15:P15)&lt;0,0,TRUNC(MAX(N15:P15)/1)*1),"")</f>
        <v>38</v>
      </c>
      <c r="S15" s="68">
        <f>IF(Q15="","",IF(R15="","",IF(SUM(Q15:R15)=0,"",SUM(Q15:R15))))</f>
        <v>68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98.824812793278184</v>
      </c>
      <c r="U15" s="77" t="str">
        <f>IF(AF15=1,T15*AI15,"")</f>
        <v/>
      </c>
      <c r="V15" s="70">
        <v>5.26</v>
      </c>
      <c r="W15" s="70">
        <v>7.1</v>
      </c>
      <c r="X15" s="70">
        <v>8.1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k</v>
      </c>
      <c r="AE15" s="94">
        <f>IF(OR(G15="",AC15=""),0,(YEAR(AC15)-YEAR(G15)))</f>
        <v>14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1.6674781080263918</v>
      </c>
    </row>
    <row r="16" spans="1:36" s="8" customFormat="1" ht="20.100000000000001" customHeight="1" x14ac:dyDescent="0.2">
      <c r="B16" s="116"/>
      <c r="C16" s="84"/>
      <c r="D16" s="73"/>
      <c r="E16" s="84"/>
      <c r="F16" s="121"/>
      <c r="G16" s="125"/>
      <c r="H16" s="79"/>
      <c r="I16" s="76"/>
      <c r="J16" s="76"/>
      <c r="K16" s="127"/>
      <c r="L16" s="127"/>
      <c r="M16" s="127"/>
      <c r="N16" s="128"/>
      <c r="O16" s="128"/>
      <c r="P16" s="128"/>
      <c r="Q16" s="120"/>
      <c r="R16" s="88"/>
      <c r="S16" s="127">
        <f>IF(T15="","",T15*1.2)</f>
        <v>118.58977535193381</v>
      </c>
      <c r="T16" s="127"/>
      <c r="U16" s="73"/>
      <c r="V16" s="73">
        <f>IF(V15&gt;0,V15*20,"")</f>
        <v>105.19999999999999</v>
      </c>
      <c r="W16" s="73">
        <f>IF(W15="","",(W15*10)*AJ15)</f>
        <v>118.39094566987382</v>
      </c>
      <c r="X16" s="77">
        <f>IF(ROUNDUP(X15,1)&gt;0,IF((80+(8-ROUNDUP(X15,1))*40)&lt;0,0,80+(8-ROUNDUP(X15,1))*40),"")</f>
        <v>76.000000000000014</v>
      </c>
      <c r="Y16" s="78">
        <f>IF(SUM(V16,W16,X16)&gt;0,SUM(V16,W16,X16),"")</f>
        <v>299.5909456698738</v>
      </c>
      <c r="Z16" s="83">
        <f>IF(AE15&gt;34,(IF(OR(S16="",V16="",W16="",X16=""),"",SUM(S16,V16,W16,X16))*AI15),IF(OR(S16="",V16="",W16="",X16=""),"", SUM(S16,V16,W16,X16)))</f>
        <v>418.18072102180759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">
      <c r="B17" s="116" t="s">
        <v>78</v>
      </c>
      <c r="C17" s="84" t="s">
        <v>67</v>
      </c>
      <c r="D17" s="83">
        <v>53.08</v>
      </c>
      <c r="E17" s="84" t="s">
        <v>64</v>
      </c>
      <c r="F17" s="121" t="s">
        <v>74</v>
      </c>
      <c r="G17" s="125">
        <v>40060</v>
      </c>
      <c r="H17" s="71">
        <v>5</v>
      </c>
      <c r="I17" s="123" t="s">
        <v>79</v>
      </c>
      <c r="J17" s="76" t="s">
        <v>62</v>
      </c>
      <c r="K17" s="79">
        <v>38</v>
      </c>
      <c r="L17" s="85">
        <v>40</v>
      </c>
      <c r="M17" s="85">
        <v>43</v>
      </c>
      <c r="N17" s="79">
        <v>50</v>
      </c>
      <c r="O17" s="85">
        <v>52</v>
      </c>
      <c r="P17" s="85">
        <v>55</v>
      </c>
      <c r="Q17" s="118">
        <f>IF(MAX(K17:M17)&gt;0,IF(MAX(K17:M17)&lt;0,0,TRUNC(MAX(K17:M17)/1)*1),"")</f>
        <v>43</v>
      </c>
      <c r="R17" s="68">
        <f>IF(MAX(N17:P17)&gt;0,IF(MAX(N17:P17)&lt;0,0,TRUNC(MAX(N17:P17)/1)*1),"")</f>
        <v>55</v>
      </c>
      <c r="S17" s="86">
        <f>IF(Q17="","",IF(R17="","",IF(SUM(Q17:R17)=0,"",SUM(Q17:R17))))</f>
        <v>98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144.25723853692</v>
      </c>
      <c r="U17" s="77" t="str">
        <f>IF(AF17=1,T17*AI17,"")</f>
        <v/>
      </c>
      <c r="V17" s="70">
        <v>5.96</v>
      </c>
      <c r="W17" s="70">
        <v>10.9</v>
      </c>
      <c r="X17" s="70">
        <v>6.7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k</v>
      </c>
      <c r="AE17" s="94">
        <f>IF(OR(G17="",AC17=""),0,(YEAR(AC17)-YEAR(G17)))</f>
        <v>14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1.6915149528298645</v>
      </c>
    </row>
    <row r="18" spans="2:36" s="8" customFormat="1" ht="20.100000000000001" customHeight="1" x14ac:dyDescent="0.2">
      <c r="B18" s="116"/>
      <c r="C18" s="84"/>
      <c r="D18" s="73"/>
      <c r="E18" s="84"/>
      <c r="F18" s="121"/>
      <c r="G18" s="125"/>
      <c r="H18" s="79"/>
      <c r="I18" s="76"/>
      <c r="J18" s="76"/>
      <c r="K18" s="127"/>
      <c r="L18" s="127"/>
      <c r="M18" s="127"/>
      <c r="N18" s="128"/>
      <c r="O18" s="128"/>
      <c r="P18" s="128"/>
      <c r="Q18" s="119"/>
      <c r="R18" s="73"/>
      <c r="S18" s="127">
        <f>IF(T17="","",T17*1.2)</f>
        <v>173.10868624430398</v>
      </c>
      <c r="T18" s="127"/>
      <c r="U18" s="73"/>
      <c r="V18" s="73">
        <f>IF(V17&gt;0,V17*20,"")</f>
        <v>119.2</v>
      </c>
      <c r="W18" s="73">
        <f>IF(W17="","",(W17*10)*AJ17)</f>
        <v>184.37512985845524</v>
      </c>
      <c r="X18" s="77">
        <f>IF(ROUNDUP(X17,1)&gt;0,IF((80+(8-ROUNDUP(X17,1))*40)&lt;0,0,80+(8-ROUNDUP(X17,1))*40),"")</f>
        <v>132</v>
      </c>
      <c r="Y18" s="78">
        <f>IF(SUM(V18,W18,X18)&gt;0,SUM(V18,W18,X18),"")</f>
        <v>435.57512985845523</v>
      </c>
      <c r="Z18" s="83">
        <f>IF(AE17&gt;34,(IF(OR(S18="",V18="",W18="",X18=""),"",SUM(S18,V18,W18,X18))*AI17),IF(OR(S18="",V18="",W18="",X18=""),"", SUM(S18,V18,W18,X18)))</f>
        <v>608.68381610275924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">
      <c r="B19" s="116" t="s">
        <v>80</v>
      </c>
      <c r="C19" s="84" t="s">
        <v>68</v>
      </c>
      <c r="D19" s="73">
        <v>58.87</v>
      </c>
      <c r="E19" s="84" t="s">
        <v>84</v>
      </c>
      <c r="F19" s="121" t="s">
        <v>81</v>
      </c>
      <c r="G19" s="125">
        <v>38515</v>
      </c>
      <c r="H19" s="79">
        <v>6</v>
      </c>
      <c r="I19" s="76" t="s">
        <v>82</v>
      </c>
      <c r="J19" s="76" t="s">
        <v>137</v>
      </c>
      <c r="K19" s="79">
        <v>35</v>
      </c>
      <c r="L19" s="85">
        <v>40</v>
      </c>
      <c r="M19" s="85">
        <v>42</v>
      </c>
      <c r="N19" s="79">
        <v>40</v>
      </c>
      <c r="O19" s="85">
        <v>46</v>
      </c>
      <c r="P19" s="85">
        <v>-50</v>
      </c>
      <c r="Q19" s="118">
        <f>IF(MAX(K19:M19)&gt;0,IF(MAX(K19:M19)&lt;0,0,TRUNC(MAX(K19:M19)/1)*1),"")</f>
        <v>42</v>
      </c>
      <c r="R19" s="68">
        <f>IF(MAX(N19:P19)&gt;0,IF(MAX(N19:P19)&lt;0,0,TRUNC(MAX(N19:P19)/1)*1),"")</f>
        <v>46</v>
      </c>
      <c r="S19" s="86">
        <f>IF(Q19="","",IF(R19="","",IF(SUM(Q19:R19)=0,"",SUM(Q19:R19))))</f>
        <v>88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120.58554654974949</v>
      </c>
      <c r="U19" s="77" t="str">
        <f>IF(AF19=1,T19*AI19,"")</f>
        <v/>
      </c>
      <c r="V19" s="70">
        <v>5.43</v>
      </c>
      <c r="W19" s="70">
        <v>8.3000000000000007</v>
      </c>
      <c r="X19" s="70">
        <v>7.7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k</v>
      </c>
      <c r="AE19" s="94">
        <f>IF(OR(G19="",AC19=""),0,(YEAR(AC19)-YEAR(G19)))</f>
        <v>18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1.5603068595338347</v>
      </c>
    </row>
    <row r="20" spans="2:36" s="8" customFormat="1" ht="20.100000000000001" customHeight="1" x14ac:dyDescent="0.2">
      <c r="B20" s="116"/>
      <c r="C20" s="84"/>
      <c r="D20" s="73"/>
      <c r="E20" s="84"/>
      <c r="F20" s="121"/>
      <c r="G20" s="125"/>
      <c r="H20" s="79"/>
      <c r="I20" s="76"/>
      <c r="J20" s="76"/>
      <c r="K20" s="127"/>
      <c r="L20" s="127"/>
      <c r="M20" s="127"/>
      <c r="N20" s="128"/>
      <c r="O20" s="128"/>
      <c r="P20" s="128"/>
      <c r="Q20" s="119"/>
      <c r="R20" s="73"/>
      <c r="S20" s="127">
        <f>IF(T19="","",T19*1.2)</f>
        <v>144.70265585969938</v>
      </c>
      <c r="T20" s="127"/>
      <c r="U20" s="73"/>
      <c r="V20" s="73">
        <f>IF(V19&gt;0,V19*20,"")</f>
        <v>108.6</v>
      </c>
      <c r="W20" s="73">
        <f>IF(W19="","",(W19*10)*AJ19)</f>
        <v>129.50546934130827</v>
      </c>
      <c r="X20" s="77">
        <f>IF(ROUNDUP(X19,1)&gt;0,IF((80+(8-ROUNDUP(X19,1))*40)&lt;0,0,80+(8-ROUNDUP(X19,1))*40),"")</f>
        <v>92</v>
      </c>
      <c r="Y20" s="78">
        <f>IF(SUM(V20,W20,X20)&gt;0,SUM(V20,W20,X20),"")</f>
        <v>330.10546934130826</v>
      </c>
      <c r="Z20" s="83">
        <f>IF(AE19&gt;34,(IF(OR(S20="",V20="",W20="",X20=""),"",SUM(S20,V20,W20,X20))*AI19),IF(OR(S20="",V20="",W20="",X20=""),"", SUM(S20,V20,W20,X20)))</f>
        <v>474.80812520100767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6" t="s">
        <v>83</v>
      </c>
      <c r="C21" s="84" t="s">
        <v>68</v>
      </c>
      <c r="D21" s="83">
        <v>56.62</v>
      </c>
      <c r="E21" s="84" t="s">
        <v>84</v>
      </c>
      <c r="F21" s="121" t="s">
        <v>85</v>
      </c>
      <c r="G21" s="125">
        <v>38030</v>
      </c>
      <c r="H21" s="71">
        <v>7</v>
      </c>
      <c r="I21" s="123" t="s">
        <v>86</v>
      </c>
      <c r="J21" s="76" t="s">
        <v>137</v>
      </c>
      <c r="K21" s="79">
        <v>30</v>
      </c>
      <c r="L21" s="85" t="s">
        <v>131</v>
      </c>
      <c r="M21" s="85" t="s">
        <v>131</v>
      </c>
      <c r="N21" s="79">
        <v>30</v>
      </c>
      <c r="O21" s="85">
        <v>35</v>
      </c>
      <c r="P21" s="85">
        <v>40</v>
      </c>
      <c r="Q21" s="118">
        <f>IF(MAX(K21:M21)&gt;0,IF(MAX(K21:M21)&lt;0,0,TRUNC(MAX(K21:M21)/1)*1),"")</f>
        <v>30</v>
      </c>
      <c r="R21" s="68">
        <f>IF(MAX(N21:P21)&gt;0,IF(MAX(N21:P21)&lt;0,0,TRUNC(MAX(N21:P21)/1)*1),"")</f>
        <v>40</v>
      </c>
      <c r="S21" s="86">
        <f>IF(Q21="","",IF(R21="","",IF(SUM(Q21:R21)=0,"",SUM(Q21:R21))))</f>
        <v>70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98.456148925636569</v>
      </c>
      <c r="U21" s="77" t="str">
        <f>IF(AF21=1,T21*AI21,"")</f>
        <v/>
      </c>
      <c r="V21" s="70">
        <v>5.5</v>
      </c>
      <c r="W21" s="70">
        <v>7.7</v>
      </c>
      <c r="X21" s="70">
        <v>8.4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k</v>
      </c>
      <c r="AE21" s="94">
        <f>IF(OR(G21="",AC21=""),0,(YEAR(AC21)-YEAR(G21)))</f>
        <v>19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1.6071849513637575</v>
      </c>
    </row>
    <row r="22" spans="2:36" s="8" customFormat="1" ht="20.100000000000001" customHeight="1" x14ac:dyDescent="0.2">
      <c r="B22" s="116"/>
      <c r="C22" s="84"/>
      <c r="D22" s="73"/>
      <c r="E22" s="84"/>
      <c r="F22" s="121"/>
      <c r="G22" s="125"/>
      <c r="H22" s="79"/>
      <c r="I22" s="76"/>
      <c r="J22" s="76"/>
      <c r="K22" s="127"/>
      <c r="L22" s="127"/>
      <c r="M22" s="127"/>
      <c r="N22" s="128"/>
      <c r="O22" s="128"/>
      <c r="P22" s="128"/>
      <c r="Q22" s="119"/>
      <c r="R22" s="73"/>
      <c r="S22" s="127">
        <f>IF(T21="","",T21*1.2)</f>
        <v>118.14737871076387</v>
      </c>
      <c r="T22" s="127"/>
      <c r="U22" s="73"/>
      <c r="V22" s="73">
        <f>IF(V21&gt;0,V21*20,"")</f>
        <v>110</v>
      </c>
      <c r="W22" s="73">
        <f>IF(W21="","",(W21*10)*AJ21)</f>
        <v>123.75324125500933</v>
      </c>
      <c r="X22" s="77">
        <f>IF(ROUNDUP(X21,1)&gt;0,IF((80+(8-ROUNDUP(X21,1))*40)&lt;0,0,80+(8-ROUNDUP(X21,1))*40),"")</f>
        <v>63.999999999999986</v>
      </c>
      <c r="Y22" s="78">
        <f>IF(SUM(V22,W22,X22)&gt;0,SUM(V22,W22,X22),"")</f>
        <v>297.7532412550093</v>
      </c>
      <c r="Z22" s="83">
        <f>IF(AE21&gt;34,(IF(OR(S22="",V22="",W22="",X22=""),"",SUM(S22,V22,W22,X22))*AI21),IF(OR(S22="",V22="",W22="",X22=""),"", SUM(S22,V22,W22,X22)))</f>
        <v>415.90061996577322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6" t="s">
        <v>87</v>
      </c>
      <c r="C23" s="84" t="s">
        <v>68</v>
      </c>
      <c r="D23" s="73">
        <v>57.45</v>
      </c>
      <c r="E23" s="84" t="s">
        <v>95</v>
      </c>
      <c r="F23" s="121" t="s">
        <v>85</v>
      </c>
      <c r="G23" s="125">
        <v>37235</v>
      </c>
      <c r="H23" s="79">
        <v>8</v>
      </c>
      <c r="I23" s="76" t="s">
        <v>145</v>
      </c>
      <c r="J23" s="76" t="s">
        <v>138</v>
      </c>
      <c r="K23" s="79">
        <v>39</v>
      </c>
      <c r="L23" s="85">
        <v>42</v>
      </c>
      <c r="M23" s="85">
        <v>44</v>
      </c>
      <c r="N23" s="79">
        <v>56</v>
      </c>
      <c r="O23" s="85">
        <v>59</v>
      </c>
      <c r="P23" s="85">
        <v>62</v>
      </c>
      <c r="Q23" s="118">
        <f>IF(MAX(K23:M23)&gt;0,IF(MAX(K23:M23)&lt;0,0,TRUNC(MAX(K23:M23)/1)*1),"")</f>
        <v>44</v>
      </c>
      <c r="R23" s="68">
        <f>IF(MAX(N23:P23)&gt;0,IF(MAX(N23:P23)&lt;0,0,TRUNC(MAX(N23:P23)/1)*1),"")</f>
        <v>62</v>
      </c>
      <c r="S23" s="86">
        <f>IF(Q23="","",IF(R23="","",IF(SUM(Q23:R23)=0,"",SUM(Q23:R23))))</f>
        <v>106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147.62707577137058</v>
      </c>
      <c r="U23" s="77" t="str">
        <f>IF(AF23=1,T23*AI23,"")</f>
        <v/>
      </c>
      <c r="V23" s="70">
        <v>7.19</v>
      </c>
      <c r="W23" s="70">
        <v>9.3000000000000007</v>
      </c>
      <c r="X23" s="70">
        <v>6.1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k</v>
      </c>
      <c r="AE23" s="109">
        <f>IF(OR(G23="",AC23=""),0,(YEAR(AC23)-YEAR(G23)))</f>
        <v>22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1.5893389595884571</v>
      </c>
    </row>
    <row r="24" spans="2:36" s="8" customFormat="1" ht="20.100000000000001" customHeight="1" x14ac:dyDescent="0.2">
      <c r="B24" s="116"/>
      <c r="C24" s="84"/>
      <c r="D24" s="73"/>
      <c r="E24" s="84"/>
      <c r="F24" s="121"/>
      <c r="G24" s="125"/>
      <c r="H24" s="79"/>
      <c r="I24" s="76"/>
      <c r="J24" s="76"/>
      <c r="K24" s="127"/>
      <c r="L24" s="127"/>
      <c r="M24" s="127"/>
      <c r="N24" s="128"/>
      <c r="O24" s="128"/>
      <c r="P24" s="128"/>
      <c r="Q24" s="119"/>
      <c r="R24" s="73"/>
      <c r="S24" s="127">
        <f>IF(T23="","",T23*1.2)</f>
        <v>177.15249092564468</v>
      </c>
      <c r="T24" s="127"/>
      <c r="U24" s="73"/>
      <c r="V24" s="73">
        <f>IF(V23&gt;0,V23*20,"")</f>
        <v>143.80000000000001</v>
      </c>
      <c r="W24" s="73">
        <f>IF(W23="","",(W23*10)*AJ23)</f>
        <v>147.8085232417265</v>
      </c>
      <c r="X24" s="77">
        <f>IF(ROUNDUP(X23,1)&gt;0,IF((80+(8-ROUNDUP(X23,1))*40)&lt;0,0,80+(8-ROUNDUP(X23,1))*40),"")</f>
        <v>156</v>
      </c>
      <c r="Y24" s="78">
        <f>IF(SUM(V24,W24,X24)&gt;0,SUM(V24,W24,X24),"")</f>
        <v>447.60852324172652</v>
      </c>
      <c r="Z24" s="83">
        <f>IF(AE23&gt;34,(IF(OR(S24="",V24="",W24="",X24=""),"",SUM(S24,V24,W24,X24))*AI23),IF(OR(S24="",V24="",W24="",X24=""),"", SUM(S24,V24,W24,X24)))</f>
        <v>624.76101416737129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5">
      <c r="B25" s="116" t="s">
        <v>88</v>
      </c>
      <c r="C25" s="84" t="s">
        <v>89</v>
      </c>
      <c r="D25" s="83">
        <v>63.99</v>
      </c>
      <c r="E25" s="84" t="s">
        <v>64</v>
      </c>
      <c r="F25" s="121" t="s">
        <v>90</v>
      </c>
      <c r="G25" s="125">
        <v>39099</v>
      </c>
      <c r="H25" s="71">
        <v>9</v>
      </c>
      <c r="I25" s="124" t="s">
        <v>91</v>
      </c>
      <c r="J25" s="76" t="s">
        <v>137</v>
      </c>
      <c r="K25" s="79">
        <v>45</v>
      </c>
      <c r="L25" s="85">
        <v>-50</v>
      </c>
      <c r="M25" s="85">
        <v>-50</v>
      </c>
      <c r="N25" s="79">
        <v>50</v>
      </c>
      <c r="O25" s="85">
        <v>55</v>
      </c>
      <c r="P25" s="85">
        <v>-60</v>
      </c>
      <c r="Q25" s="118">
        <f>IF(MAX(K25:M25)&gt;0,IF(MAX(K25:M25)&lt;0,0,TRUNC(MAX(K25:M25)/1)*1),"")</f>
        <v>45</v>
      </c>
      <c r="R25" s="68">
        <f>IF(MAX(N25:P25)&gt;0,IF(MAX(N25:P25)&lt;0,0,TRUNC(MAX(N25:P25)/1)*1),"")</f>
        <v>55</v>
      </c>
      <c r="S25" s="86">
        <f>IF(Q25="","",IF(R25="","",IF(SUM(Q25:R25)=0,"",SUM(Q25:R25))))</f>
        <v>100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130.03975826000294</v>
      </c>
      <c r="U25" s="77" t="str">
        <f>IF(AF25=1,T25*AI25,"")</f>
        <v/>
      </c>
      <c r="V25" s="70">
        <v>5.79</v>
      </c>
      <c r="W25" s="70">
        <v>8</v>
      </c>
      <c r="X25" s="70">
        <v>7.5</v>
      </c>
      <c r="Y25" s="78"/>
      <c r="Z25" s="73"/>
      <c r="AA25" s="73"/>
      <c r="AB25" s="72"/>
      <c r="AC25" s="92">
        <f>U5</f>
        <v>45087</v>
      </c>
      <c r="AD25" s="96" t="str">
        <f>IF(ISNUMBER(FIND("M",E25)),"m",IF(ISNUMBER(FIND("K",E25)),"k"))</f>
        <v>k</v>
      </c>
      <c r="AE25" s="109">
        <f>IF(OR(G25="",AC25=""),0,(YEAR(AC25)-YEAR(G25)))</f>
        <v>16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1.4692285679554862</v>
      </c>
    </row>
    <row r="26" spans="2:36" s="8" customFormat="1" ht="20.100000000000001" customHeight="1" x14ac:dyDescent="0.2">
      <c r="B26" s="117"/>
      <c r="C26" s="73"/>
      <c r="D26" s="73"/>
      <c r="E26" s="73"/>
      <c r="F26" s="74"/>
      <c r="G26" s="75"/>
      <c r="H26" s="79"/>
      <c r="I26" s="76"/>
      <c r="J26" s="76"/>
      <c r="K26" s="127"/>
      <c r="L26" s="127"/>
      <c r="M26" s="127"/>
      <c r="N26" s="128"/>
      <c r="O26" s="128"/>
      <c r="P26" s="128"/>
      <c r="Q26" s="119"/>
      <c r="R26" s="73"/>
      <c r="S26" s="127">
        <f>IF(T25="","",T25*1.2)</f>
        <v>156.04770991200351</v>
      </c>
      <c r="T26" s="127"/>
      <c r="U26" s="73"/>
      <c r="V26" s="73">
        <f>IF(V25&gt;0,V25*20,"")</f>
        <v>115.8</v>
      </c>
      <c r="W26" s="73">
        <f>IF(W25="","",(W25*10)*AJ25)</f>
        <v>117.5382854364389</v>
      </c>
      <c r="X26" s="77">
        <f>IF(ROUNDUP(X25,1)&gt;0,IF((80+(8-ROUNDUP(X25,1))*40)&lt;0,0,80+(8-ROUNDUP(X25,1))*40),"")</f>
        <v>100</v>
      </c>
      <c r="Y26" s="78">
        <f>IF(SUM(V26,W26,X26)&gt;0,SUM(V26,W26,X26),"")</f>
        <v>333.33828543643892</v>
      </c>
      <c r="Z26" s="83">
        <f>IF(AE25&gt;34,(IF(OR(S26="",V26="",W26="",X26=""),"",SUM(S26,V26,W26,X26))*AI25),IF(OR(S26="",V26="",W26="",X26=""),"", SUM(S26,V26,W26,X26)))</f>
        <v>489.38599534844241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6" t="s">
        <v>92</v>
      </c>
      <c r="C27" s="84" t="s">
        <v>89</v>
      </c>
      <c r="D27" s="73">
        <v>62.06</v>
      </c>
      <c r="E27" s="84" t="s">
        <v>64</v>
      </c>
      <c r="F27" s="121" t="s">
        <v>90</v>
      </c>
      <c r="G27" s="125">
        <v>39505</v>
      </c>
      <c r="H27" s="79">
        <v>10</v>
      </c>
      <c r="I27" s="76" t="s">
        <v>93</v>
      </c>
      <c r="J27" s="76" t="s">
        <v>62</v>
      </c>
      <c r="K27" s="67">
        <v>-56</v>
      </c>
      <c r="L27" s="90">
        <v>56</v>
      </c>
      <c r="M27" s="90">
        <v>59</v>
      </c>
      <c r="N27" s="90">
        <v>66</v>
      </c>
      <c r="O27" s="91">
        <v>69</v>
      </c>
      <c r="P27" s="91">
        <v>72</v>
      </c>
      <c r="Q27" s="118">
        <f>IF(MAX(K27:M27)&gt;0,IF(MAX(K27:M27)&lt;0,0,TRUNC(MAX(K27:M27)/1)*1),"")</f>
        <v>59</v>
      </c>
      <c r="R27" s="68">
        <f>IF(MAX(N27:P27)&gt;0,IF(MAX(N27:P27)&lt;0,0,TRUNC(MAX(N27:P27)/1)*1),"")</f>
        <v>72</v>
      </c>
      <c r="S27" s="86">
        <f>IF(Q27="","",IF(R27="","",IF(SUM(Q27:R27)=0,"",SUM(Q27:R27))))</f>
        <v>131</v>
      </c>
      <c r="T27" s="69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173.56295813559879</v>
      </c>
      <c r="U27" s="77" t="str">
        <f>IF(AF27=1,T27*AI27,"")</f>
        <v/>
      </c>
      <c r="V27" s="81">
        <v>6.31</v>
      </c>
      <c r="W27" s="81">
        <v>11.2</v>
      </c>
      <c r="X27" s="82">
        <v>6.8</v>
      </c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45087</v>
      </c>
      <c r="AD27" s="96" t="str">
        <f>IF(ISNUMBER(FIND("M",E27)),"m",IF(ISNUMBER(FIND("K",E27)),"k"))</f>
        <v>k</v>
      </c>
      <c r="AE27" s="109">
        <f>IF(OR(G27="",AC27=""),0,(YEAR(AC27)-YEAR(G27)))</f>
        <v>15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1.5012787116390935</v>
      </c>
    </row>
    <row r="28" spans="2:36" s="8" customFormat="1" ht="20.100000000000001" customHeight="1" x14ac:dyDescent="0.2">
      <c r="B28" s="117"/>
      <c r="C28" s="66"/>
      <c r="D28" s="73"/>
      <c r="E28" s="74"/>
      <c r="F28" s="74"/>
      <c r="G28" s="93"/>
      <c r="H28" s="75"/>
      <c r="I28" s="76" t="s">
        <v>13</v>
      </c>
      <c r="J28" s="76"/>
      <c r="K28" s="128"/>
      <c r="L28" s="128"/>
      <c r="M28" s="128"/>
      <c r="N28" s="128"/>
      <c r="O28" s="128"/>
      <c r="P28" s="128"/>
      <c r="Q28" s="119"/>
      <c r="R28" s="73"/>
      <c r="S28" s="127">
        <f>IF(T27="","",T27*1.2)</f>
        <v>208.27554976271855</v>
      </c>
      <c r="T28" s="127"/>
      <c r="U28" s="73"/>
      <c r="V28" s="73">
        <f>IF(V27&gt;0,V27*20,"")</f>
        <v>126.19999999999999</v>
      </c>
      <c r="W28" s="73">
        <f>IF(W27="","",(W27*10)*AJ27)</f>
        <v>168.14321570357848</v>
      </c>
      <c r="X28" s="77">
        <f>IF(ROUNDUP(X27,1)&gt;0,IF((80+(8-ROUNDUP(X27,1))*40)&lt;0,0,80+(8-ROUNDUP(X27,1))*40),"")</f>
        <v>128</v>
      </c>
      <c r="Y28" s="78">
        <f>IF(SUM(V28,W28,X28)&gt;0,SUM(V28,W28,X28),"")</f>
        <v>422.34321570357849</v>
      </c>
      <c r="Z28" s="83">
        <f>IF(AE27&gt;34,(IF(OR(S28="",V28="",W28="",X28=""),"",SUM(S28,V28,W28,X28))*AI27),IF(OR(S28="",V28="",W28="",X28=""),"", SUM(S28,V28,W28,X28)))</f>
        <v>630.61876546629696</v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5">
      <c r="B29" s="116" t="s">
        <v>94</v>
      </c>
      <c r="C29" s="84" t="s">
        <v>89</v>
      </c>
      <c r="D29" s="83">
        <v>61.7</v>
      </c>
      <c r="E29" s="84" t="s">
        <v>95</v>
      </c>
      <c r="F29" s="121" t="s">
        <v>96</v>
      </c>
      <c r="G29" s="125">
        <v>36080</v>
      </c>
      <c r="H29" s="71">
        <v>11</v>
      </c>
      <c r="I29" s="124" t="s">
        <v>97</v>
      </c>
      <c r="J29" s="76" t="s">
        <v>62</v>
      </c>
      <c r="K29" s="67">
        <v>-44</v>
      </c>
      <c r="L29" s="90">
        <v>44</v>
      </c>
      <c r="M29" s="90">
        <v>-50</v>
      </c>
      <c r="N29" s="90">
        <v>53</v>
      </c>
      <c r="O29" s="91">
        <v>56</v>
      </c>
      <c r="P29" s="91">
        <v>-60</v>
      </c>
      <c r="Q29" s="118">
        <f>IF(MAX(K29:M29)&gt;0,IF(MAX(K29:M29)&lt;0,0,TRUNC(MAX(K29:M29)/1)*1),"")</f>
        <v>44</v>
      </c>
      <c r="R29" s="68">
        <f>IF(MAX(N29:P29)&gt;0,IF(MAX(N29:P29)&lt;0,0,TRUNC(MAX(N29:P29)/1)*1),"")</f>
        <v>56</v>
      </c>
      <c r="S29" s="86">
        <f>IF(Q29="","",IF(R29="","",IF(SUM(Q29:R29)=0,"",SUM(Q29:R29))))</f>
        <v>100</v>
      </c>
      <c r="T29" s="69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132.97125358138965</v>
      </c>
      <c r="U29" s="77" t="str">
        <f>IF(AF29=1,T29*AI29,"")</f>
        <v/>
      </c>
      <c r="V29" s="70">
        <v>6.14</v>
      </c>
      <c r="W29" s="70">
        <v>7.9</v>
      </c>
      <c r="X29" s="70">
        <v>7.4</v>
      </c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45087</v>
      </c>
      <c r="AD29" s="96" t="str">
        <f>IF(ISNUMBER(FIND("M",E29)),"m",IF(ISNUMBER(FIND("K",E29)),"k"))</f>
        <v>k</v>
      </c>
      <c r="AE29" s="109">
        <f>IF(OR(G29="",AC29=""),0,(YEAR(AC29)-YEAR(G29)))</f>
        <v>25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 t="shared" ref="AI29" si="7">IF(AD29="m",AG29,IF(AD29="k",AH29,""))</f>
        <v>0</v>
      </c>
      <c r="AJ29" s="8">
        <f>IF(D29="","",IF(D29&gt;193.609,1,IF(D29&lt;32,10^(0.722762521*LOG10(32/193.609)^2),10^(0.722762521*LOG10(D29/193.609)^2))))</f>
        <v>1.5075460221315911</v>
      </c>
    </row>
    <row r="30" spans="2:36" s="8" customFormat="1" ht="20.100000000000001" customHeight="1" x14ac:dyDescent="0.2">
      <c r="B30" s="117"/>
      <c r="C30" s="66"/>
      <c r="D30" s="73"/>
      <c r="E30" s="74"/>
      <c r="F30" s="74"/>
      <c r="G30" s="93"/>
      <c r="H30" s="75"/>
      <c r="I30" s="76"/>
      <c r="J30" s="76"/>
      <c r="K30" s="128"/>
      <c r="L30" s="128"/>
      <c r="M30" s="128"/>
      <c r="N30" s="128"/>
      <c r="O30" s="128"/>
      <c r="P30" s="128"/>
      <c r="Q30" s="119"/>
      <c r="R30" s="73"/>
      <c r="S30" s="127">
        <f>IF(T29="","",T29*1.2)</f>
        <v>159.56550429766756</v>
      </c>
      <c r="T30" s="127"/>
      <c r="U30" s="73"/>
      <c r="V30" s="73">
        <f>IF(V29&gt;0,V29*20,"")</f>
        <v>122.8</v>
      </c>
      <c r="W30" s="73">
        <f>IF(W29="","",(W29*10)*AJ29)</f>
        <v>119.0961357483957</v>
      </c>
      <c r="X30" s="77">
        <f>IF(ROUNDUP(X29,1)&gt;0,IF((80+(8-ROUNDUP(X29,1))*40)&lt;0,0,80+(8-ROUNDUP(X29,1))*40),"")</f>
        <v>103.99999999999999</v>
      </c>
      <c r="Y30" s="78">
        <f>IF(SUM(V30,W30,X30)&gt;0,SUM(V30,W30,X30),"")</f>
        <v>345.89613574839569</v>
      </c>
      <c r="Z30" s="83">
        <f>IF(AE29&gt;34,(IF(OR(S30="",V30="",W30="",X30=""),"",SUM(S30,V30,W30,X30))*AI29),IF(OR(S30="",V30="",W30="",X30=""),"", SUM(S30,V30,W30,X30)))</f>
        <v>505.46164004606322</v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6" t="s">
        <v>98</v>
      </c>
      <c r="C31" s="84" t="s">
        <v>99</v>
      </c>
      <c r="D31" s="73">
        <v>80.849999999999994</v>
      </c>
      <c r="E31" s="84" t="s">
        <v>69</v>
      </c>
      <c r="F31" s="121" t="s">
        <v>100</v>
      </c>
      <c r="G31" s="125">
        <v>27503</v>
      </c>
      <c r="H31" s="79">
        <v>12</v>
      </c>
      <c r="I31" s="76" t="s">
        <v>101</v>
      </c>
      <c r="J31" s="76" t="s">
        <v>137</v>
      </c>
      <c r="K31" s="67">
        <v>35</v>
      </c>
      <c r="L31" s="90">
        <v>40</v>
      </c>
      <c r="M31" s="90">
        <v>-45</v>
      </c>
      <c r="N31" s="90">
        <v>55</v>
      </c>
      <c r="O31" s="91">
        <v>61</v>
      </c>
      <c r="P31" s="91">
        <v>64</v>
      </c>
      <c r="Q31" s="118">
        <f>IF(MAX(K31:M31)&gt;0,IF(MAX(K31:M31)&lt;0,0,TRUNC(MAX(K31:M31)/1)*1),"")</f>
        <v>40</v>
      </c>
      <c r="R31" s="68">
        <f>IF(MAX(N31:P31)&gt;0,IF(MAX(N31:P31)&lt;0,0,TRUNC(MAX(N31:P31)/1)*1),"")</f>
        <v>64</v>
      </c>
      <c r="S31" s="86">
        <f>IF(Q31="","",IF(R31="","",IF(SUM(Q31:R31)=0,"",SUM(Q31:R31))))</f>
        <v>104</v>
      </c>
      <c r="T31" s="69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>119.77400593133247</v>
      </c>
      <c r="U31" s="77">
        <f>IF(AF31=1,T31*AI31,"")</f>
        <v>154.26891963955623</v>
      </c>
      <c r="V31" s="81">
        <v>4.95</v>
      </c>
      <c r="W31" s="81">
        <v>9.1999999999999993</v>
      </c>
      <c r="X31" s="82">
        <v>9.8000000000000007</v>
      </c>
      <c r="Y31" s="78"/>
      <c r="Z31" s="73">
        <f>IF(AE31&gt;34,(IF(OR(S32="",V32="",W32="",X32=""),"",SUM(S32,V32,W32,X32))*AI31),IF(OR(S32="",V32="",W32="",X32=""),"",""))</f>
        <v>473.48031932730208</v>
      </c>
      <c r="AA31" s="73"/>
      <c r="AB31" s="72"/>
      <c r="AC31" s="92">
        <f>U5</f>
        <v>45087</v>
      </c>
      <c r="AD31" s="96" t="str">
        <f>IF(ISNUMBER(FIND("M",E31)),"m",IF(ISNUMBER(FIND("K",E31)),"k"))</f>
        <v>k</v>
      </c>
      <c r="AE31" s="109">
        <f>IF(OR(G31="",AC31=""),0,(YEAR(AC31)-YEAR(G31)))</f>
        <v>48</v>
      </c>
      <c r="AF31" s="34">
        <f t="shared" ref="AF31" si="8">IF(AE31&gt;34,1,0)</f>
        <v>1</v>
      </c>
      <c r="AG31" s="8">
        <f>IF(AF31=1,LOOKUP(AE31,'Meltzer-Faber'!A11:A71,'Meltzer-Faber'!B11:B71))</f>
        <v>1.248</v>
      </c>
      <c r="AH31" s="36">
        <f>IF(AF31=1,LOOKUP(AE31,'Meltzer-Faber'!A11:A71,'Meltzer-Faber'!C11:C71))</f>
        <v>1.288</v>
      </c>
      <c r="AI31" s="36">
        <f t="shared" ref="AI31" si="9">IF(AD31="m",AG31,IF(AD31="k",AH31,""))</f>
        <v>1.288</v>
      </c>
      <c r="AJ31" s="8">
        <f>IF(D31="","",IF(D31&gt;193.609,1,IF(D31&lt;32,10^(0.722762521*LOG10(32/193.609)^2),10^(0.722762521*LOG10(D31/193.609)^2))))</f>
        <v>1.2704362658641193</v>
      </c>
    </row>
    <row r="32" spans="2:36" s="8" customFormat="1" ht="20.100000000000001" customHeight="1" x14ac:dyDescent="0.2">
      <c r="B32" s="117"/>
      <c r="C32" s="66"/>
      <c r="D32" s="73"/>
      <c r="E32" s="74"/>
      <c r="F32" s="74"/>
      <c r="G32" s="93"/>
      <c r="H32" s="75"/>
      <c r="I32" s="76"/>
      <c r="J32" s="76"/>
      <c r="K32" s="128"/>
      <c r="L32" s="128"/>
      <c r="M32" s="128"/>
      <c r="N32" s="128"/>
      <c r="O32" s="128"/>
      <c r="P32" s="128"/>
      <c r="Q32" s="119"/>
      <c r="R32" s="73"/>
      <c r="S32" s="127">
        <f>IF(T31="","",T31*1.2)</f>
        <v>143.72880711759896</v>
      </c>
      <c r="T32" s="127"/>
      <c r="U32" s="73"/>
      <c r="V32" s="73">
        <f>IF(V31&gt;0,V31*20,"")</f>
        <v>99</v>
      </c>
      <c r="W32" s="73">
        <f>IF(W31="","",(W31*10)*AJ31)</f>
        <v>116.88013645949897</v>
      </c>
      <c r="X32" s="77">
        <f>IF(ROUNDUP(X31,1)&gt;0,IF((80+(8-ROUNDUP(X31,1))*40)&lt;0,0,80+(8-ROUNDUP(X31,1))*40),"")</f>
        <v>7.9999999999999716</v>
      </c>
      <c r="Y32" s="78">
        <f>IF(SUM(V32,W32,X32)&gt;0,SUM(V32,W32,X32),"")</f>
        <v>223.88013645949894</v>
      </c>
      <c r="Z32" s="83">
        <f>IF(AE31&gt;34,(IF(OR(S32="",V32="",W32="",X32=""),"",SUM(S32,V32,W32,X32))*AI31),IF(OR(S32="",V32="",W32="",X32=""),"", SUM(S32,V32,W32,X32)))</f>
        <v>473.48031932730208</v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95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58" t="s">
        <v>34</v>
      </c>
      <c r="C35" s="160"/>
      <c r="D35" s="104" t="s">
        <v>33</v>
      </c>
      <c r="E35" s="158" t="s">
        <v>4</v>
      </c>
      <c r="F35" s="159"/>
      <c r="G35" s="159"/>
      <c r="H35" s="160"/>
      <c r="I35" s="50" t="s">
        <v>43</v>
      </c>
      <c r="J35" s="21"/>
      <c r="K35" s="158" t="s">
        <v>34</v>
      </c>
      <c r="L35" s="159"/>
      <c r="M35" s="160"/>
      <c r="N35" s="54" t="s">
        <v>33</v>
      </c>
      <c r="O35" s="156" t="s">
        <v>4</v>
      </c>
      <c r="P35" s="175"/>
      <c r="Q35" s="175"/>
      <c r="R35" s="157"/>
      <c r="S35" s="156" t="s">
        <v>43</v>
      </c>
      <c r="T35" s="157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1" t="s">
        <v>41</v>
      </c>
      <c r="C36" s="163"/>
      <c r="D36" s="105">
        <v>1958002</v>
      </c>
      <c r="E36" s="174" t="s">
        <v>132</v>
      </c>
      <c r="F36" s="162"/>
      <c r="G36" s="162"/>
      <c r="H36" s="163"/>
      <c r="I36" s="49" t="s">
        <v>62</v>
      </c>
      <c r="J36" s="4"/>
      <c r="K36" s="161" t="s">
        <v>36</v>
      </c>
      <c r="L36" s="162"/>
      <c r="M36" s="163"/>
      <c r="N36" s="51" t="s">
        <v>131</v>
      </c>
      <c r="O36" s="129" t="s">
        <v>140</v>
      </c>
      <c r="P36" s="176"/>
      <c r="Q36" s="176"/>
      <c r="R36" s="177"/>
      <c r="S36" s="129" t="s">
        <v>138</v>
      </c>
      <c r="T36" s="130"/>
      <c r="AF36" s="1"/>
      <c r="AH36" s="35"/>
      <c r="AI36" s="35"/>
    </row>
    <row r="37" spans="2:35" s="5" customFormat="1" ht="21" customHeight="1" x14ac:dyDescent="0.25">
      <c r="B37" s="146" t="s">
        <v>37</v>
      </c>
      <c r="C37" s="134"/>
      <c r="D37" s="106">
        <v>2002010</v>
      </c>
      <c r="E37" s="132" t="s">
        <v>133</v>
      </c>
      <c r="F37" s="133"/>
      <c r="G37" s="133"/>
      <c r="H37" s="134"/>
      <c r="I37" s="47" t="s">
        <v>62</v>
      </c>
      <c r="J37" s="4"/>
      <c r="K37" s="146" t="s">
        <v>39</v>
      </c>
      <c r="L37" s="133"/>
      <c r="M37" s="134"/>
      <c r="N37" s="52">
        <v>1990018</v>
      </c>
      <c r="O37" s="140" t="s">
        <v>136</v>
      </c>
      <c r="P37" s="141"/>
      <c r="Q37" s="141"/>
      <c r="R37" s="142"/>
      <c r="S37" s="140" t="s">
        <v>62</v>
      </c>
      <c r="T37" s="143"/>
      <c r="AH37" s="35"/>
      <c r="AI37" s="35"/>
    </row>
    <row r="38" spans="2:35" s="5" customFormat="1" ht="18.95" customHeight="1" x14ac:dyDescent="0.25">
      <c r="B38" s="146" t="s">
        <v>37</v>
      </c>
      <c r="C38" s="134"/>
      <c r="D38" s="106">
        <v>1957002</v>
      </c>
      <c r="E38" s="132" t="s">
        <v>143</v>
      </c>
      <c r="F38" s="133"/>
      <c r="G38" s="133"/>
      <c r="H38" s="134"/>
      <c r="I38" s="47" t="s">
        <v>137</v>
      </c>
      <c r="J38" s="4"/>
      <c r="K38" s="146" t="s">
        <v>38</v>
      </c>
      <c r="L38" s="133"/>
      <c r="M38" s="134"/>
      <c r="N38" s="52">
        <v>1965002</v>
      </c>
      <c r="O38" s="140" t="s">
        <v>141</v>
      </c>
      <c r="P38" s="141"/>
      <c r="Q38" s="141"/>
      <c r="R38" s="142"/>
      <c r="S38" s="140" t="s">
        <v>62</v>
      </c>
      <c r="T38" s="143"/>
      <c r="V38" s="5" t="s">
        <v>55</v>
      </c>
      <c r="AH38" s="35"/>
      <c r="AI38" s="35"/>
    </row>
    <row r="39" spans="2:35" s="5" customFormat="1" ht="21" customHeight="1" x14ac:dyDescent="0.25">
      <c r="B39" s="146" t="s">
        <v>37</v>
      </c>
      <c r="C39" s="134"/>
      <c r="D39" s="106">
        <v>1983006</v>
      </c>
      <c r="E39" s="132" t="s">
        <v>135</v>
      </c>
      <c r="F39" s="133"/>
      <c r="G39" s="133"/>
      <c r="H39" s="134"/>
      <c r="I39" s="47" t="s">
        <v>138</v>
      </c>
      <c r="J39" s="4"/>
      <c r="K39" s="146" t="s">
        <v>35</v>
      </c>
      <c r="L39" s="133"/>
      <c r="M39" s="134"/>
      <c r="N39" s="52"/>
      <c r="O39" s="140"/>
      <c r="P39" s="141"/>
      <c r="Q39" s="141"/>
      <c r="R39" s="142"/>
      <c r="S39" s="140"/>
      <c r="T39" s="143"/>
      <c r="AD39" s="5" t="s">
        <v>13</v>
      </c>
      <c r="AH39" s="35"/>
      <c r="AI39" s="35"/>
    </row>
    <row r="40" spans="2:35" s="5" customFormat="1" ht="20.100000000000001" customHeight="1" x14ac:dyDescent="0.25">
      <c r="B40" s="146" t="s">
        <v>37</v>
      </c>
      <c r="C40" s="134"/>
      <c r="D40" s="106"/>
      <c r="E40" s="132"/>
      <c r="F40" s="133"/>
      <c r="G40" s="133"/>
      <c r="H40" s="134"/>
      <c r="I40" s="47"/>
      <c r="J40" s="4"/>
      <c r="K40" s="146" t="s">
        <v>35</v>
      </c>
      <c r="L40" s="133"/>
      <c r="M40" s="134"/>
      <c r="N40" s="52"/>
      <c r="O40" s="140"/>
      <c r="P40" s="141"/>
      <c r="Q40" s="141"/>
      <c r="R40" s="142"/>
      <c r="S40" s="140"/>
      <c r="T40" s="143"/>
      <c r="AH40" s="35"/>
      <c r="AI40" s="35"/>
    </row>
    <row r="41" spans="2:35" ht="18.95" customHeight="1" x14ac:dyDescent="0.2">
      <c r="B41" s="146" t="s">
        <v>37</v>
      </c>
      <c r="C41" s="134"/>
      <c r="D41" s="106"/>
      <c r="E41" s="132"/>
      <c r="F41" s="133"/>
      <c r="G41" s="133"/>
      <c r="H41" s="134"/>
      <c r="I41" s="47"/>
      <c r="J41" s="3"/>
      <c r="K41" s="146" t="s">
        <v>35</v>
      </c>
      <c r="L41" s="133"/>
      <c r="M41" s="134"/>
      <c r="N41" s="52"/>
      <c r="O41" s="140"/>
      <c r="P41" s="141"/>
      <c r="Q41" s="141"/>
      <c r="R41" s="142"/>
      <c r="S41" s="140"/>
      <c r="T41" s="143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6" t="s">
        <v>40</v>
      </c>
      <c r="C42" s="134"/>
      <c r="D42" s="106">
        <v>1954001</v>
      </c>
      <c r="E42" s="132" t="s">
        <v>139</v>
      </c>
      <c r="F42" s="133"/>
      <c r="G42" s="133"/>
      <c r="H42" s="134"/>
      <c r="I42" s="47" t="s">
        <v>62</v>
      </c>
      <c r="J42" s="3"/>
      <c r="K42" s="146" t="s">
        <v>56</v>
      </c>
      <c r="L42" s="133"/>
      <c r="M42" s="134"/>
      <c r="N42" s="52">
        <v>1954001</v>
      </c>
      <c r="O42" s="140" t="s">
        <v>139</v>
      </c>
      <c r="P42" s="141"/>
      <c r="Q42" s="141"/>
      <c r="R42" s="142"/>
      <c r="S42" s="140" t="s">
        <v>62</v>
      </c>
      <c r="T42" s="143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38"/>
      <c r="C43" s="137"/>
      <c r="D43" s="107"/>
      <c r="E43" s="135"/>
      <c r="F43" s="136"/>
      <c r="G43" s="136"/>
      <c r="H43" s="137"/>
      <c r="I43" s="48"/>
      <c r="J43" s="3"/>
      <c r="K43" s="138"/>
      <c r="L43" s="136"/>
      <c r="M43" s="137"/>
      <c r="N43" s="53"/>
      <c r="O43" s="152"/>
      <c r="P43" s="153"/>
      <c r="Q43" s="153"/>
      <c r="R43" s="154"/>
      <c r="S43" s="152"/>
      <c r="T43" s="155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45"/>
      <c r="C44" s="145"/>
      <c r="D44" s="144"/>
      <c r="E44" s="144"/>
      <c r="F44" s="56"/>
      <c r="G44" s="144"/>
      <c r="H44" s="144"/>
      <c r="I44" s="144"/>
      <c r="J44" s="3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49" t="s">
        <v>42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1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38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9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31"/>
      <c r="F50" s="131"/>
      <c r="G50" s="131"/>
    </row>
  </sheetData>
  <mergeCells count="102"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E38:H38"/>
    <mergeCell ref="E39:H39"/>
    <mergeCell ref="K37:M37"/>
    <mergeCell ref="O35:R35"/>
    <mergeCell ref="O36:R36"/>
    <mergeCell ref="O37:R37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</mergeCells>
  <phoneticPr fontId="20" type="noConversion"/>
  <conditionalFormatting sqref="K27">
    <cfRule type="cellIs" dxfId="59" priority="31" stopIfTrue="1" operator="between">
      <formula>1</formula>
      <formula>300</formula>
    </cfRule>
    <cfRule type="cellIs" dxfId="58" priority="32" stopIfTrue="1" operator="lessThanOrEqual">
      <formula>0</formula>
    </cfRule>
  </conditionalFormatting>
  <conditionalFormatting sqref="K29">
    <cfRule type="cellIs" dxfId="57" priority="29" stopIfTrue="1" operator="between">
      <formula>1</formula>
      <formula>300</formula>
    </cfRule>
    <cfRule type="cellIs" dxfId="56" priority="30" stopIfTrue="1" operator="lessThanOrEqual">
      <formula>0</formula>
    </cfRule>
  </conditionalFormatting>
  <conditionalFormatting sqref="K31">
    <cfRule type="cellIs" dxfId="55" priority="27" stopIfTrue="1" operator="between">
      <formula>1</formula>
      <formula>300</formula>
    </cfRule>
    <cfRule type="cellIs" dxfId="54" priority="28" stopIfTrue="1" operator="lessThanOrEqual">
      <formula>0</formula>
    </cfRule>
  </conditionalFormatting>
  <conditionalFormatting sqref="K9:P9">
    <cfRule type="cellIs" dxfId="53" priority="13" stopIfTrue="1" operator="between">
      <formula>1</formula>
      <formula>300</formula>
    </cfRule>
    <cfRule type="cellIs" dxfId="52" priority="14" stopIfTrue="1" operator="lessThanOrEqual">
      <formula>0</formula>
    </cfRule>
  </conditionalFormatting>
  <conditionalFormatting sqref="K11:P11">
    <cfRule type="cellIs" dxfId="51" priority="11" stopIfTrue="1" operator="between">
      <formula>1</formula>
      <formula>300</formula>
    </cfRule>
    <cfRule type="cellIs" dxfId="50" priority="12" stopIfTrue="1" operator="lessThanOrEqual">
      <formula>0</formula>
    </cfRule>
  </conditionalFormatting>
  <conditionalFormatting sqref="K13:P13">
    <cfRule type="cellIs" dxfId="49" priority="7" stopIfTrue="1" operator="between">
      <formula>1</formula>
      <formula>300</formula>
    </cfRule>
    <cfRule type="cellIs" dxfId="48" priority="8" stopIfTrue="1" operator="lessThanOrEqual">
      <formula>0</formula>
    </cfRule>
  </conditionalFormatting>
  <conditionalFormatting sqref="K15:P15">
    <cfRule type="cellIs" dxfId="47" priority="9" stopIfTrue="1" operator="between">
      <formula>1</formula>
      <formula>300</formula>
    </cfRule>
    <cfRule type="cellIs" dxfId="46" priority="10" stopIfTrue="1" operator="lessThanOrEqual">
      <formula>0</formula>
    </cfRule>
  </conditionalFormatting>
  <conditionalFormatting sqref="K17:P17">
    <cfRule type="cellIs" dxfId="45" priority="15" stopIfTrue="1" operator="between">
      <formula>1</formula>
      <formula>300</formula>
    </cfRule>
    <cfRule type="cellIs" dxfId="44" priority="16" stopIfTrue="1" operator="lessThanOrEqual">
      <formula>0</formula>
    </cfRule>
  </conditionalFormatting>
  <conditionalFormatting sqref="K19:P19">
    <cfRule type="cellIs" dxfId="43" priority="1" stopIfTrue="1" operator="between">
      <formula>1</formula>
      <formula>300</formula>
    </cfRule>
    <cfRule type="cellIs" dxfId="42" priority="2" stopIfTrue="1" operator="lessThanOrEqual">
      <formula>0</formula>
    </cfRule>
  </conditionalFormatting>
  <conditionalFormatting sqref="K21:P21">
    <cfRule type="cellIs" dxfId="41" priority="3" stopIfTrue="1" operator="between">
      <formula>1</formula>
      <formula>300</formula>
    </cfRule>
    <cfRule type="cellIs" dxfId="40" priority="4" stopIfTrue="1" operator="lessThanOrEqual">
      <formula>0</formula>
    </cfRule>
  </conditionalFormatting>
  <conditionalFormatting sqref="K23:P23">
    <cfRule type="cellIs" dxfId="39" priority="5" stopIfTrue="1" operator="between">
      <formula>1</formula>
      <formula>300</formula>
    </cfRule>
    <cfRule type="cellIs" dxfId="38" priority="6" stopIfTrue="1" operator="lessThanOrEqual">
      <formula>0</formula>
    </cfRule>
  </conditionalFormatting>
  <conditionalFormatting sqref="K25:P25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L27:N27">
    <cfRule type="cellIs" dxfId="35" priority="55" stopIfTrue="1" operator="between">
      <formula>1</formula>
      <formula>300</formula>
    </cfRule>
    <cfRule type="cellIs" dxfId="34" priority="56" stopIfTrue="1" operator="lessThanOrEqual">
      <formula>0</formula>
    </cfRule>
  </conditionalFormatting>
  <conditionalFormatting sqref="L29:N29">
    <cfRule type="cellIs" dxfId="33" priority="53" stopIfTrue="1" operator="between">
      <formula>1</formula>
      <formula>300</formula>
    </cfRule>
    <cfRule type="cellIs" dxfId="32" priority="54" stopIfTrue="1" operator="lessThanOrEqual">
      <formula>0</formula>
    </cfRule>
  </conditionalFormatting>
  <conditionalFormatting sqref="L31:N31">
    <cfRule type="cellIs" dxfId="31" priority="51" stopIfTrue="1" operator="between">
      <formula>1</formula>
      <formula>300</formula>
    </cfRule>
    <cfRule type="cellIs" dxfId="30" priority="52" stopIfTrue="1" operator="lessThanOrEqual">
      <formula>0</formula>
    </cfRule>
  </conditionalFormatting>
  <dataValidations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29 C31 C27 C9:C25" xr:uid="{C48F630E-8040-4E32-BCD0-78DA9FEB131F}">
      <formula1>"40,45,49,55,59,64,71,76,81,+81,87,+87,49,55,61,67,73,81,89,96,102,+102,109,+109"</formula1>
    </dataValidation>
    <dataValidation type="list" allowBlank="1" showInputMessage="1" showErrorMessage="1" sqref="E29 E31 E27 E9:E25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sqref="F29 F31 F27 F9:F25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60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325-DC56-1B4B-A276-05A0B78C31A6}">
  <sheetPr>
    <pageSetUpPr autoPageBreaks="0" fitToPage="1"/>
  </sheetPr>
  <dimension ref="A1:AJ50"/>
  <sheetViews>
    <sheetView showGridLines="0" showRowColHeaders="0" showZeros="0" showOutlineSymbols="0" zoomScale="80" zoomScaleNormal="80" zoomScaleSheetLayoutView="75" zoomScalePageLayoutView="120" workbookViewId="0">
      <selection activeCell="D16" sqref="D16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47" t="s">
        <v>58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5"/>
      <c r="T2" s="15"/>
      <c r="U2" s="112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3"/>
      <c r="F3" s="15"/>
      <c r="G3" s="148" t="s">
        <v>21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14" t="s">
        <v>60</v>
      </c>
      <c r="T3" s="114"/>
      <c r="U3" s="114"/>
      <c r="V3" s="114"/>
      <c r="W3" s="114"/>
      <c r="X3" s="114"/>
      <c r="Y3" s="114"/>
      <c r="Z3" s="114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7" t="s">
        <v>61</v>
      </c>
      <c r="E5" s="167"/>
      <c r="F5" s="167"/>
      <c r="G5" s="167"/>
      <c r="H5" s="167"/>
      <c r="I5" s="167"/>
      <c r="J5" s="24" t="s">
        <v>0</v>
      </c>
      <c r="K5" s="167" t="s">
        <v>62</v>
      </c>
      <c r="L5" s="167"/>
      <c r="M5" s="167"/>
      <c r="N5" s="167"/>
      <c r="O5" s="24" t="s">
        <v>1</v>
      </c>
      <c r="P5" s="166" t="s">
        <v>63</v>
      </c>
      <c r="Q5" s="166"/>
      <c r="R5" s="166"/>
      <c r="S5" s="166"/>
      <c r="T5" s="24" t="s">
        <v>2</v>
      </c>
      <c r="U5" s="178">
        <v>45087</v>
      </c>
      <c r="V5" s="178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26" t="s">
        <v>57</v>
      </c>
    </row>
    <row r="7" spans="1:36" s="1" customFormat="1" x14ac:dyDescent="0.2">
      <c r="B7" s="164" t="s">
        <v>33</v>
      </c>
      <c r="C7" s="168" t="s">
        <v>53</v>
      </c>
      <c r="D7" s="168" t="s">
        <v>52</v>
      </c>
      <c r="E7" s="170" t="s">
        <v>54</v>
      </c>
      <c r="F7" s="172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6"/>
    </row>
    <row r="8" spans="1:36" s="1" customFormat="1" x14ac:dyDescent="0.2">
      <c r="B8" s="165"/>
      <c r="C8" s="169"/>
      <c r="D8" s="169"/>
      <c r="E8" s="171"/>
      <c r="F8" s="173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15"/>
      <c r="C9" s="84"/>
      <c r="D9" s="83"/>
      <c r="E9" s="84"/>
      <c r="F9" s="121"/>
      <c r="G9" s="122"/>
      <c r="H9" s="71"/>
      <c r="I9" s="123"/>
      <c r="J9" s="76"/>
      <c r="K9" s="79"/>
      <c r="L9" s="85"/>
      <c r="M9" s="85"/>
      <c r="N9" s="79"/>
      <c r="O9" s="85"/>
      <c r="P9" s="85"/>
      <c r="Q9" s="118" t="str">
        <f>IF(MAX(K9:M9)&gt;0,IF(MAX(K9:M9)&lt;0,0,TRUNC(MAX(K9:M9)/1)*1),"")</f>
        <v/>
      </c>
      <c r="R9" s="68" t="str">
        <f>IF(MAX(N9:P9)&gt;0,IF(MAX(N9:P9)&lt;0,0,TRUNC(MAX(N9:P9)/1)*1),"")</f>
        <v/>
      </c>
      <c r="S9" s="68" t="str">
        <f>IF(Q9="","",IF(R9="","",IF(SUM(Q9:R9)=0,"",SUM(Q9:R9))))</f>
        <v/>
      </c>
      <c r="T9" s="69" t="str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/>
      </c>
      <c r="U9" s="77" t="str">
        <f>IF(AF9=1,T9*AI9,"")</f>
        <v/>
      </c>
      <c r="V9" s="70"/>
      <c r="W9" s="70"/>
      <c r="X9" s="70"/>
      <c r="Y9" s="69"/>
      <c r="Z9" s="73"/>
      <c r="AA9" s="73"/>
      <c r="AB9" s="72"/>
      <c r="AC9" s="95">
        <f>U5</f>
        <v>45087</v>
      </c>
      <c r="AD9" s="96" t="b">
        <f>IF(ISNUMBER(FIND("M",E9)),"m",IF(ISNUMBER(FIND("K",E9)),"k"))</f>
        <v>0</v>
      </c>
      <c r="AE9" s="94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20.100000000000001" customHeight="1" x14ac:dyDescent="0.2">
      <c r="B10" s="116"/>
      <c r="C10" s="84"/>
      <c r="D10" s="73"/>
      <c r="E10" s="84"/>
      <c r="F10" s="121"/>
      <c r="G10" s="122"/>
      <c r="H10" s="79"/>
      <c r="I10" s="76"/>
      <c r="J10" s="76"/>
      <c r="K10" s="127"/>
      <c r="L10" s="127"/>
      <c r="M10" s="127"/>
      <c r="N10" s="128"/>
      <c r="O10" s="128"/>
      <c r="P10" s="128"/>
      <c r="Q10" s="119"/>
      <c r="R10" s="73"/>
      <c r="S10" s="127" t="str">
        <f>IF(T9="","",T9*1.2)</f>
        <v/>
      </c>
      <c r="T10" s="127"/>
      <c r="U10" s="73"/>
      <c r="V10" s="73" t="str">
        <f>IF(V9&gt;0,V9*20,"")</f>
        <v/>
      </c>
      <c r="W10" s="73" t="str">
        <f>IF(W9="","",(W9*10)*AJ9)</f>
        <v/>
      </c>
      <c r="X10" s="77" t="str">
        <f>IF(ROUNDUP(X9,1)&gt;0,IF((80+(8-ROUNDUP(X9,1))*40)&lt;0,0,80+(8-ROUNDUP(X9,1))*40),"")</f>
        <v/>
      </c>
      <c r="Y10" s="78" t="str">
        <f>IF(SUM(V10,W10,X10)&gt;0,SUM(V10,W10,X10),"")</f>
        <v/>
      </c>
      <c r="Z10" s="83" t="str">
        <f>IF(AE9&gt;34,(IF(OR(S10="",V10="",W10="",X10=""),"",SUM(S10,V10,W10,X10))*AI9),IF(OR(S10="",V10="",W10="",X10=""),"", SUM(S10,V10,W10,X10)))</f>
        <v/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15">
        <v>2009010</v>
      </c>
      <c r="C11" s="84" t="s">
        <v>67</v>
      </c>
      <c r="D11" s="83">
        <v>49.41</v>
      </c>
      <c r="E11" s="84" t="s">
        <v>102</v>
      </c>
      <c r="F11" s="121" t="s">
        <v>74</v>
      </c>
      <c r="G11" s="122">
        <v>40085</v>
      </c>
      <c r="H11" s="71">
        <v>13</v>
      </c>
      <c r="I11" s="123" t="s">
        <v>103</v>
      </c>
      <c r="J11" s="76" t="s">
        <v>62</v>
      </c>
      <c r="K11" s="79">
        <v>17</v>
      </c>
      <c r="L11" s="85">
        <v>20</v>
      </c>
      <c r="M11" s="85">
        <v>23</v>
      </c>
      <c r="N11" s="79">
        <v>22</v>
      </c>
      <c r="O11" s="85">
        <v>25</v>
      </c>
      <c r="P11" s="85">
        <v>28</v>
      </c>
      <c r="Q11" s="118">
        <f>IF(MAX(K11:M11)&gt;0,IF(MAX(K11:M11)&lt;0,0,TRUNC(MAX(K11:M11)/1)*1),"")</f>
        <v>23</v>
      </c>
      <c r="R11" s="68">
        <f>IF(MAX(N11:P11)&gt;0,IF(MAX(N11:P11)&lt;0,0,TRUNC(MAX(N11:P11)/1)*1),"")</f>
        <v>28</v>
      </c>
      <c r="S11" s="68">
        <f>IF(Q11="","",IF(R11="","",IF(SUM(Q11:R11)=0,"",SUM(Q11:R11))))</f>
        <v>51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91.584880689609591</v>
      </c>
      <c r="U11" s="77" t="str">
        <f>IF(AF11=1,T11*AI11,"")</f>
        <v/>
      </c>
      <c r="V11" s="70">
        <v>5.92</v>
      </c>
      <c r="W11" s="70">
        <v>7.4</v>
      </c>
      <c r="X11" s="70">
        <v>7.1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m</v>
      </c>
      <c r="AE11" s="94">
        <f>IF(OR(G11="",AC11=""),0,(YEAR(AC11)-YEAR(G11)))</f>
        <v>14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1.7957819743060703</v>
      </c>
    </row>
    <row r="12" spans="1:36" s="8" customFormat="1" ht="20.100000000000001" customHeight="1" x14ac:dyDescent="0.2">
      <c r="B12" s="116"/>
      <c r="C12" s="84"/>
      <c r="D12" s="73"/>
      <c r="E12" s="84"/>
      <c r="F12" s="121"/>
      <c r="G12" s="122"/>
      <c r="H12" s="79"/>
      <c r="I12" s="76"/>
      <c r="J12" s="76"/>
      <c r="K12" s="127"/>
      <c r="L12" s="127"/>
      <c r="M12" s="127"/>
      <c r="N12" s="128"/>
      <c r="O12" s="128"/>
      <c r="P12" s="128"/>
      <c r="Q12" s="119"/>
      <c r="R12" s="73"/>
      <c r="S12" s="127">
        <f>IF(T11="","",T11*1.2)</f>
        <v>109.9018568275315</v>
      </c>
      <c r="T12" s="127"/>
      <c r="U12" s="83"/>
      <c r="V12" s="73">
        <f>IF(V11&gt;0,V11*20,"")</f>
        <v>118.4</v>
      </c>
      <c r="W12" s="73">
        <f>IF(W11="","",(W11*10)*AJ11)</f>
        <v>132.8878660986492</v>
      </c>
      <c r="X12" s="77">
        <f>IF(ROUNDUP(X11,1)&gt;0,IF((80+(8-ROUNDUP(X11,1))*40)&lt;0,0,80+(8-ROUNDUP(X11,1))*40),"")</f>
        <v>116.00000000000001</v>
      </c>
      <c r="Y12" s="78">
        <f>IF(SUM(V12,W12,X12)&gt;0,SUM(V12,W12,X12),"")</f>
        <v>367.2878660986492</v>
      </c>
      <c r="Z12" s="83">
        <f>IF(AE11&gt;34,(IF(OR(S12="",V12="",W12="",X12=""),"",SUM(S12,V12,W12,X12))*AI11),IF(OR(S12="",V12="",W12="",X12=""),"", SUM(S12,V12,W12,X12)))</f>
        <v>477.18972292618071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6" t="s">
        <v>72</v>
      </c>
      <c r="C13" s="84" t="s">
        <v>128</v>
      </c>
      <c r="D13" s="73">
        <v>40.21</v>
      </c>
      <c r="E13" s="84" t="s">
        <v>102</v>
      </c>
      <c r="F13" s="121" t="s">
        <v>65</v>
      </c>
      <c r="G13" s="122">
        <v>40581</v>
      </c>
      <c r="H13" s="79">
        <v>14</v>
      </c>
      <c r="I13" s="76" t="s">
        <v>105</v>
      </c>
      <c r="J13" s="76" t="s">
        <v>62</v>
      </c>
      <c r="K13" s="79">
        <v>17</v>
      </c>
      <c r="L13" s="85">
        <v>20</v>
      </c>
      <c r="M13" s="85">
        <v>23</v>
      </c>
      <c r="N13" s="79">
        <v>20</v>
      </c>
      <c r="O13" s="85">
        <v>23</v>
      </c>
      <c r="P13" s="85">
        <v>27</v>
      </c>
      <c r="Q13" s="118">
        <f>IF(MAX(K13:M13)&gt;0,IF(MAX(K13:M13)&lt;0,0,TRUNC(MAX(K13:M13)/1)*1),"")</f>
        <v>23</v>
      </c>
      <c r="R13" s="68">
        <f>IF(MAX(N13:P13)&gt;0,IF(MAX(N13:P13)&lt;0,0,TRUNC(MAX(N13:P13)/1)*1),"")</f>
        <v>27</v>
      </c>
      <c r="S13" s="68">
        <f>IF(Q13="","",IF(R13="","",IF(SUM(Q13:R13)=0,"",SUM(Q13:R13))))</f>
        <v>50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108.57442805880979</v>
      </c>
      <c r="U13" s="77" t="str">
        <f>IF(AF13=1,T13*AI13,"")</f>
        <v/>
      </c>
      <c r="V13" s="70">
        <v>5.76</v>
      </c>
      <c r="W13" s="70">
        <v>7.8</v>
      </c>
      <c r="X13" s="70">
        <v>7.4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m</v>
      </c>
      <c r="AE13" s="94">
        <f>IF(OR(G13="",AC13=""),0,(YEAR(AC13)-YEAR(G13)))</f>
        <v>12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2.1714885611761958</v>
      </c>
    </row>
    <row r="14" spans="1:36" s="8" customFormat="1" ht="20.100000000000001" customHeight="1" x14ac:dyDescent="0.2">
      <c r="B14" s="116"/>
      <c r="C14" s="84"/>
      <c r="D14" s="73"/>
      <c r="E14" s="84"/>
      <c r="F14" s="121"/>
      <c r="G14" s="122"/>
      <c r="H14" s="79"/>
      <c r="I14" s="76"/>
      <c r="J14" s="76"/>
      <c r="K14" s="127"/>
      <c r="L14" s="127"/>
      <c r="M14" s="127"/>
      <c r="N14" s="128"/>
      <c r="O14" s="128"/>
      <c r="P14" s="128"/>
      <c r="Q14" s="119"/>
      <c r="R14" s="73"/>
      <c r="S14" s="127">
        <f>IF(T13="","",T13*1.2)</f>
        <v>130.28931367057174</v>
      </c>
      <c r="T14" s="127"/>
      <c r="U14" s="73"/>
      <c r="V14" s="73">
        <f>IF(V13&gt;0,V13*20,"")</f>
        <v>115.19999999999999</v>
      </c>
      <c r="W14" s="73">
        <f>IF(W13="","",(W13*10)*AJ13)</f>
        <v>169.37610777174328</v>
      </c>
      <c r="X14" s="77">
        <f>IF(ROUNDUP(X13,1)&gt;0,IF((80+(8-ROUNDUP(X13,1))*40)&lt;0,0,80+(8-ROUNDUP(X13,1))*40),"")</f>
        <v>103.99999999999999</v>
      </c>
      <c r="Y14" s="78">
        <f>IF(SUM(V14,W14,X14)&gt;0,SUM(V14,W14,X14),"")</f>
        <v>388.5761077717433</v>
      </c>
      <c r="Z14" s="83">
        <f>IF(AE13&gt;34,(IF(OR(S14="",V14="",W14="",X14=""),"",SUM(S14,V14,W14,X14))*AI13),IF(OR(S14="",V14="",W14="",X14=""),"", SUM(S14,V14,W14,X14)))</f>
        <v>518.86542144231498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6" t="s">
        <v>106</v>
      </c>
      <c r="C15" s="84" t="s">
        <v>67</v>
      </c>
      <c r="D15" s="83">
        <v>53.23</v>
      </c>
      <c r="E15" s="84" t="s">
        <v>102</v>
      </c>
      <c r="F15" s="121" t="s">
        <v>74</v>
      </c>
      <c r="G15" s="122">
        <v>40146</v>
      </c>
      <c r="H15" s="71">
        <v>15</v>
      </c>
      <c r="I15" s="123" t="s">
        <v>107</v>
      </c>
      <c r="J15" s="76" t="s">
        <v>62</v>
      </c>
      <c r="K15" s="79">
        <v>25</v>
      </c>
      <c r="L15" s="85">
        <v>27</v>
      </c>
      <c r="M15" s="85">
        <v>30</v>
      </c>
      <c r="N15" s="79">
        <v>30</v>
      </c>
      <c r="O15" s="85">
        <v>35</v>
      </c>
      <c r="P15" s="85">
        <v>-40</v>
      </c>
      <c r="Q15" s="118">
        <f>IF(MAX(K15:M15)&gt;0,IF(MAX(K15:M15)&lt;0,0,TRUNC(MAX(K15:M15)/1)*1),"")</f>
        <v>30</v>
      </c>
      <c r="R15" s="68">
        <f>IF(MAX(N15:P15)&gt;0,IF(MAX(N15:P15)&lt;0,0,TRUNC(MAX(N15:P15)/1)*1),"")</f>
        <v>35</v>
      </c>
      <c r="S15" s="68">
        <f>IF(Q15="","",IF(R15="","",IF(SUM(Q15:R15)=0,"",SUM(Q15:R15))))</f>
        <v>65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109.69698035738945</v>
      </c>
      <c r="U15" s="77" t="str">
        <f>IF(AF15=1,T15*AI15,"")</f>
        <v/>
      </c>
      <c r="V15" s="70">
        <v>4.88</v>
      </c>
      <c r="W15" s="70">
        <v>6.2</v>
      </c>
      <c r="X15" s="70">
        <v>8.6999999999999993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m</v>
      </c>
      <c r="AE15" s="94">
        <f>IF(OR(G15="",AC15=""),0,(YEAR(AC15)-YEAR(G15)))</f>
        <v>14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1.6876458516521453</v>
      </c>
    </row>
    <row r="16" spans="1:36" s="8" customFormat="1" ht="20.100000000000001" customHeight="1" x14ac:dyDescent="0.2">
      <c r="B16" s="116"/>
      <c r="C16" s="84"/>
      <c r="D16" s="73"/>
      <c r="E16" s="84"/>
      <c r="F16" s="121"/>
      <c r="G16" s="122"/>
      <c r="H16" s="79"/>
      <c r="I16" s="76"/>
      <c r="J16" s="76"/>
      <c r="K16" s="127"/>
      <c r="L16" s="127"/>
      <c r="M16" s="127"/>
      <c r="N16" s="128"/>
      <c r="O16" s="128"/>
      <c r="P16" s="128"/>
      <c r="Q16" s="120"/>
      <c r="R16" s="88"/>
      <c r="S16" s="127">
        <f>IF(T15="","",T15*1.2)</f>
        <v>131.63637642886732</v>
      </c>
      <c r="T16" s="127"/>
      <c r="U16" s="73"/>
      <c r="V16" s="73">
        <f>IF(V15&gt;0,V15*20,"")</f>
        <v>97.6</v>
      </c>
      <c r="W16" s="73">
        <f>IF(W15="","",(W15*10)*AJ15)</f>
        <v>104.63404280243302</v>
      </c>
      <c r="X16" s="77">
        <f>IF(ROUNDUP(X15,1)&gt;0,IF((80+(8-ROUNDUP(X15,1))*40)&lt;0,0,80+(8-ROUNDUP(X15,1))*40),"")</f>
        <v>52.000000000000028</v>
      </c>
      <c r="Y16" s="78">
        <f>IF(SUM(V16,W16,X16)&gt;0,SUM(V16,W16,X16),"")</f>
        <v>254.23404280243304</v>
      </c>
      <c r="Z16" s="83">
        <f>IF(AE15&gt;34,(IF(OR(S16="",V16="",W16="",X16=""),"",SUM(S16,V16,W16,X16))*AI15),IF(OR(S16="",V16="",W16="",X16=""),"", SUM(S16,V16,W16,X16)))</f>
        <v>385.87041923130039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">
      <c r="B17" s="116" t="s">
        <v>108</v>
      </c>
      <c r="C17" s="84" t="s">
        <v>104</v>
      </c>
      <c r="D17" s="73">
        <v>64.849999999999994</v>
      </c>
      <c r="E17" s="84" t="s">
        <v>102</v>
      </c>
      <c r="F17" s="121" t="s">
        <v>90</v>
      </c>
      <c r="G17" s="122">
        <v>39627</v>
      </c>
      <c r="H17" s="79">
        <v>16</v>
      </c>
      <c r="I17" s="76" t="s">
        <v>109</v>
      </c>
      <c r="J17" s="76" t="s">
        <v>137</v>
      </c>
      <c r="K17" s="79">
        <v>56</v>
      </c>
      <c r="L17" s="85">
        <v>60</v>
      </c>
      <c r="M17" s="85">
        <v>-63</v>
      </c>
      <c r="N17" s="79">
        <v>68</v>
      </c>
      <c r="O17" s="85">
        <v>72</v>
      </c>
      <c r="P17" s="85">
        <v>74</v>
      </c>
      <c r="Q17" s="118">
        <f>IF(MAX(K17:M17)&gt;0,IF(MAX(K17:M17)&lt;0,0,TRUNC(MAX(K17:M17)/1)*1),"")</f>
        <v>60</v>
      </c>
      <c r="R17" s="68">
        <f>IF(MAX(N17:P17)&gt;0,IF(MAX(N17:P17)&lt;0,0,TRUNC(MAX(N17:P17)/1)*1),"")</f>
        <v>74</v>
      </c>
      <c r="S17" s="86">
        <f>IF(Q17="","",IF(R17="","",IF(SUM(Q17:R17)=0,"",SUM(Q17:R17))))</f>
        <v>134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195.06923336708519</v>
      </c>
      <c r="U17" s="77" t="str">
        <f>IF(AF17=1,T17*AI17,"")</f>
        <v/>
      </c>
      <c r="V17" s="70">
        <v>7.12</v>
      </c>
      <c r="W17" s="70">
        <v>8.4</v>
      </c>
      <c r="X17" s="70">
        <v>6.6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m</v>
      </c>
      <c r="AE17" s="94">
        <f>IF(OR(G17="",AC17=""),0,(YEAR(AC17)-YEAR(G17)))</f>
        <v>15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1.4557405475155611</v>
      </c>
    </row>
    <row r="18" spans="2:36" s="8" customFormat="1" ht="20.100000000000001" customHeight="1" x14ac:dyDescent="0.2">
      <c r="B18" s="116"/>
      <c r="C18" s="84"/>
      <c r="D18" s="73"/>
      <c r="E18" s="84"/>
      <c r="F18" s="121"/>
      <c r="G18" s="122"/>
      <c r="H18" s="79"/>
      <c r="I18" s="76"/>
      <c r="J18" s="76"/>
      <c r="K18" s="127"/>
      <c r="L18" s="127"/>
      <c r="M18" s="127"/>
      <c r="N18" s="128"/>
      <c r="O18" s="128"/>
      <c r="P18" s="128"/>
      <c r="Q18" s="119"/>
      <c r="R18" s="73"/>
      <c r="S18" s="127">
        <f>IF(T17="","",T17*1.2)</f>
        <v>234.08308004050221</v>
      </c>
      <c r="T18" s="127"/>
      <c r="U18" s="73"/>
      <c r="V18" s="73">
        <f>IF(V17&gt;0,V17*20,"")</f>
        <v>142.4</v>
      </c>
      <c r="W18" s="73">
        <f>IF(W17="","",(W17*10)*AJ17)</f>
        <v>122.28220599130714</v>
      </c>
      <c r="X18" s="77">
        <f>IF(ROUNDUP(X17,1)&gt;0,IF((80+(8-ROUNDUP(X17,1))*40)&lt;0,0,80+(8-ROUNDUP(X17,1))*40),"")</f>
        <v>136</v>
      </c>
      <c r="Y18" s="78">
        <f>IF(SUM(V18,W18,X18)&gt;0,SUM(V18,W18,X18),"")</f>
        <v>400.68220599130711</v>
      </c>
      <c r="Z18" s="83">
        <f>IF(AE17&gt;34,(IF(OR(S18="",V18="",W18="",X18=""),"",SUM(S18,V18,W18,X18))*AI17),IF(OR(S18="",V18="",W18="",X18=""),"", SUM(S18,V18,W18,X18)))</f>
        <v>634.76528603180941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">
      <c r="B19" s="116" t="s">
        <v>110</v>
      </c>
      <c r="C19" s="84" t="s">
        <v>111</v>
      </c>
      <c r="D19" s="83">
        <v>68.95</v>
      </c>
      <c r="E19" s="84" t="s">
        <v>102</v>
      </c>
      <c r="F19" s="121" t="s">
        <v>90</v>
      </c>
      <c r="G19" s="122">
        <v>39222</v>
      </c>
      <c r="H19" s="71">
        <v>17</v>
      </c>
      <c r="I19" s="123" t="s">
        <v>112</v>
      </c>
      <c r="J19" s="76" t="s">
        <v>137</v>
      </c>
      <c r="K19" s="79">
        <v>65</v>
      </c>
      <c r="L19" s="85">
        <v>72</v>
      </c>
      <c r="M19" s="85">
        <v>-75</v>
      </c>
      <c r="N19" s="79">
        <v>86</v>
      </c>
      <c r="O19" s="85">
        <v>-93</v>
      </c>
      <c r="P19" s="85">
        <v>-95</v>
      </c>
      <c r="Q19" s="118">
        <f>IF(MAX(K19:M19)&gt;0,IF(MAX(K19:M19)&lt;0,0,TRUNC(MAX(K19:M19)/1)*1),"")</f>
        <v>72</v>
      </c>
      <c r="R19" s="68">
        <f>IF(MAX(N19:P19)&gt;0,IF(MAX(N19:P19)&lt;0,0,TRUNC(MAX(N19:P19)/1)*1),"")</f>
        <v>86</v>
      </c>
      <c r="S19" s="86">
        <f>IF(Q19="","",IF(R19="","",IF(SUM(Q19:R19)=0,"",SUM(Q19:R19))))</f>
        <v>158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220.78619351265817</v>
      </c>
      <c r="U19" s="77" t="str">
        <f>IF(AF19=1,T19*AI19,"")</f>
        <v/>
      </c>
      <c r="V19" s="70">
        <v>6.2</v>
      </c>
      <c r="W19" s="70">
        <v>5.8</v>
      </c>
      <c r="X19" s="70">
        <v>7.8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m</v>
      </c>
      <c r="AE19" s="94">
        <f>IF(OR(G19="",AC19=""),0,(YEAR(AC19)-YEAR(G19)))</f>
        <v>16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1.3973809715991024</v>
      </c>
    </row>
    <row r="20" spans="2:36" s="8" customFormat="1" ht="20.100000000000001" customHeight="1" x14ac:dyDescent="0.2">
      <c r="B20" s="116"/>
      <c r="C20" s="84"/>
      <c r="D20" s="73"/>
      <c r="E20" s="84"/>
      <c r="F20" s="121"/>
      <c r="G20" s="122"/>
      <c r="H20" s="79"/>
      <c r="I20" s="76"/>
      <c r="J20" s="76"/>
      <c r="K20" s="127"/>
      <c r="L20" s="127"/>
      <c r="M20" s="127"/>
      <c r="N20" s="128"/>
      <c r="O20" s="128"/>
      <c r="P20" s="128"/>
      <c r="Q20" s="119"/>
      <c r="R20" s="73"/>
      <c r="S20" s="127">
        <f>IF(T19="","",T19*1.2)</f>
        <v>264.94343221518977</v>
      </c>
      <c r="T20" s="127"/>
      <c r="U20" s="73"/>
      <c r="V20" s="73">
        <f>IF(V19&gt;0,V19*20,"")</f>
        <v>124</v>
      </c>
      <c r="W20" s="73">
        <f>IF(W19="","",(W19*10)*AJ19)</f>
        <v>81.048096352747933</v>
      </c>
      <c r="X20" s="77">
        <f>IF(ROUNDUP(X19,1)&gt;0,IF((80+(8-ROUNDUP(X19,1))*40)&lt;0,0,80+(8-ROUNDUP(X19,1))*40),"")</f>
        <v>88</v>
      </c>
      <c r="Y20" s="78">
        <f>IF(SUM(V20,W20,X20)&gt;0,SUM(V20,W20,X20),"")</f>
        <v>293.04809635274796</v>
      </c>
      <c r="Z20" s="83">
        <f>IF(AE19&gt;34,(IF(OR(S20="",V20="",W20="",X20=""),"",SUM(S20,V20,W20,X20))*AI19),IF(OR(S20="",V20="",W20="",X20=""),"", SUM(S20,V20,W20,X20)))</f>
        <v>557.99152856793773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6" t="s">
        <v>113</v>
      </c>
      <c r="C21" s="84" t="s">
        <v>111</v>
      </c>
      <c r="D21" s="73">
        <v>69.97</v>
      </c>
      <c r="E21" s="84" t="s">
        <v>125</v>
      </c>
      <c r="F21" s="121" t="s">
        <v>81</v>
      </c>
      <c r="G21" s="122">
        <v>38415</v>
      </c>
      <c r="H21" s="79">
        <v>18</v>
      </c>
      <c r="I21" s="76" t="s">
        <v>146</v>
      </c>
      <c r="J21" s="76" t="s">
        <v>137</v>
      </c>
      <c r="K21" s="79">
        <v>-100</v>
      </c>
      <c r="L21" s="85">
        <v>-100</v>
      </c>
      <c r="M21" s="85">
        <v>-100</v>
      </c>
      <c r="N21" s="79" t="s">
        <v>131</v>
      </c>
      <c r="O21" s="85" t="s">
        <v>131</v>
      </c>
      <c r="P21" s="85" t="s">
        <v>131</v>
      </c>
      <c r="Q21" s="118" t="str">
        <f>IF(MAX(K21:M21)&gt;0,IF(MAX(K21:M21)&lt;0,0,TRUNC(MAX(K21:M21)/1)*1),"")</f>
        <v/>
      </c>
      <c r="R21" s="68" t="str">
        <f>IF(MAX(N21:P21)&gt;0,IF(MAX(N21:P21)&lt;0,0,TRUNC(MAX(N21:P21)/1)*1),"")</f>
        <v/>
      </c>
      <c r="S21" s="86" t="str">
        <f>IF(Q21="","",IF(R21="","",IF(SUM(Q21:R21)=0,"",SUM(Q21:R21))))</f>
        <v/>
      </c>
      <c r="T21" s="69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77" t="str">
        <f>IF(AF21=1,T21*AI21,"")</f>
        <v/>
      </c>
      <c r="V21" s="70"/>
      <c r="W21" s="70"/>
      <c r="X21" s="70"/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m</v>
      </c>
      <c r="AE21" s="94">
        <f>IF(OR(G21="",AC21=""),0,(YEAR(AC21)-YEAR(G21)))</f>
        <v>18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1.384237179972504</v>
      </c>
    </row>
    <row r="22" spans="2:36" s="8" customFormat="1" ht="20.100000000000001" customHeight="1" x14ac:dyDescent="0.2">
      <c r="B22" s="116"/>
      <c r="C22" s="84"/>
      <c r="D22" s="73"/>
      <c r="E22" s="84"/>
      <c r="F22" s="121"/>
      <c r="G22" s="122"/>
      <c r="H22" s="79"/>
      <c r="I22" s="76"/>
      <c r="J22" s="76"/>
      <c r="K22" s="127"/>
      <c r="L22" s="127"/>
      <c r="M22" s="127"/>
      <c r="N22" s="128"/>
      <c r="O22" s="128"/>
      <c r="P22" s="128"/>
      <c r="Q22" s="119"/>
      <c r="R22" s="73"/>
      <c r="S22" s="127" t="str">
        <f>IF(T21="","",T21*1.2)</f>
        <v/>
      </c>
      <c r="T22" s="127"/>
      <c r="U22" s="73"/>
      <c r="V22" s="73" t="str">
        <f>IF(V21&gt;0,V21*20,"")</f>
        <v/>
      </c>
      <c r="W22" s="73" t="str">
        <f>IF(W21="","",(W21*10)*AJ21)</f>
        <v/>
      </c>
      <c r="X22" s="77" t="str">
        <f>IF(ROUNDUP(X21,1)&gt;0,IF((80+(8-ROUNDUP(X21,1))*40)&lt;0,0,80+(8-ROUNDUP(X21,1))*40),"")</f>
        <v/>
      </c>
      <c r="Y22" s="78" t="str">
        <f>IF(SUM(V22,W22,X22)&gt;0,SUM(V22,W22,X22),"")</f>
        <v/>
      </c>
      <c r="Z22" s="83" t="str">
        <f>IF(AE21&gt;34,(IF(OR(S22="",V22="",W22="",X22=""),"",SUM(S22,V22,W22,X22))*AI21),IF(OR(S22="",V22="",W22="",X22=""),"", SUM(S22,V22,W22,X22)))</f>
        <v/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6" t="s">
        <v>114</v>
      </c>
      <c r="C23" s="84" t="s">
        <v>119</v>
      </c>
      <c r="D23" s="83">
        <v>84.83</v>
      </c>
      <c r="E23" s="84" t="s">
        <v>116</v>
      </c>
      <c r="F23" s="121" t="s">
        <v>96</v>
      </c>
      <c r="G23" s="122">
        <v>35506</v>
      </c>
      <c r="H23" s="71">
        <v>19</v>
      </c>
      <c r="I23" s="123" t="s">
        <v>117</v>
      </c>
      <c r="J23" s="76" t="s">
        <v>138</v>
      </c>
      <c r="K23" s="79">
        <v>90</v>
      </c>
      <c r="L23" s="85">
        <v>93</v>
      </c>
      <c r="M23" s="85">
        <v>95</v>
      </c>
      <c r="N23" s="79">
        <v>-115</v>
      </c>
      <c r="O23" s="85">
        <v>115</v>
      </c>
      <c r="P23" s="85" t="s">
        <v>131</v>
      </c>
      <c r="Q23" s="118">
        <f>IF(MAX(K23:M23)&gt;0,IF(MAX(K23:M23)&lt;0,0,TRUNC(MAX(K23:M23)/1)*1),"")</f>
        <v>95</v>
      </c>
      <c r="R23" s="68">
        <f>IF(MAX(N23:P23)&gt;0,IF(MAX(N23:P23)&lt;0,0,TRUNC(MAX(N23:P23)/1)*1),"")</f>
        <v>115</v>
      </c>
      <c r="S23" s="86">
        <f>IF(Q23="","",IF(R23="","",IF(SUM(Q23:R23)=0,"",SUM(Q23:R23))))</f>
        <v>210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260.04358858599721</v>
      </c>
      <c r="U23" s="77" t="str">
        <f>IF(AF23=1,T23*AI23,"")</f>
        <v/>
      </c>
      <c r="V23" s="70">
        <v>8.42</v>
      </c>
      <c r="W23" s="70">
        <v>13.1</v>
      </c>
      <c r="X23" s="70">
        <v>6.5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m</v>
      </c>
      <c r="AE23" s="109">
        <f>IF(OR(G23="",AC23=""),0,(YEAR(AC23)-YEAR(G23)))</f>
        <v>26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1.2383028027904628</v>
      </c>
    </row>
    <row r="24" spans="2:36" s="8" customFormat="1" ht="20.100000000000001" customHeight="1" x14ac:dyDescent="0.2">
      <c r="B24" s="116"/>
      <c r="C24" s="84"/>
      <c r="D24" s="73"/>
      <c r="E24" s="84"/>
      <c r="F24" s="121"/>
      <c r="G24" s="122"/>
      <c r="H24" s="79"/>
      <c r="I24" s="76"/>
      <c r="J24" s="76"/>
      <c r="K24" s="127"/>
      <c r="L24" s="127"/>
      <c r="M24" s="127"/>
      <c r="N24" s="128"/>
      <c r="O24" s="128"/>
      <c r="P24" s="128"/>
      <c r="Q24" s="119"/>
      <c r="R24" s="73"/>
      <c r="S24" s="127">
        <f>IF(T23="","",T23*1.2)</f>
        <v>312.05230630319664</v>
      </c>
      <c r="T24" s="127"/>
      <c r="U24" s="73"/>
      <c r="V24" s="73">
        <f>IF(V23&gt;0,V23*20,"")</f>
        <v>168.4</v>
      </c>
      <c r="W24" s="73">
        <f>IF(W23="","",(W23*10)*AJ23)</f>
        <v>162.21766716555064</v>
      </c>
      <c r="X24" s="77">
        <f>IF(ROUNDUP(X23,1)&gt;0,IF((80+(8-ROUNDUP(X23,1))*40)&lt;0,0,80+(8-ROUNDUP(X23,1))*40),"")</f>
        <v>140</v>
      </c>
      <c r="Y24" s="78">
        <f>IF(SUM(V24,W24,X24)&gt;0,SUM(V24,W24,X24),"")</f>
        <v>470.61766716555064</v>
      </c>
      <c r="Z24" s="83">
        <f>IF(AE23&gt;34,(IF(OR(S24="",V24="",W24="",X24=""),"",SUM(S24,V24,W24,X24))*AI23),IF(OR(S24="",V24="",W24="",X24=""),"", SUM(S24,V24,W24,X24)))</f>
        <v>782.66997346874734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6" t="s">
        <v>118</v>
      </c>
      <c r="C25" s="84" t="s">
        <v>115</v>
      </c>
      <c r="D25" s="73">
        <v>93.01</v>
      </c>
      <c r="E25" s="84" t="s">
        <v>116</v>
      </c>
      <c r="F25" s="121" t="s">
        <v>96</v>
      </c>
      <c r="G25" s="122">
        <v>36192</v>
      </c>
      <c r="H25" s="79">
        <v>20</v>
      </c>
      <c r="I25" s="76" t="s">
        <v>120</v>
      </c>
      <c r="J25" s="76" t="s">
        <v>138</v>
      </c>
      <c r="K25" s="79">
        <v>100</v>
      </c>
      <c r="L25" s="85">
        <v>108</v>
      </c>
      <c r="M25" s="85">
        <v>-115</v>
      </c>
      <c r="N25" s="79">
        <v>116</v>
      </c>
      <c r="O25" s="85" t="s">
        <v>131</v>
      </c>
      <c r="P25" s="85" t="s">
        <v>131</v>
      </c>
      <c r="Q25" s="118">
        <f>IF(MAX(K25:M25)&gt;0,IF(MAX(K25:M25)&lt;0,0,TRUNC(MAX(K25:M25)/1)*1),"")</f>
        <v>108</v>
      </c>
      <c r="R25" s="68">
        <f>IF(MAX(N25:P25)&gt;0,IF(MAX(N25:P25)&lt;0,0,TRUNC(MAX(N25:P25)/1)*1),"")</f>
        <v>116</v>
      </c>
      <c r="S25" s="86">
        <f>IF(Q25="","",IF(R25="","",IF(SUM(Q25:R25)=0,"",SUM(Q25:R25))))</f>
        <v>224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265.16655948676299</v>
      </c>
      <c r="U25" s="77" t="str">
        <f>IF(AF25=1,T25*AI25,"")</f>
        <v/>
      </c>
      <c r="V25" s="70">
        <v>8.4</v>
      </c>
      <c r="W25" s="70">
        <v>9.3000000000000007</v>
      </c>
      <c r="X25" s="70">
        <v>6.6</v>
      </c>
      <c r="Y25" s="78"/>
      <c r="Z25" s="73"/>
      <c r="AA25" s="73"/>
      <c r="AB25" s="72"/>
      <c r="AC25" s="92">
        <f>U5</f>
        <v>45087</v>
      </c>
      <c r="AD25" s="96" t="str">
        <f>IF(ISNUMBER(FIND("M",E25)),"m",IF(ISNUMBER(FIND("K",E25)),"k"))</f>
        <v>m</v>
      </c>
      <c r="AE25" s="109">
        <f>IF(OR(G25="",AC25=""),0,(YEAR(AC25)-YEAR(G25)))</f>
        <v>24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1.1837792834230492</v>
      </c>
    </row>
    <row r="26" spans="2:36" s="8" customFormat="1" ht="20.100000000000001" customHeight="1" x14ac:dyDescent="0.2">
      <c r="B26" s="116"/>
      <c r="C26" s="84"/>
      <c r="D26" s="73"/>
      <c r="E26" s="84"/>
      <c r="F26" s="121"/>
      <c r="G26" s="122"/>
      <c r="H26" s="79"/>
      <c r="I26" s="76"/>
      <c r="J26" s="76"/>
      <c r="K26" s="127"/>
      <c r="L26" s="127"/>
      <c r="M26" s="127"/>
      <c r="N26" s="128"/>
      <c r="O26" s="128"/>
      <c r="P26" s="128"/>
      <c r="Q26" s="119"/>
      <c r="R26" s="73"/>
      <c r="S26" s="127">
        <f>IF(T25="","",T25*1.2)</f>
        <v>318.19987138411557</v>
      </c>
      <c r="T26" s="127"/>
      <c r="U26" s="73"/>
      <c r="V26" s="73">
        <f>IF(V25&gt;0,V25*20,"")</f>
        <v>168</v>
      </c>
      <c r="W26" s="73">
        <f>IF(W25="","",(W25*10)*AJ25)</f>
        <v>110.09147335834358</v>
      </c>
      <c r="X26" s="77">
        <f>IF(ROUNDUP(X25,1)&gt;0,IF((80+(8-ROUNDUP(X25,1))*40)&lt;0,0,80+(8-ROUNDUP(X25,1))*40),"")</f>
        <v>136</v>
      </c>
      <c r="Y26" s="78">
        <f>IF(SUM(V26,W26,X26)&gt;0,SUM(V26,W26,X26),"")</f>
        <v>414.09147335834359</v>
      </c>
      <c r="Z26" s="83">
        <f>IF(AE25&gt;34,(IF(OR(S26="",V26="",W26="",X26=""),"",SUM(S26,V26,W26,X26))*AI25),IF(OR(S26="",V26="",W26="",X26=""),"", SUM(S26,V26,W26,X26)))</f>
        <v>732.29134474245916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5">
      <c r="B27" s="116" t="s">
        <v>121</v>
      </c>
      <c r="C27" s="84" t="s">
        <v>126</v>
      </c>
      <c r="D27" s="83">
        <v>114.06</v>
      </c>
      <c r="E27" s="84" t="s">
        <v>102</v>
      </c>
      <c r="F27" s="121" t="s">
        <v>74</v>
      </c>
      <c r="G27" s="122">
        <v>39854</v>
      </c>
      <c r="H27" s="71">
        <v>21</v>
      </c>
      <c r="I27" s="124" t="s">
        <v>122</v>
      </c>
      <c r="J27" s="76" t="s">
        <v>137</v>
      </c>
      <c r="K27" s="67">
        <v>48</v>
      </c>
      <c r="L27" s="90">
        <v>53</v>
      </c>
      <c r="M27" s="90">
        <v>56</v>
      </c>
      <c r="N27" s="90">
        <v>61</v>
      </c>
      <c r="O27" s="91">
        <v>65</v>
      </c>
      <c r="P27" s="91">
        <v>-68</v>
      </c>
      <c r="Q27" s="118">
        <f>IF(MAX(K27:M27)&gt;0,IF(MAX(K27:M27)&lt;0,0,TRUNC(MAX(K27:M27)/1)*1),"")</f>
        <v>56</v>
      </c>
      <c r="R27" s="68">
        <f>IF(MAX(N27:P27)&gt;0,IF(MAX(N27:P27)&lt;0,0,TRUNC(MAX(N27:P27)/1)*1),"")</f>
        <v>65</v>
      </c>
      <c r="S27" s="86">
        <f>IF(Q27="","",IF(R27="","",IF(SUM(Q27:R27)=0,"",SUM(Q27:R27))))</f>
        <v>121</v>
      </c>
      <c r="T27" s="69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132.11448708301137</v>
      </c>
      <c r="U27" s="77" t="str">
        <f>IF(AF27=1,T27*AI27,"")</f>
        <v/>
      </c>
      <c r="V27" s="81"/>
      <c r="W27" s="81">
        <v>8.6999999999999993</v>
      </c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45087</v>
      </c>
      <c r="AD27" s="96" t="str">
        <f>IF(ISNUMBER(FIND("M",E27)),"m",IF(ISNUMBER(FIND("K",E27)),"k"))</f>
        <v>m</v>
      </c>
      <c r="AE27" s="109">
        <f>IF(OR(G27="",AC27=""),0,(YEAR(AC27)-YEAR(G27)))</f>
        <v>14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1.0918552651488542</v>
      </c>
    </row>
    <row r="28" spans="2:36" s="8" customFormat="1" ht="20.100000000000001" customHeight="1" x14ac:dyDescent="0.2">
      <c r="B28" s="116"/>
      <c r="C28" s="84"/>
      <c r="D28" s="73"/>
      <c r="E28" s="84"/>
      <c r="F28" s="121"/>
      <c r="G28" s="122"/>
      <c r="H28" s="75"/>
      <c r="I28" s="76" t="s">
        <v>13</v>
      </c>
      <c r="J28" s="76"/>
      <c r="K28" s="128"/>
      <c r="L28" s="128"/>
      <c r="M28" s="128"/>
      <c r="N28" s="128"/>
      <c r="O28" s="128"/>
      <c r="P28" s="128"/>
      <c r="Q28" s="119"/>
      <c r="R28" s="73"/>
      <c r="S28" s="127">
        <f>IF(T27="","",T27*1.2)</f>
        <v>158.53738449961364</v>
      </c>
      <c r="T28" s="127"/>
      <c r="U28" s="73"/>
      <c r="V28" s="73" t="str">
        <f>IF(V27&gt;0,V27*20,"")</f>
        <v/>
      </c>
      <c r="W28" s="73">
        <f>IF(W27="","",(W27*10)*AJ27)</f>
        <v>94.991408067950317</v>
      </c>
      <c r="X28" s="77" t="str">
        <f>IF(ROUNDUP(X27,1)&gt;0,IF((80+(8-ROUNDUP(X27,1))*40)&lt;0,0,80+(8-ROUNDUP(X27,1))*40),"")</f>
        <v/>
      </c>
      <c r="Y28" s="78">
        <f>IF(SUM(V28,W28,X28)&gt;0,SUM(V28,W28,X28),"")</f>
        <v>94.991408067950317</v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6" t="s">
        <v>123</v>
      </c>
      <c r="C29" s="84" t="s">
        <v>127</v>
      </c>
      <c r="D29" s="73">
        <v>109.24</v>
      </c>
      <c r="E29" s="84" t="s">
        <v>116</v>
      </c>
      <c r="F29" s="121" t="s">
        <v>96</v>
      </c>
      <c r="G29" s="122">
        <v>33559</v>
      </c>
      <c r="H29" s="79">
        <v>22</v>
      </c>
      <c r="I29" s="76" t="s">
        <v>124</v>
      </c>
      <c r="J29" s="76" t="s">
        <v>62</v>
      </c>
      <c r="K29" s="67">
        <v>122</v>
      </c>
      <c r="L29" s="90">
        <v>-125</v>
      </c>
      <c r="M29" s="90">
        <v>126</v>
      </c>
      <c r="N29" s="90">
        <v>145</v>
      </c>
      <c r="O29" s="91">
        <v>151</v>
      </c>
      <c r="P29" s="91">
        <v>-154</v>
      </c>
      <c r="Q29" s="118">
        <f>IF(MAX(K29:M29)&gt;0,IF(MAX(K29:M29)&lt;0,0,TRUNC(MAX(K29:M29)/1)*1),"")</f>
        <v>126</v>
      </c>
      <c r="R29" s="68">
        <f>IF(MAX(N29:P29)&gt;0,IF(MAX(N29:P29)&lt;0,0,TRUNC(MAX(N29:P29)/1)*1),"")</f>
        <v>151</v>
      </c>
      <c r="S29" s="86">
        <f>IF(Q29="","",IF(R29="","",IF(SUM(Q29:R29)=0,"",SUM(Q29:R29))))</f>
        <v>277</v>
      </c>
      <c r="T29" s="69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306.99247766758032</v>
      </c>
      <c r="U29" s="77" t="str">
        <f>IF(AF29=1,T29*AI29,"")</f>
        <v/>
      </c>
      <c r="V29" s="70">
        <v>7.65</v>
      </c>
      <c r="W29" s="70">
        <v>11.1</v>
      </c>
      <c r="X29" s="70">
        <v>6.8</v>
      </c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45087</v>
      </c>
      <c r="AD29" s="96" t="str">
        <f>IF(ISNUMBER(FIND("M",E29)),"m",IF(ISNUMBER(FIND("K",E29)),"k"))</f>
        <v>m</v>
      </c>
      <c r="AE29" s="109">
        <f>IF(OR(G29="",AC29=""),0,(YEAR(AC29)-YEAR(G29)))</f>
        <v>32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 t="shared" ref="AI29" si="7">IF(AD29="m",AG29,IF(AD29="k",AH29,""))</f>
        <v>0</v>
      </c>
      <c r="AJ29" s="8">
        <f>IF(D29="","",IF(D29&gt;193.609,1,IF(D29&lt;32,10^(0.722762521*LOG10(32/193.609)^2),10^(0.722762521*LOG10(D29/193.609)^2))))</f>
        <v>1.1082760926627448</v>
      </c>
    </row>
    <row r="30" spans="2:36" s="8" customFormat="1" ht="20.100000000000001" customHeight="1" x14ac:dyDescent="0.2">
      <c r="B30" s="116"/>
      <c r="C30" s="84"/>
      <c r="D30" s="73"/>
      <c r="E30" s="84"/>
      <c r="F30" s="121"/>
      <c r="G30" s="122"/>
      <c r="H30" s="75"/>
      <c r="I30" s="76"/>
      <c r="J30" s="76"/>
      <c r="K30" s="128"/>
      <c r="L30" s="128"/>
      <c r="M30" s="128"/>
      <c r="N30" s="128"/>
      <c r="O30" s="128"/>
      <c r="P30" s="128"/>
      <c r="Q30" s="119"/>
      <c r="R30" s="73"/>
      <c r="S30" s="127">
        <f>IF(T29="","",T29*1.2)</f>
        <v>368.39097320109636</v>
      </c>
      <c r="T30" s="127"/>
      <c r="U30" s="73"/>
      <c r="V30" s="73">
        <f>IF(V29&gt;0,V29*20,"")</f>
        <v>153</v>
      </c>
      <c r="W30" s="73">
        <f>IF(W29="","",(W29*10)*AJ29)</f>
        <v>123.01864628556469</v>
      </c>
      <c r="X30" s="77">
        <f>IF(ROUNDUP(X29,1)&gt;0,IF((80+(8-ROUNDUP(X29,1))*40)&lt;0,0,80+(8-ROUNDUP(X29,1))*40),"")</f>
        <v>128</v>
      </c>
      <c r="Y30" s="78">
        <f>IF(SUM(V30,W30,X30)&gt;0,SUM(V30,W30,X30),"")</f>
        <v>404.01864628556467</v>
      </c>
      <c r="Z30" s="83">
        <f>IF(AE29&gt;34,(IF(OR(S30="",V30="",W30="",X30=""),"",SUM(S30,V30,W30,X30))*AI29),IF(OR(S30="",V30="",W30="",X30=""),"", SUM(S30,V30,W30,X30)))</f>
        <v>772.40961948666109</v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6"/>
      <c r="C31" s="84"/>
      <c r="D31" s="83"/>
      <c r="E31" s="111"/>
      <c r="F31" s="110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8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7"/>
      <c r="C32" s="66"/>
      <c r="D32" s="73"/>
      <c r="E32" s="74"/>
      <c r="F32" s="74"/>
      <c r="G32" s="93"/>
      <c r="H32" s="75"/>
      <c r="I32" s="76"/>
      <c r="J32" s="76"/>
      <c r="K32" s="128"/>
      <c r="L32" s="128"/>
      <c r="M32" s="128"/>
      <c r="N32" s="128"/>
      <c r="O32" s="128"/>
      <c r="P32" s="128"/>
      <c r="Q32" s="119"/>
      <c r="R32" s="73"/>
      <c r="S32" s="127" t="str">
        <f>IF(T31="","",T31*1.2)</f>
        <v/>
      </c>
      <c r="T32" s="127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95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58" t="s">
        <v>34</v>
      </c>
      <c r="C35" s="160"/>
      <c r="D35" s="104" t="s">
        <v>33</v>
      </c>
      <c r="E35" s="158" t="s">
        <v>4</v>
      </c>
      <c r="F35" s="159"/>
      <c r="G35" s="159"/>
      <c r="H35" s="160"/>
      <c r="I35" s="50" t="s">
        <v>43</v>
      </c>
      <c r="J35" s="21"/>
      <c r="K35" s="158" t="s">
        <v>34</v>
      </c>
      <c r="L35" s="159"/>
      <c r="M35" s="160"/>
      <c r="N35" s="54" t="s">
        <v>33</v>
      </c>
      <c r="O35" s="156" t="s">
        <v>4</v>
      </c>
      <c r="P35" s="175"/>
      <c r="Q35" s="175"/>
      <c r="R35" s="157"/>
      <c r="S35" s="156" t="s">
        <v>43</v>
      </c>
      <c r="T35" s="157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1" t="s">
        <v>41</v>
      </c>
      <c r="C36" s="163"/>
      <c r="D36" s="105">
        <v>1958002</v>
      </c>
      <c r="E36" s="174" t="s">
        <v>134</v>
      </c>
      <c r="F36" s="162"/>
      <c r="G36" s="162"/>
      <c r="H36" s="163"/>
      <c r="I36" s="49" t="s">
        <v>62</v>
      </c>
      <c r="J36" s="4"/>
      <c r="K36" s="161" t="s">
        <v>36</v>
      </c>
      <c r="L36" s="162"/>
      <c r="M36" s="163"/>
      <c r="N36" s="51" t="s">
        <v>131</v>
      </c>
      <c r="O36" s="129" t="s">
        <v>140</v>
      </c>
      <c r="P36" s="176"/>
      <c r="Q36" s="176"/>
      <c r="R36" s="177"/>
      <c r="S36" s="129" t="s">
        <v>138</v>
      </c>
      <c r="T36" s="130"/>
      <c r="AF36" s="1"/>
      <c r="AH36" s="35"/>
      <c r="AI36" s="35"/>
    </row>
    <row r="37" spans="2:35" s="5" customFormat="1" ht="21" customHeight="1" x14ac:dyDescent="0.25">
      <c r="B37" s="146" t="s">
        <v>37</v>
      </c>
      <c r="C37" s="134"/>
      <c r="D37" s="106">
        <v>1983006</v>
      </c>
      <c r="E37" s="132" t="s">
        <v>135</v>
      </c>
      <c r="F37" s="133"/>
      <c r="G37" s="133"/>
      <c r="H37" s="134"/>
      <c r="I37" s="47" t="s">
        <v>138</v>
      </c>
      <c r="J37" s="4"/>
      <c r="K37" s="146" t="s">
        <v>39</v>
      </c>
      <c r="L37" s="133"/>
      <c r="M37" s="134"/>
      <c r="N37" s="52">
        <v>1990018</v>
      </c>
      <c r="O37" s="140" t="s">
        <v>136</v>
      </c>
      <c r="P37" s="141"/>
      <c r="Q37" s="141"/>
      <c r="R37" s="142"/>
      <c r="S37" s="140" t="s">
        <v>62</v>
      </c>
      <c r="T37" s="143"/>
      <c r="AH37" s="35"/>
      <c r="AI37" s="35"/>
    </row>
    <row r="38" spans="2:35" s="5" customFormat="1" ht="18.95" customHeight="1" x14ac:dyDescent="0.25">
      <c r="B38" s="146" t="s">
        <v>37</v>
      </c>
      <c r="C38" s="134"/>
      <c r="D38" s="106">
        <v>1978008</v>
      </c>
      <c r="E38" s="132" t="s">
        <v>144</v>
      </c>
      <c r="F38" s="133"/>
      <c r="G38" s="133"/>
      <c r="H38" s="134"/>
      <c r="I38" s="47" t="s">
        <v>62</v>
      </c>
      <c r="J38" s="4"/>
      <c r="K38" s="146" t="s">
        <v>38</v>
      </c>
      <c r="L38" s="133"/>
      <c r="M38" s="134"/>
      <c r="N38" s="52">
        <v>1965002</v>
      </c>
      <c r="O38" s="140" t="s">
        <v>141</v>
      </c>
      <c r="P38" s="141"/>
      <c r="Q38" s="141"/>
      <c r="R38" s="142"/>
      <c r="S38" s="140" t="s">
        <v>62</v>
      </c>
      <c r="T38" s="143"/>
      <c r="V38" s="5" t="s">
        <v>55</v>
      </c>
      <c r="AH38" s="35"/>
      <c r="AI38" s="35"/>
    </row>
    <row r="39" spans="2:35" s="5" customFormat="1" ht="21" customHeight="1" x14ac:dyDescent="0.25">
      <c r="B39" s="146" t="s">
        <v>37</v>
      </c>
      <c r="C39" s="134"/>
      <c r="D39" s="106">
        <v>1957002</v>
      </c>
      <c r="E39" s="132" t="s">
        <v>142</v>
      </c>
      <c r="F39" s="133"/>
      <c r="G39" s="133"/>
      <c r="H39" s="134"/>
      <c r="I39" s="47" t="s">
        <v>137</v>
      </c>
      <c r="J39" s="4"/>
      <c r="K39" s="146" t="s">
        <v>35</v>
      </c>
      <c r="L39" s="133"/>
      <c r="M39" s="134"/>
      <c r="N39" s="52"/>
      <c r="O39" s="140"/>
      <c r="P39" s="141"/>
      <c r="Q39" s="141"/>
      <c r="R39" s="142"/>
      <c r="S39" s="140"/>
      <c r="T39" s="143"/>
      <c r="AD39" s="5" t="s">
        <v>13</v>
      </c>
      <c r="AH39" s="35"/>
      <c r="AI39" s="35"/>
    </row>
    <row r="40" spans="2:35" s="5" customFormat="1" ht="20.100000000000001" customHeight="1" x14ac:dyDescent="0.25">
      <c r="B40" s="146" t="s">
        <v>37</v>
      </c>
      <c r="C40" s="134"/>
      <c r="D40" s="106"/>
      <c r="E40" s="132"/>
      <c r="F40" s="133"/>
      <c r="G40" s="133"/>
      <c r="H40" s="134"/>
      <c r="I40" s="47"/>
      <c r="J40" s="4"/>
      <c r="K40" s="146" t="s">
        <v>35</v>
      </c>
      <c r="L40" s="133"/>
      <c r="M40" s="134"/>
      <c r="N40" s="52"/>
      <c r="O40" s="140"/>
      <c r="P40" s="141"/>
      <c r="Q40" s="141"/>
      <c r="R40" s="142"/>
      <c r="S40" s="140"/>
      <c r="T40" s="143"/>
      <c r="AH40" s="35"/>
      <c r="AI40" s="35"/>
    </row>
    <row r="41" spans="2:35" ht="18.95" customHeight="1" x14ac:dyDescent="0.2">
      <c r="B41" s="146" t="s">
        <v>37</v>
      </c>
      <c r="C41" s="134"/>
      <c r="D41" s="106"/>
      <c r="E41" s="132"/>
      <c r="F41" s="133"/>
      <c r="G41" s="133"/>
      <c r="H41" s="134"/>
      <c r="I41" s="47"/>
      <c r="J41" s="3"/>
      <c r="K41" s="146" t="s">
        <v>35</v>
      </c>
      <c r="L41" s="133"/>
      <c r="M41" s="134"/>
      <c r="N41" s="52"/>
      <c r="O41" s="140"/>
      <c r="P41" s="141"/>
      <c r="Q41" s="141"/>
      <c r="R41" s="142"/>
      <c r="S41" s="140"/>
      <c r="T41" s="143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6" t="s">
        <v>40</v>
      </c>
      <c r="C42" s="134"/>
      <c r="D42" s="106">
        <v>1954001</v>
      </c>
      <c r="E42" s="132" t="s">
        <v>139</v>
      </c>
      <c r="F42" s="133"/>
      <c r="G42" s="133"/>
      <c r="H42" s="134"/>
      <c r="I42" s="47" t="s">
        <v>62</v>
      </c>
      <c r="J42" s="3"/>
      <c r="K42" s="146" t="s">
        <v>56</v>
      </c>
      <c r="L42" s="133"/>
      <c r="M42" s="134"/>
      <c r="N42" s="52">
        <v>1954001</v>
      </c>
      <c r="O42" s="140" t="s">
        <v>139</v>
      </c>
      <c r="P42" s="141"/>
      <c r="Q42" s="141"/>
      <c r="R42" s="142"/>
      <c r="S42" s="140" t="s">
        <v>62</v>
      </c>
      <c r="T42" s="143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38"/>
      <c r="C43" s="137"/>
      <c r="D43" s="107"/>
      <c r="E43" s="135"/>
      <c r="F43" s="136"/>
      <c r="G43" s="136"/>
      <c r="H43" s="137"/>
      <c r="I43" s="48"/>
      <c r="J43" s="3"/>
      <c r="K43" s="138"/>
      <c r="L43" s="136"/>
      <c r="M43" s="137"/>
      <c r="N43" s="53"/>
      <c r="O43" s="152"/>
      <c r="P43" s="153"/>
      <c r="Q43" s="153"/>
      <c r="R43" s="154"/>
      <c r="S43" s="152"/>
      <c r="T43" s="155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45"/>
      <c r="C44" s="145"/>
      <c r="D44" s="144"/>
      <c r="E44" s="144"/>
      <c r="F44" s="56"/>
      <c r="G44" s="144"/>
      <c r="H44" s="144"/>
      <c r="I44" s="144"/>
      <c r="J44" s="3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49" t="s">
        <v>42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1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38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9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31"/>
      <c r="F50" s="131"/>
      <c r="G50" s="131"/>
    </row>
  </sheetData>
  <mergeCells count="102"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</mergeCells>
  <phoneticPr fontId="20" type="noConversion"/>
  <conditionalFormatting sqref="K27">
    <cfRule type="cellIs" dxfId="29" priority="25" stopIfTrue="1" operator="between">
      <formula>1</formula>
      <formula>300</formula>
    </cfRule>
    <cfRule type="cellIs" dxfId="28" priority="26" stopIfTrue="1" operator="lessThanOrEqual">
      <formula>0</formula>
    </cfRule>
  </conditionalFormatting>
  <conditionalFormatting sqref="K29">
    <cfRule type="cellIs" dxfId="27" priority="23" stopIfTrue="1" operator="between">
      <formula>1</formula>
      <formula>300</formula>
    </cfRule>
    <cfRule type="cellIs" dxfId="26" priority="24" stopIfTrue="1" operator="lessThanOrEqual">
      <formula>0</formula>
    </cfRule>
  </conditionalFormatting>
  <conditionalFormatting sqref="K31">
    <cfRule type="cellIs" dxfId="25" priority="21" stopIfTrue="1" operator="between">
      <formula>1</formula>
      <formula>300</formula>
    </cfRule>
    <cfRule type="cellIs" dxfId="24" priority="22" stopIfTrue="1" operator="lessThanOrEqual">
      <formula>0</formula>
    </cfRule>
  </conditionalFormatting>
  <conditionalFormatting sqref="K9:P9">
    <cfRule type="cellIs" dxfId="23" priority="15" stopIfTrue="1" operator="between">
      <formula>1</formula>
      <formula>300</formula>
    </cfRule>
    <cfRule type="cellIs" dxfId="22" priority="16" stopIfTrue="1" operator="lessThanOrEqual">
      <formula>0</formula>
    </cfRule>
  </conditionalFormatting>
  <conditionalFormatting sqref="K11:P11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conditionalFormatting sqref="K13:P13">
    <cfRule type="cellIs" dxfId="19" priority="9" stopIfTrue="1" operator="between">
      <formula>1</formula>
      <formula>300</formula>
    </cfRule>
    <cfRule type="cellIs" dxfId="18" priority="10" stopIfTrue="1" operator="lessThanOrEqual">
      <formula>0</formula>
    </cfRule>
  </conditionalFormatting>
  <conditionalFormatting sqref="K15:P15">
    <cfRule type="cellIs" dxfId="17" priority="11" stopIfTrue="1" operator="between">
      <formula>1</formula>
      <formula>300</formula>
    </cfRule>
    <cfRule type="cellIs" dxfId="16" priority="12" stopIfTrue="1" operator="lessThanOrEqual">
      <formula>0</formula>
    </cfRule>
  </conditionalFormatting>
  <conditionalFormatting sqref="K17:P17">
    <cfRule type="cellIs" dxfId="15" priority="17" stopIfTrue="1" operator="between">
      <formula>1</formula>
      <formula>300</formula>
    </cfRule>
    <cfRule type="cellIs" dxfId="14" priority="18" stopIfTrue="1" operator="lessThanOrEqual">
      <formula>0</formula>
    </cfRule>
  </conditionalFormatting>
  <conditionalFormatting sqref="K19:P19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K21:P21">
    <cfRule type="cellIs" dxfId="11" priority="5" stopIfTrue="1" operator="between">
      <formula>1</formula>
      <formula>300</formula>
    </cfRule>
    <cfRule type="cellIs" dxfId="10" priority="6" stopIfTrue="1" operator="lessThanOrEqual">
      <formula>0</formula>
    </cfRule>
  </conditionalFormatting>
  <conditionalFormatting sqref="K23:P23">
    <cfRule type="cellIs" dxfId="9" priority="7" stopIfTrue="1" operator="between">
      <formula>1</formula>
      <formula>300</formula>
    </cfRule>
    <cfRule type="cellIs" dxfId="8" priority="8" stopIfTrue="1" operator="lessThanOrEqual">
      <formula>0</formula>
    </cfRule>
  </conditionalFormatting>
  <conditionalFormatting sqref="K25:P25">
    <cfRule type="cellIs" dxfId="7" priority="19" stopIfTrue="1" operator="between">
      <formula>1</formula>
      <formula>300</formula>
    </cfRule>
    <cfRule type="cellIs" dxfId="6" priority="20" stopIfTrue="1" operator="lessThanOrEqual">
      <formula>0</formula>
    </cfRule>
  </conditionalFormatting>
  <conditionalFormatting sqref="L27:N27">
    <cfRule type="cellIs" dxfId="5" priority="31" stopIfTrue="1" operator="between">
      <formula>1</formula>
      <formula>300</formula>
    </cfRule>
    <cfRule type="cellIs" dxfId="4" priority="32" stopIfTrue="1" operator="lessThanOrEqual">
      <formula>0</formula>
    </cfRule>
  </conditionalFormatting>
  <conditionalFormatting sqref="L29:N29">
    <cfRule type="cellIs" dxfId="3" priority="29" stopIfTrue="1" operator="between">
      <formula>1</formula>
      <formula>300</formula>
    </cfRule>
    <cfRule type="cellIs" dxfId="2" priority="30" stopIfTrue="1" operator="lessThanOrEqual">
      <formula>0</formula>
    </cfRule>
  </conditionalFormatting>
  <conditionalFormatting sqref="L31:N31">
    <cfRule type="cellIs" dxfId="1" priority="27" stopIfTrue="1" operator="between">
      <formula>1</formula>
      <formula>300</formula>
    </cfRule>
    <cfRule type="cellIs" dxfId="0" priority="28" stopIfTrue="1" operator="lessThanOrEqual">
      <formula>0</formula>
    </cfRule>
  </conditionalFormatting>
  <dataValidations count="5">
    <dataValidation type="list" allowBlank="1" showInputMessage="1" showErrorMessage="1" sqref="F9:F31" xr:uid="{5F12C11D-709B-7548-BB60-594B20FE1371}">
      <formula1>"11-12,13-14,15-16,17-18,19-23,24-34,+35"</formula1>
    </dataValidation>
    <dataValidation type="list" allowBlank="1" showInputMessage="1" showErrorMessage="1" sqref="E9:E31" xr:uid="{596E6160-8C79-F74E-BDE1-B98A53D488BB}">
      <formula1>"UM,JM,SM,UK,JK,SK,M35,M40,M45,M50,M55,M60,M65,M70,M75,M80,M85,M90,K35,K40,K45,K50,K55,K60,K65,K70,K75,K80,K85,K90"</formula1>
    </dataValidation>
    <dataValidation type="list" allowBlank="1" showInputMessage="1" showErrorMessage="1" sqref="C9:C31" xr:uid="{5FF163C0-1D38-5C47-9361-E057EAAE7576}">
      <formula1>"40,45,49,55,59,64,71,76,81,+81,87,+87,49,55,61,67,73,81,89,96,102,+102,109,+109"</formula1>
    </dataValidation>
    <dataValidation type="list" allowBlank="1" showInputMessage="1" showErrorMessage="1" sqref="D5:I5" xr:uid="{CFC31843-1C0C-8343-BFEB-6C722E0C32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2E2A7A64-FBCF-E642-BD6D-8BED71B54BE1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60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EA5C-787D-4F4A-99CF-C36B1C79ADBC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40625" defaultRowHeight="12.75" x14ac:dyDescent="0.2"/>
  <cols>
    <col min="1" max="1" width="11.28515625" customWidth="1"/>
    <col min="2" max="2" width="11.7109375" style="23" customWidth="1"/>
    <col min="3" max="3" width="12.28515625" bestFit="1" customWidth="1"/>
  </cols>
  <sheetData>
    <row r="1" spans="1:3" x14ac:dyDescent="0.2">
      <c r="A1" s="179" t="s">
        <v>24</v>
      </c>
      <c r="B1" s="179"/>
      <c r="C1" s="179"/>
    </row>
    <row r="2" spans="1:3" x14ac:dyDescent="0.2">
      <c r="A2" s="28" t="s">
        <v>22</v>
      </c>
      <c r="B2" s="27" t="s">
        <v>25</v>
      </c>
      <c r="C2" t="s">
        <v>26</v>
      </c>
    </row>
    <row r="3" spans="1:3" x14ac:dyDescent="0.2">
      <c r="A3" s="29">
        <v>30</v>
      </c>
      <c r="B3" s="27">
        <v>1</v>
      </c>
      <c r="C3" s="28">
        <v>1</v>
      </c>
    </row>
    <row r="4" spans="1:3" x14ac:dyDescent="0.2">
      <c r="A4" s="29">
        <v>31</v>
      </c>
      <c r="B4" s="27">
        <v>1.016</v>
      </c>
      <c r="C4" s="27">
        <v>1.016</v>
      </c>
    </row>
    <row r="5" spans="1:3" x14ac:dyDescent="0.2">
      <c r="A5" s="29">
        <v>32</v>
      </c>
      <c r="B5" s="27">
        <v>1.0309999999999999</v>
      </c>
      <c r="C5" s="27">
        <v>1.0169999999999999</v>
      </c>
    </row>
    <row r="6" spans="1:3" x14ac:dyDescent="0.2">
      <c r="A6" s="29">
        <v>33</v>
      </c>
      <c r="B6" s="27">
        <v>1.046</v>
      </c>
      <c r="C6" s="27">
        <v>1.046</v>
      </c>
    </row>
    <row r="7" spans="1:3" x14ac:dyDescent="0.2">
      <c r="A7" s="29">
        <v>34</v>
      </c>
      <c r="B7" s="27">
        <v>1.0589999999999999</v>
      </c>
      <c r="C7" s="27">
        <v>1.0589999999999999</v>
      </c>
    </row>
    <row r="8" spans="1:3" x14ac:dyDescent="0.2">
      <c r="A8" s="29">
        <v>35</v>
      </c>
      <c r="B8" s="27">
        <v>1.0720000000000001</v>
      </c>
      <c r="C8" s="27">
        <v>1.0720000000000001</v>
      </c>
    </row>
    <row r="9" spans="1:3" x14ac:dyDescent="0.2">
      <c r="A9" s="29">
        <v>36</v>
      </c>
      <c r="B9" s="27">
        <v>1.083</v>
      </c>
      <c r="C9" s="27">
        <v>1.0840000000000001</v>
      </c>
    </row>
    <row r="10" spans="1:3" x14ac:dyDescent="0.2">
      <c r="A10" s="29">
        <v>37</v>
      </c>
      <c r="B10" s="27">
        <v>1.0960000000000001</v>
      </c>
      <c r="C10" s="27">
        <v>1.097</v>
      </c>
    </row>
    <row r="11" spans="1:3" x14ac:dyDescent="0.2">
      <c r="A11" s="29">
        <v>38</v>
      </c>
      <c r="B11" s="27">
        <v>1.109</v>
      </c>
      <c r="C11" s="27">
        <v>1.1100000000000001</v>
      </c>
    </row>
    <row r="12" spans="1:3" x14ac:dyDescent="0.2">
      <c r="A12" s="29">
        <v>39</v>
      </c>
      <c r="B12" s="27">
        <v>1.1220000000000001</v>
      </c>
      <c r="C12" s="27">
        <v>1.1240000000000001</v>
      </c>
    </row>
    <row r="13" spans="1:3" x14ac:dyDescent="0.2">
      <c r="A13" s="29">
        <v>40</v>
      </c>
      <c r="B13" s="27">
        <v>1.135</v>
      </c>
      <c r="C13" s="27">
        <v>1.1379999999999999</v>
      </c>
    </row>
    <row r="14" spans="1:3" x14ac:dyDescent="0.2">
      <c r="A14" s="29">
        <v>41</v>
      </c>
      <c r="B14" s="27">
        <v>1.149</v>
      </c>
      <c r="C14" s="27">
        <v>1.153</v>
      </c>
    </row>
    <row r="15" spans="1:3" x14ac:dyDescent="0.2">
      <c r="A15" s="29">
        <v>42</v>
      </c>
      <c r="B15" s="27">
        <v>1.1619999999999999</v>
      </c>
      <c r="C15" s="27">
        <v>1.17</v>
      </c>
    </row>
    <row r="16" spans="1:3" x14ac:dyDescent="0.2">
      <c r="A16" s="29">
        <v>43</v>
      </c>
      <c r="B16" s="27">
        <v>1.1759999999999999</v>
      </c>
      <c r="C16" s="27">
        <v>1.1870000000000001</v>
      </c>
    </row>
    <row r="17" spans="1:3" x14ac:dyDescent="0.2">
      <c r="A17" s="29">
        <v>44</v>
      </c>
      <c r="B17" s="27">
        <v>1.1890000000000001</v>
      </c>
      <c r="C17" s="27">
        <v>1.2050000000000001</v>
      </c>
    </row>
    <row r="18" spans="1:3" x14ac:dyDescent="0.2">
      <c r="A18" s="29">
        <v>45</v>
      </c>
      <c r="B18" s="27">
        <v>1.2030000000000001</v>
      </c>
      <c r="C18" s="27">
        <v>1.2230000000000001</v>
      </c>
    </row>
    <row r="19" spans="1:3" x14ac:dyDescent="0.2">
      <c r="A19" s="29">
        <v>46</v>
      </c>
      <c r="B19" s="27">
        <v>1.218</v>
      </c>
      <c r="C19" s="27">
        <v>1.244</v>
      </c>
    </row>
    <row r="20" spans="1:3" x14ac:dyDescent="0.2">
      <c r="A20" s="29">
        <v>47</v>
      </c>
      <c r="B20" s="27">
        <v>1.2330000000000001</v>
      </c>
      <c r="C20" s="27">
        <v>1.2649999999999999</v>
      </c>
    </row>
    <row r="21" spans="1:3" x14ac:dyDescent="0.2">
      <c r="A21" s="29">
        <v>48</v>
      </c>
      <c r="B21" s="27">
        <v>1.248</v>
      </c>
      <c r="C21" s="27">
        <v>1.288</v>
      </c>
    </row>
    <row r="22" spans="1:3" x14ac:dyDescent="0.2">
      <c r="A22" s="29">
        <v>49</v>
      </c>
      <c r="B22" s="27">
        <v>1.2629999999999999</v>
      </c>
      <c r="C22" s="27">
        <v>1.3129999999999999</v>
      </c>
    </row>
    <row r="23" spans="1:3" x14ac:dyDescent="0.2">
      <c r="A23" s="29">
        <v>50</v>
      </c>
      <c r="B23" s="27">
        <v>1.2789999999999999</v>
      </c>
      <c r="C23" s="27">
        <v>1.34</v>
      </c>
    </row>
    <row r="24" spans="1:3" x14ac:dyDescent="0.2">
      <c r="A24" s="29">
        <v>51</v>
      </c>
      <c r="B24" s="27">
        <v>1.2969999999999999</v>
      </c>
      <c r="C24" s="27">
        <v>1.369</v>
      </c>
    </row>
    <row r="25" spans="1:3" x14ac:dyDescent="0.2">
      <c r="A25" s="29">
        <v>52</v>
      </c>
      <c r="B25" s="27">
        <v>1.3160000000000001</v>
      </c>
      <c r="C25" s="27">
        <v>1.401</v>
      </c>
    </row>
    <row r="26" spans="1:3" x14ac:dyDescent="0.2">
      <c r="A26" s="29">
        <v>53</v>
      </c>
      <c r="B26" s="27">
        <v>1.3380000000000001</v>
      </c>
      <c r="C26" s="27">
        <v>1.4350000000000001</v>
      </c>
    </row>
    <row r="27" spans="1:3" x14ac:dyDescent="0.2">
      <c r="A27" s="29">
        <v>54</v>
      </c>
      <c r="B27" s="27">
        <v>1.361</v>
      </c>
      <c r="C27" s="27">
        <v>1.47</v>
      </c>
    </row>
    <row r="28" spans="1:3" x14ac:dyDescent="0.2">
      <c r="A28" s="29">
        <v>55</v>
      </c>
      <c r="B28" s="27">
        <v>1.385</v>
      </c>
      <c r="C28" s="27">
        <v>1.5069999999999999</v>
      </c>
    </row>
    <row r="29" spans="1:3" ht="14.25" x14ac:dyDescent="0.2">
      <c r="A29" s="29">
        <v>56</v>
      </c>
      <c r="B29" s="27">
        <v>1.411</v>
      </c>
      <c r="C29" s="31">
        <v>1.5449999999999999</v>
      </c>
    </row>
    <row r="30" spans="1:3" ht="14.25" x14ac:dyDescent="0.2">
      <c r="A30" s="29">
        <v>57</v>
      </c>
      <c r="B30" s="27">
        <v>1.4370000000000001</v>
      </c>
      <c r="C30" s="30">
        <v>1.585</v>
      </c>
    </row>
    <row r="31" spans="1:3" ht="14.25" x14ac:dyDescent="0.2">
      <c r="A31" s="29">
        <v>58</v>
      </c>
      <c r="B31" s="27">
        <v>1.462</v>
      </c>
      <c r="C31" s="31">
        <v>1.625</v>
      </c>
    </row>
    <row r="32" spans="1:3" ht="14.25" x14ac:dyDescent="0.2">
      <c r="A32" s="29">
        <v>59</v>
      </c>
      <c r="B32" s="27">
        <v>1.488</v>
      </c>
      <c r="C32" s="30">
        <v>1.665</v>
      </c>
    </row>
    <row r="33" spans="1:3" ht="14.25" x14ac:dyDescent="0.2">
      <c r="A33" s="29">
        <v>60</v>
      </c>
      <c r="B33" s="27">
        <v>1.514</v>
      </c>
      <c r="C33" s="31">
        <v>1.7050000000000001</v>
      </c>
    </row>
    <row r="34" spans="1:3" ht="14.25" x14ac:dyDescent="0.2">
      <c r="A34" s="29">
        <v>61</v>
      </c>
      <c r="B34" s="27">
        <v>1.5409999999999999</v>
      </c>
      <c r="C34" s="30">
        <v>1.744</v>
      </c>
    </row>
    <row r="35" spans="1:3" ht="14.25" x14ac:dyDescent="0.2">
      <c r="A35" s="29">
        <v>62</v>
      </c>
      <c r="B35" s="27">
        <v>1.5680000000000001</v>
      </c>
      <c r="C35" s="31">
        <v>1.778</v>
      </c>
    </row>
    <row r="36" spans="1:3" ht="14.25" x14ac:dyDescent="0.2">
      <c r="A36" s="29">
        <v>63</v>
      </c>
      <c r="B36" s="27">
        <v>1.5980000000000001</v>
      </c>
      <c r="C36" s="30">
        <v>1.8080000000000001</v>
      </c>
    </row>
    <row r="37" spans="1:3" ht="14.25" x14ac:dyDescent="0.2">
      <c r="A37" s="29">
        <v>64</v>
      </c>
      <c r="B37" s="27">
        <v>1.629</v>
      </c>
      <c r="C37" s="31">
        <v>1.839</v>
      </c>
    </row>
    <row r="38" spans="1:3" ht="14.25" x14ac:dyDescent="0.2">
      <c r="A38" s="29">
        <v>65</v>
      </c>
      <c r="B38" s="27">
        <v>1.663</v>
      </c>
      <c r="C38" s="30">
        <v>1.873</v>
      </c>
    </row>
    <row r="39" spans="1:3" ht="14.25" x14ac:dyDescent="0.2">
      <c r="A39" s="29">
        <v>66</v>
      </c>
      <c r="B39" s="27">
        <v>1.6990000000000001</v>
      </c>
      <c r="C39" s="31">
        <v>1.909</v>
      </c>
    </row>
    <row r="40" spans="1:3" ht="14.25" x14ac:dyDescent="0.2">
      <c r="A40" s="29">
        <v>67</v>
      </c>
      <c r="B40" s="27">
        <v>1.738</v>
      </c>
      <c r="C40" s="30">
        <v>1.948</v>
      </c>
    </row>
    <row r="41" spans="1:3" ht="14.25" x14ac:dyDescent="0.2">
      <c r="A41" s="29">
        <v>68</v>
      </c>
      <c r="B41" s="27">
        <v>1.7789999999999999</v>
      </c>
      <c r="C41" s="31">
        <v>1.9890000000000001</v>
      </c>
    </row>
    <row r="42" spans="1:3" ht="14.25" x14ac:dyDescent="0.2">
      <c r="A42" s="29">
        <v>69</v>
      </c>
      <c r="B42" s="27">
        <v>1.823</v>
      </c>
      <c r="C42" s="30">
        <v>2.0329999999999999</v>
      </c>
    </row>
    <row r="43" spans="1:3" ht="14.25" x14ac:dyDescent="0.2">
      <c r="A43" s="29">
        <v>70</v>
      </c>
      <c r="B43" s="27">
        <v>1.867</v>
      </c>
      <c r="C43" s="31">
        <v>2.077</v>
      </c>
    </row>
    <row r="44" spans="1:3" ht="14.25" x14ac:dyDescent="0.2">
      <c r="A44" s="29">
        <v>71</v>
      </c>
      <c r="B44" s="27">
        <v>1.91</v>
      </c>
      <c r="C44" s="30">
        <v>2.12</v>
      </c>
    </row>
    <row r="45" spans="1:3" ht="14.25" x14ac:dyDescent="0.2">
      <c r="A45" s="29">
        <v>72</v>
      </c>
      <c r="B45" s="27">
        <v>1.9530000000000001</v>
      </c>
      <c r="C45" s="31">
        <v>2.1629999999999998</v>
      </c>
    </row>
    <row r="46" spans="1:3" ht="14.25" x14ac:dyDescent="0.2">
      <c r="A46" s="29">
        <v>73</v>
      </c>
      <c r="B46" s="27">
        <v>2.004</v>
      </c>
      <c r="C46" s="30">
        <v>2.214</v>
      </c>
    </row>
    <row r="47" spans="1:3" ht="14.25" x14ac:dyDescent="0.2">
      <c r="A47" s="29">
        <v>74</v>
      </c>
      <c r="B47" s="27">
        <v>2.06</v>
      </c>
      <c r="C47" s="31">
        <v>2.27</v>
      </c>
    </row>
    <row r="48" spans="1:3" ht="14.25" x14ac:dyDescent="0.2">
      <c r="A48" s="29">
        <v>75</v>
      </c>
      <c r="B48" s="27">
        <v>2.117</v>
      </c>
      <c r="C48" s="30">
        <v>2.327</v>
      </c>
    </row>
    <row r="49" spans="1:3" ht="14.25" x14ac:dyDescent="0.2">
      <c r="A49" s="29">
        <v>76</v>
      </c>
      <c r="B49" s="27">
        <v>2.181</v>
      </c>
      <c r="C49" s="31">
        <v>2.391</v>
      </c>
    </row>
    <row r="50" spans="1:3" ht="14.25" x14ac:dyDescent="0.2">
      <c r="A50" s="29">
        <v>77</v>
      </c>
      <c r="B50" s="27">
        <v>2.2549999999999999</v>
      </c>
      <c r="C50" s="30">
        <v>2.4649999999999999</v>
      </c>
    </row>
    <row r="51" spans="1:3" ht="14.25" x14ac:dyDescent="0.2">
      <c r="A51" s="29">
        <v>78</v>
      </c>
      <c r="B51" s="27">
        <v>2.3359999999999999</v>
      </c>
      <c r="C51" s="31">
        <v>2.5459999999999998</v>
      </c>
    </row>
    <row r="52" spans="1:3" ht="14.25" x14ac:dyDescent="0.2">
      <c r="A52" s="29">
        <v>79</v>
      </c>
      <c r="B52" s="27">
        <v>2.419</v>
      </c>
      <c r="C52" s="30">
        <v>2.629</v>
      </c>
    </row>
    <row r="53" spans="1:3" ht="14.25" x14ac:dyDescent="0.2">
      <c r="A53" s="29">
        <v>80</v>
      </c>
      <c r="B53" s="27">
        <v>2.504</v>
      </c>
      <c r="C53" s="31">
        <v>2.714</v>
      </c>
    </row>
    <row r="54" spans="1:3" ht="14.25" x14ac:dyDescent="0.2">
      <c r="A54" s="29">
        <v>81</v>
      </c>
      <c r="B54" s="27">
        <v>2.597</v>
      </c>
      <c r="C54" s="32"/>
    </row>
    <row r="55" spans="1:3" ht="14.25" x14ac:dyDescent="0.2">
      <c r="A55" s="29">
        <v>82</v>
      </c>
      <c r="B55" s="27">
        <v>2.702</v>
      </c>
      <c r="C55" s="32"/>
    </row>
    <row r="56" spans="1:3" ht="14.25" x14ac:dyDescent="0.2">
      <c r="A56" s="29">
        <v>83</v>
      </c>
      <c r="B56" s="27">
        <v>2.831</v>
      </c>
      <c r="C56" s="32"/>
    </row>
    <row r="57" spans="1:3" ht="14.25" x14ac:dyDescent="0.2">
      <c r="A57" s="29">
        <v>84</v>
      </c>
      <c r="B57" s="27">
        <v>2.9809999999999999</v>
      </c>
      <c r="C57" s="32"/>
    </row>
    <row r="58" spans="1:3" ht="14.25" x14ac:dyDescent="0.2">
      <c r="A58" s="29">
        <v>85</v>
      </c>
      <c r="B58" s="27">
        <v>3.153</v>
      </c>
      <c r="C58" s="32"/>
    </row>
    <row r="59" spans="1:3" ht="14.25" x14ac:dyDescent="0.2">
      <c r="A59" s="29">
        <v>86</v>
      </c>
      <c r="B59" s="27">
        <v>3.3519999999999999</v>
      </c>
      <c r="C59" s="32"/>
    </row>
    <row r="60" spans="1:3" ht="14.25" x14ac:dyDescent="0.2">
      <c r="A60" s="29">
        <v>87</v>
      </c>
      <c r="B60" s="27">
        <v>3.58</v>
      </c>
      <c r="C60" s="32"/>
    </row>
    <row r="61" spans="1:3" ht="14.25" x14ac:dyDescent="0.2">
      <c r="A61" s="29">
        <v>88</v>
      </c>
      <c r="B61" s="27">
        <v>3.8420000000000001</v>
      </c>
      <c r="C61" s="32"/>
    </row>
    <row r="62" spans="1:3" ht="14.25" x14ac:dyDescent="0.2">
      <c r="A62" s="29">
        <v>89</v>
      </c>
      <c r="B62" s="27">
        <v>4.1449999999999996</v>
      </c>
      <c r="C62" s="32"/>
    </row>
    <row r="63" spans="1:3" ht="14.25" x14ac:dyDescent="0.2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Pulje 1</vt:lpstr>
      <vt:lpstr>Pulje 2</vt:lpstr>
      <vt:lpstr>Ark1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Vektløfting Vigrestad-ik</cp:lastModifiedBy>
  <cp:lastPrinted>2023-06-10T06:02:55Z</cp:lastPrinted>
  <dcterms:created xsi:type="dcterms:W3CDTF">2001-08-31T20:44:44Z</dcterms:created>
  <dcterms:modified xsi:type="dcterms:W3CDTF">2023-06-10T17:43:57Z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