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2120" windowHeight="8376" firstSheet="12" activeTab="15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Resultat NM Senior" sheetId="15" r:id="rId15"/>
    <sheet name="Resultat NM Senior (2)" sheetId="16" r:id="rId16"/>
    <sheet name="Resultat NM Veteraner" sheetId="17" r:id="rId17"/>
    <sheet name="Resultat NM Veteraner (2)" sheetId="18" r:id="rId18"/>
    <sheet name="Resultat Kongepokal" sheetId="19" r:id="rId19"/>
    <sheet name="Ranking ranking Veteraner" sheetId="20" r:id="rId20"/>
    <sheet name="Meltzer-Malone" sheetId="21" state="hidden" r:id="rId21"/>
  </sheets>
  <definedNames>
    <definedName name="_xlnm.Print_Area" localSheetId="0">'P1'!$A$1:$T$39</definedName>
    <definedName name="_xlnm.Print_Area" localSheetId="9">'P10'!$A$1:$T$39</definedName>
    <definedName name="_xlnm.Print_Area" localSheetId="10">'P11'!$A$1:$T$39</definedName>
    <definedName name="_xlnm.Print_Area" localSheetId="11">'P12'!$A$1:$T$39</definedName>
    <definedName name="_xlnm.Print_Area" localSheetId="12">'P13'!$A$1:$T$39</definedName>
    <definedName name="_xlnm.Print_Area" localSheetId="13">'P14'!$A$1:$T$39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Area" localSheetId="19">'Ranking ranking Veteraner'!$A:$K</definedName>
    <definedName name="_xlnm.Print_Area" localSheetId="14">'Resultat NM Senior'!$A$1:$K$144</definedName>
    <definedName name="_xlnm.Print_Area" localSheetId="15">'Resultat NM Senior (2)'!$A$1:$J$139</definedName>
    <definedName name="_xlnm.Print_Area" localSheetId="16">'Resultat NM Veteraner'!$A$1:$K$116</definedName>
    <definedName name="_xlnm.Print_Area" localSheetId="17">'Resultat NM Veteraner (2)'!$A$1:$K$116</definedName>
    <definedName name="_xlnm.Print_Titles" localSheetId="19">'Ranking ranking Veteraner'!$1:$2</definedName>
    <definedName name="_xlnm.Print_Titles" localSheetId="18">'Resultat Kongepokal'!$1:$2</definedName>
    <definedName name="_xlnm.Print_Titles" localSheetId="14">'Resultat NM Senior'!$1:$2</definedName>
    <definedName name="_xlnm.Print_Titles" localSheetId="16">'Resultat NM Veteraner'!$1:$2</definedName>
    <definedName name="_xlnm.Print_Titles" localSheetId="17">'Resultat NM Veteraner (2)'!$1:$2</definedName>
  </definedNames>
  <calcPr fullCalcOnLoad="1"/>
</workbook>
</file>

<file path=xl/comments1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30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2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2"/>
          </rPr>
          <t>Automatisk, ikke skriv I dette feltet</t>
        </r>
      </text>
    </comment>
    <comment ref="U7" authorId="1">
      <text>
        <r>
          <rPr>
            <b/>
            <sz val="8"/>
            <rFont val="Tahoma"/>
            <family val="2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2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2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2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2"/>
          </rPr>
          <t>Navn, klubb, dommer grad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<sst xmlns="http://schemas.openxmlformats.org/spreadsheetml/2006/main" count="1472" uniqueCount="308">
  <si>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</si>
  <si>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</si>
  <si>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</si>
  <si>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</si>
  <si>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</si>
  <si>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</si>
  <si>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</si>
  <si>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</si>
  <si>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</si>
  <si>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</si>
  <si>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</si>
  <si>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</si>
  <si>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</si>
  <si>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</si>
  <si>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</si>
  <si>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</si>
  <si>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</si>
  <si>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</si>
  <si>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</si>
  <si>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</si>
  <si>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</si>
  <si>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</si>
  <si>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</si>
  <si>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</si>
  <si>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</si>
  <si>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</si>
  <si>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</si>
  <si>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</si>
  <si>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</si>
  <si>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</si>
  <si>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</si>
  <si>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</si>
  <si>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</si>
  <si>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</si>
  <si>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</si>
  <si>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</si>
  <si>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</si>
  <si>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</si>
  <si>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</si>
  <si>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</si>
  <si>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</si>
  <si>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</si>
  <si>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</si>
  <si>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Resultat NM Veteraner</t>
  </si>
  <si>
    <t>Resultat ranking Veteraner</t>
  </si>
  <si>
    <t>S t e v n e p r o t o k o l l</t>
  </si>
  <si>
    <t>Norges Vektløfterforbund</t>
  </si>
  <si>
    <t>NM Senior og Veteran</t>
  </si>
  <si>
    <t>Veteran</t>
  </si>
  <si>
    <t>Ny Sinclair tablell benyttes fra 1.1.2013</t>
  </si>
  <si>
    <t>Spydeberg Atletene</t>
  </si>
  <si>
    <t>Spydeberghallen</t>
  </si>
  <si>
    <t>Arne H. Pedersen, AK Bjørgvn</t>
  </si>
  <si>
    <t>M5</t>
  </si>
  <si>
    <t>Tormod Andersen</t>
  </si>
  <si>
    <t>Lenja AK</t>
  </si>
  <si>
    <t>Ketil Johnsen</t>
  </si>
  <si>
    <t>Trondheim AK</t>
  </si>
  <si>
    <t>Vidar Sæland</t>
  </si>
  <si>
    <t>Vigrestad IK</t>
  </si>
  <si>
    <t>Trond Kvilhaug</t>
  </si>
  <si>
    <t>Nidelv IL</t>
  </si>
  <si>
    <t>Rune Johansen</t>
  </si>
  <si>
    <t>Oslo AK</t>
  </si>
  <si>
    <t>Stavanger VK</t>
  </si>
  <si>
    <t>M6</t>
  </si>
  <si>
    <t>Egon Vee Haugen</t>
  </si>
  <si>
    <t>Grenland AK</t>
  </si>
  <si>
    <t>Jan Egil Trøan</t>
  </si>
  <si>
    <t>Terje Grimstad</t>
  </si>
  <si>
    <t>Larvik AK</t>
  </si>
  <si>
    <t>Johan Thonerud</t>
  </si>
  <si>
    <t>Rune Pettersen</t>
  </si>
  <si>
    <t>M7</t>
  </si>
  <si>
    <t>Richard Bergmann</t>
  </si>
  <si>
    <t>William Wågan</t>
  </si>
  <si>
    <t>Namsos VK</t>
  </si>
  <si>
    <t>Jostein Myrvang</t>
  </si>
  <si>
    <t>M8</t>
  </si>
  <si>
    <t>Leif Hepsø</t>
  </si>
  <si>
    <t>Eskil Lian</t>
  </si>
  <si>
    <t>Øistein Smith Larsen</t>
  </si>
  <si>
    <t>Jan Nystrøm</t>
  </si>
  <si>
    <t>+105</t>
  </si>
  <si>
    <t>Kolbjørn Bjerkholt</t>
  </si>
  <si>
    <t>M9</t>
  </si>
  <si>
    <t>Hans Martin Arnesen</t>
  </si>
  <si>
    <t>IL Kraftsport</t>
  </si>
  <si>
    <t>Roald Bjerkholt</t>
  </si>
  <si>
    <t>Johan Nystrøm</t>
  </si>
  <si>
    <t>Per Marstad</t>
  </si>
  <si>
    <t>Tønsberg-Kam.</t>
  </si>
  <si>
    <t>Aage Sletsjøe</t>
  </si>
  <si>
    <t>Kåre Sømme</t>
  </si>
  <si>
    <t>Haugesund VK</t>
  </si>
  <si>
    <t>M3</t>
  </si>
  <si>
    <t>Bjørn Thore Olsen</t>
  </si>
  <si>
    <t>Tom Danielsen</t>
  </si>
  <si>
    <t>Lars-Thomas Grønlien</t>
  </si>
  <si>
    <t>Magnar Helleren</t>
  </si>
  <si>
    <t>Jøran Herfjord</t>
  </si>
  <si>
    <t>Runar Saxegård</t>
  </si>
  <si>
    <t>Dag Rønnevik</t>
  </si>
  <si>
    <t>Tysvær VK</t>
  </si>
  <si>
    <t>M4</t>
  </si>
  <si>
    <t>Tryggve Duun</t>
  </si>
  <si>
    <t>Terje Gulvik</t>
  </si>
  <si>
    <t>Ole Jakob Aas</t>
  </si>
  <si>
    <t>T &amp; IL National</t>
  </si>
  <si>
    <t>Petter N. Sæterdal</t>
  </si>
  <si>
    <t>AK Bjørgvin</t>
  </si>
  <si>
    <t>Freddy Svendsen</t>
  </si>
  <si>
    <t>K1</t>
  </si>
  <si>
    <t>Hilde Næss</t>
  </si>
  <si>
    <t>Lørenskog AK</t>
  </si>
  <si>
    <t>Kira Ingelsrudøyen</t>
  </si>
  <si>
    <t>K2</t>
  </si>
  <si>
    <t>Anna Rød Nyland</t>
  </si>
  <si>
    <t>M1</t>
  </si>
  <si>
    <t>Ole Marius Hovdum</t>
  </si>
  <si>
    <t>Michal Daae</t>
  </si>
  <si>
    <t>M2</t>
  </si>
  <si>
    <t>Thorkild Larsen</t>
  </si>
  <si>
    <t>Jarle Hammersvik</t>
  </si>
  <si>
    <t>Jonny Block</t>
  </si>
  <si>
    <t>Geir Johansen</t>
  </si>
  <si>
    <t>SM</t>
  </si>
  <si>
    <t>Krister Thonerud</t>
  </si>
  <si>
    <t>Jostein Frøyd</t>
  </si>
  <si>
    <t>Marius Eliassen</t>
  </si>
  <si>
    <t>Trygve Nilsen</t>
  </si>
  <si>
    <t>Raymond Toft</t>
  </si>
  <si>
    <t>Torje Bragstad Venseth</t>
  </si>
  <si>
    <t>Flaktveit IK</t>
  </si>
  <si>
    <t>Gjøvik AK</t>
  </si>
  <si>
    <t>Hillevåg AK</t>
  </si>
  <si>
    <t>Tambarskjelvar IL</t>
  </si>
  <si>
    <t>Hitra VK</t>
  </si>
  <si>
    <t xml:space="preserve">Resultat Kongepokal </t>
  </si>
  <si>
    <t xml:space="preserve">Kvinner Kongepokal </t>
  </si>
  <si>
    <t>Årets klubb (NM Senior)</t>
  </si>
  <si>
    <t>Årets klubb (NM Veteran)</t>
  </si>
  <si>
    <t>Per Mattingsdal, Vigrestad IK, Int I</t>
  </si>
  <si>
    <t>Ole Jakob Aas, T &amp; IL National, Int II</t>
  </si>
  <si>
    <t>Christian Lysenstøen, Spydeberg Atletene, F</t>
  </si>
  <si>
    <t>Gunnar Knudsen, Grenland AK, F</t>
  </si>
  <si>
    <t>Andreas Nordmo Skauen, Oslo AK, F</t>
  </si>
  <si>
    <t>Rebecca Tiffin, Oslo AK, F</t>
  </si>
  <si>
    <t>Dag Rønnevik, Tysvær VK, F</t>
  </si>
  <si>
    <t>Roger Trones, Spydeberg Atletene, F</t>
  </si>
  <si>
    <t>Trond Kvilhaug, Nidelv IL, Int II</t>
  </si>
  <si>
    <t>Hans Magnus Kleven, Spydeberg Atletene, F</t>
  </si>
  <si>
    <t>Johanna Wåsjø, Oslo AK, Int II</t>
  </si>
  <si>
    <t>Johan Thonerud, Spydeberg Atletene, F</t>
  </si>
  <si>
    <t>Robin Andresen, Spydeberg Atletene, F</t>
  </si>
  <si>
    <t>Reidar C. Johnsen, AK Bjørgvin, Int I</t>
  </si>
  <si>
    <t>Larisa Izumrudova, Vigrestad IK, Int I</t>
  </si>
  <si>
    <t>Per Marstad, Tønsberg-Kam., Int I</t>
  </si>
  <si>
    <t>Per Mattingsdal, Vigrestad Ik, Int I</t>
  </si>
  <si>
    <t>Arne Grostad, Nidelv IL, Int II</t>
  </si>
  <si>
    <t>Krister Thonerud, Spydeberg Atletene, F</t>
  </si>
  <si>
    <t>Bjørn Thore Olsen, Spydeberg Atletene, F</t>
  </si>
  <si>
    <t>Johanna Wåsjø, Oslo AK, F</t>
  </si>
  <si>
    <t>Roger Trones, Spydeeberg Atletene, F</t>
  </si>
  <si>
    <t>Larisa Izumrudova, Vigrestad IK</t>
  </si>
  <si>
    <t>Rebecca Tiffin, Oslo AK, F - Nichlas Berg Storsve, Tronheim AK</t>
  </si>
  <si>
    <t>Daniel Roness, Spydeberg Atletene, F - Nichlas Berg Storsve, Tronheim AK</t>
  </si>
  <si>
    <t>Reidar C. Johnsen, AK Bjørgvin, Int I - Nichlas Berg Storsve, Tronheim AK</t>
  </si>
  <si>
    <t>Krister Thonerud, Spydeberg Atletene, F - Nichlas Berg Storsve, Tronheim AK</t>
  </si>
  <si>
    <t>Dag Rønnevik, Tysvær VK, F - Nichlas Berg Storsve, Tronheim AK</t>
  </si>
  <si>
    <t>Jonas Andre Grønnhaug</t>
  </si>
  <si>
    <t>-</t>
  </si>
  <si>
    <t>x</t>
  </si>
  <si>
    <t>xxx</t>
  </si>
  <si>
    <t>Per Marstad, M9, 94 kg, rykk 58kg, 60 kg, sml. 128 kg</t>
  </si>
  <si>
    <t>Hilde Næss, K1, 75 kg, rykk 43 kg, støt 58 kg, 61 kg, sml. 101 kg, 104 kg</t>
  </si>
  <si>
    <t>Gunnar Knudsen, Grenland AK, F - Tryggve Duun, Trondheim AK, Int I - Nichlas Berg Storsve, Tronheim AK</t>
  </si>
  <si>
    <t xml:space="preserve">Hans Magnus Kleven, Spydeberg Atletene, F </t>
  </si>
  <si>
    <t>Dag Rønnevik, Tysvær VK, F - Tryggve Duun, Trondheim AK, Int I - Nichlas Berg Storsve, Tronheim AK</t>
  </si>
  <si>
    <t>JM</t>
  </si>
  <si>
    <t>Jo-Magne Rønning Elden</t>
  </si>
  <si>
    <t>Erik Carlsen Kjørselvik</t>
  </si>
  <si>
    <t>Torstein Dæhlin</t>
  </si>
  <si>
    <t>Roy Sømme Ommedal</t>
  </si>
  <si>
    <t>Henrik Walter Pettersen</t>
  </si>
  <si>
    <t>Fredrik Kvist Gyllensten</t>
  </si>
  <si>
    <t>Tomas Fjeldberg</t>
  </si>
  <si>
    <t>Alexander Hanssen</t>
  </si>
  <si>
    <t>Ronny Matnisdal</t>
  </si>
  <si>
    <t>Tor Eric Sivertsen</t>
  </si>
  <si>
    <t>UM</t>
  </si>
  <si>
    <t>Eskil Andersen</t>
  </si>
  <si>
    <t>Nicolas Johnsen</t>
  </si>
  <si>
    <t>Daniel Roness</t>
  </si>
  <si>
    <t>Thomas Eide</t>
  </si>
  <si>
    <t>Ole Martin Aas</t>
  </si>
  <si>
    <t>Jantsen Øverås</t>
  </si>
  <si>
    <t>Mats Olsen</t>
  </si>
  <si>
    <t>Pål Bjørhusdal</t>
  </si>
  <si>
    <t>Kevin Lund</t>
  </si>
  <si>
    <t>Anders Albert</t>
  </si>
  <si>
    <t>Morten Almås</t>
  </si>
  <si>
    <t>Robin Andresen</t>
  </si>
  <si>
    <t>Leik Simon Aas</t>
  </si>
  <si>
    <t>Martin Norum</t>
  </si>
  <si>
    <t>Bjørnar Olsen</t>
  </si>
  <si>
    <t>Kristian Høyland</t>
  </si>
  <si>
    <t>Jonas Hetland Mong</t>
  </si>
  <si>
    <t>Fabian Fosse</t>
  </si>
  <si>
    <t>UK</t>
  </si>
  <si>
    <t>Bettine Carlsen</t>
  </si>
  <si>
    <t>JK</t>
  </si>
  <si>
    <t>Rebekka Tao Jacobsen</t>
  </si>
  <si>
    <t>SK</t>
  </si>
  <si>
    <t>Sarah Hovden Øvsthus</t>
  </si>
  <si>
    <t>Hege Torsvik</t>
  </si>
  <si>
    <t>Helene Angelica Markhus</t>
  </si>
  <si>
    <t>Kristin Holte</t>
  </si>
  <si>
    <t>Thu Thi Minh Tran</t>
  </si>
  <si>
    <t>Alexandra Säldebring</t>
  </si>
  <si>
    <t>Tina Madeleine Larsen</t>
  </si>
  <si>
    <t>Kamilla Storstein Grønnestad</t>
  </si>
  <si>
    <t>Sandra Trædal</t>
  </si>
  <si>
    <t>Zekiye C. Nyland</t>
  </si>
  <si>
    <t>Nora Skuggedal</t>
  </si>
  <si>
    <t>Emma Hald</t>
  </si>
  <si>
    <t>Ingeborg Bern Egeland</t>
  </si>
  <si>
    <t>Lene Christine Telle</t>
  </si>
  <si>
    <t>Anita Monsen</t>
  </si>
  <si>
    <t>Ine Andersson</t>
  </si>
  <si>
    <t>Betina Kingell</t>
  </si>
  <si>
    <t>Mari Rotmo</t>
  </si>
  <si>
    <t>K3</t>
  </si>
  <si>
    <t>Line Søfteland</t>
  </si>
  <si>
    <t>Maren Fikse</t>
  </si>
  <si>
    <t>Anna Tolås Omdal</t>
  </si>
  <si>
    <t>Ingvild Prestegård</t>
  </si>
  <si>
    <t>Marianne Hasfjord</t>
  </si>
  <si>
    <t>Ingunn Selvåg</t>
  </si>
  <si>
    <t>Sara Stebbings</t>
  </si>
  <si>
    <t>Christine Arnesen</t>
  </si>
  <si>
    <t>Marit Årdalsbakke</t>
  </si>
  <si>
    <t>Anna Waage</t>
  </si>
  <si>
    <t>Carolina Roa</t>
  </si>
  <si>
    <t>Anette Ellingsberg</t>
  </si>
  <si>
    <t>Stine Mari Hasfjord</t>
  </si>
  <si>
    <t>Rebecca Tiffin</t>
  </si>
  <si>
    <t>Asta Rønning Fjærli</t>
  </si>
  <si>
    <t>Ingvild Brynjulfsen</t>
  </si>
  <si>
    <t>Ruth Kasirye</t>
  </si>
  <si>
    <t>+75</t>
  </si>
  <si>
    <t>Martine H. Sønju</t>
  </si>
  <si>
    <t>Silje Johansen</t>
  </si>
  <si>
    <t>xx</t>
  </si>
  <si>
    <t>Sarah Hovden Øvsthus, 53 kg, støt 86 kg, 88 kg, sml. 156 kg,158 kg</t>
  </si>
  <si>
    <t>Krister Thonerud, Spydeberg Atletene, F - Rebekka Tao Jacobsen, Larvik, F</t>
  </si>
  <si>
    <t>Jantsen Øverås, 69 kg, støt 147 kg</t>
  </si>
  <si>
    <t>Bjørnar Wold, Spydeberg Atletene, F</t>
  </si>
  <si>
    <t>Line Søfteland, K3, 63 kg, rykk 48 kg, sml. 112 kg</t>
  </si>
  <si>
    <t>Hans Magnus Kleven, Spydeberg Atletene, F - Rebekka Tao Jacobsen, Larvik AK, F</t>
  </si>
  <si>
    <t>Daniel Roness, Spydeberg Atletene, F -  Rebekka Tao Jacobsen, Larvik AK, F</t>
  </si>
  <si>
    <t>Anne Waage, K2, 69 kg, rykk 52 kg, 54 kg, støt 76 kg, sml. 128 kg, 130 kg</t>
  </si>
  <si>
    <t>Jostein Frøyd, Larvik AK, F - Rebekka Tao Jacobsen, Larvik AK, F</t>
  </si>
  <si>
    <t>Jens Graff, Spydeberg Atletene</t>
  </si>
  <si>
    <t>Ruth Kasirye, 75 kg, rykk 105 kg</t>
  </si>
  <si>
    <t>Tore Gjøringbø</t>
  </si>
  <si>
    <t>Lubomir Kafonek</t>
  </si>
  <si>
    <t>Phillip Houghton</t>
  </si>
  <si>
    <t>Dag Aleksander Klethagen</t>
  </si>
  <si>
    <t>Jonas Fiskum Pedersen</t>
  </si>
  <si>
    <t>Håvard Grostad</t>
  </si>
  <si>
    <t>Bjørnar Wold</t>
  </si>
  <si>
    <t>Sindre Rørstadbotnen</t>
  </si>
  <si>
    <t>Jarleif Amdal</t>
  </si>
  <si>
    <t>Hans Magnus Kleven</t>
  </si>
  <si>
    <t>Per Hordnes</t>
  </si>
  <si>
    <t>Ole Magnus Strand</t>
  </si>
  <si>
    <t>Bjørn-Arild Masvik</t>
  </si>
  <si>
    <t>Ørjan Hagelund</t>
  </si>
  <si>
    <t>Lars Joachim Nilsen</t>
  </si>
  <si>
    <t>Børge Aadland</t>
  </si>
  <si>
    <t>Ronny Fevåg</t>
  </si>
  <si>
    <t>Alexander Bahmanyar</t>
  </si>
  <si>
    <t>Tor Kristoffer Klethagen</t>
  </si>
  <si>
    <t>Kenneth Heidenberg</t>
  </si>
  <si>
    <t>Vebjørn Varlid</t>
  </si>
  <si>
    <t>Kim Eirik Tollefsen</t>
  </si>
  <si>
    <t>Jon Peter Ueland</t>
  </si>
  <si>
    <t>Daniel Roness, Spydeberg Atletene, F</t>
  </si>
  <si>
    <t>Steinar Kvame, Tambarskjelvar IL, Int II</t>
  </si>
  <si>
    <t>1/9</t>
  </si>
  <si>
    <t>1/6</t>
  </si>
  <si>
    <t>Christian Lysenstøen, Spydeberg Atleene, F</t>
  </si>
  <si>
    <t>11/1</t>
  </si>
  <si>
    <t>7/1</t>
  </si>
  <si>
    <t>2/12</t>
  </si>
  <si>
    <t>Krister Thonerud, Spydeberg Atletene, F - Rebekka Tao Jacobsen, Larvik AK, F</t>
  </si>
  <si>
    <t>Trond Kvilhaug, Nidelv IL, Int II  - Larisa Izumrudova, Vigrestad IK, Int I</t>
  </si>
  <si>
    <t>Alexander Bahmanyar, M4, 105 kg, støt 141 kg, sml. 242 kg, 246 kg</t>
  </si>
  <si>
    <t>4/1</t>
  </si>
  <si>
    <t>1/5</t>
  </si>
  <si>
    <t>2/1</t>
  </si>
  <si>
    <t xml:space="preserve">x </t>
  </si>
  <si>
    <t>Leif Hepsø, M8, 94 kg: Støt 88 kg</t>
  </si>
  <si>
    <t xml:space="preserve">Menn Kongepokal </t>
  </si>
  <si>
    <t>27.02-01.03.15</t>
  </si>
  <si>
    <t>Hans Martin Arnesen, M9, 77 kg, rykk 51 kg, støt 71 kg , sml. 122 kg
Per Marstad, M9, 94 kg, rykk 58 kg,59 kg sml.  støt 71 kg, sml. 122 kg</t>
  </si>
  <si>
    <t>Kira Ingelsrudøyen, K1, 75 kg, rykk 42 kg</t>
  </si>
</sst>
</file>

<file path=xl/styles.xml><?xml version="1.0" encoding="utf-8"?>
<styleSheet xmlns="http://schemas.openxmlformats.org/spreadsheetml/2006/main">
  <numFmts count="6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.mm\.yy"/>
    <numFmt numFmtId="195" formatCode="dd\.mmm\.yy"/>
    <numFmt numFmtId="196" formatCode="dd\.mmm"/>
    <numFmt numFmtId="197" formatCode="mmm\.yy"/>
    <numFmt numFmtId="198" formatCode="dd\.mm\.yy\ hh:mm"/>
    <numFmt numFmtId="199" formatCode="0.0000"/>
    <numFmt numFmtId="200" formatCode="0.0"/>
    <numFmt numFmtId="201" formatCode="dd/mm"/>
    <numFmt numFmtId="202" formatCode="dd\.mm"/>
    <numFmt numFmtId="203" formatCode="General;[Red]\-General"/>
    <numFmt numFmtId="204" formatCode="0.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dd/mm/yy"/>
    <numFmt numFmtId="212" formatCode="&quot;kr&quot;\ #,##0.0"/>
    <numFmt numFmtId="213" formatCode="#,##0.0"/>
    <numFmt numFmtId="214" formatCode="[$-414]d\.\ mmmm\ yyyy"/>
    <numFmt numFmtId="215" formatCode="dd/mm/yy;@"/>
    <numFmt numFmtId="216" formatCode="0.0;[Red]0.0"/>
    <numFmt numFmtId="217" formatCode="0;[Red]0"/>
    <numFmt numFmtId="218" formatCode="dd/mm/yyyy;@"/>
    <numFmt numFmtId="219" formatCode="mmm/yyyy"/>
    <numFmt numFmtId="220" formatCode="0.00;[Red]0.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28"/>
      <name val="Arial Black"/>
      <family val="2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2"/>
      <name val="Times New Roman"/>
      <family val="1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23" borderId="1" applyNumberFormat="0" applyAlignment="0" applyProtection="0"/>
    <xf numFmtId="0" fontId="59" fillId="0" borderId="2" applyNumberFormat="0" applyFill="0" applyAlignment="0" applyProtection="0"/>
    <xf numFmtId="40" fontId="0" fillId="0" borderId="0" applyFont="0" applyFill="0" applyBorder="0" applyAlignment="0" applyProtection="0"/>
    <xf numFmtId="0" fontId="6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61" fillId="26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38" fontId="0" fillId="0" borderId="0" applyFont="0" applyFill="0" applyBorder="0" applyAlignment="0" applyProtection="0"/>
    <xf numFmtId="0" fontId="67" fillId="20" borderId="9" applyNumberFormat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right"/>
    </xf>
    <xf numFmtId="199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20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200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15" fontId="0" fillId="0" borderId="0" xfId="0" applyNumberFormat="1" applyAlignment="1">
      <alignment/>
    </xf>
    <xf numFmtId="215" fontId="16" fillId="0" borderId="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204" fontId="0" fillId="0" borderId="0" xfId="0" applyNumberFormat="1" applyAlignment="1">
      <alignment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216" fontId="4" fillId="0" borderId="0" xfId="0" applyNumberFormat="1" applyFont="1" applyAlignment="1">
      <alignment horizontal="center"/>
    </xf>
    <xf numFmtId="2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200" fontId="9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215" fontId="7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2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215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217" fontId="6" fillId="0" borderId="21" xfId="0" applyNumberFormat="1" applyFont="1" applyBorder="1" applyAlignment="1" applyProtection="1">
      <alignment horizontal="center" vertical="center"/>
      <protection locked="0"/>
    </xf>
    <xf numFmtId="217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206" fontId="7" fillId="0" borderId="0" xfId="0" applyNumberFormat="1" applyFont="1" applyBorder="1" applyAlignment="1">
      <alignment horizontal="center" vertical="center"/>
    </xf>
    <xf numFmtId="217" fontId="6" fillId="0" borderId="23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217" fontId="6" fillId="0" borderId="25" xfId="0" applyNumberFormat="1" applyFont="1" applyBorder="1" applyAlignment="1" applyProtection="1">
      <alignment horizontal="center" vertical="center"/>
      <protection locked="0"/>
    </xf>
    <xf numFmtId="217" fontId="7" fillId="0" borderId="24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 quotePrefix="1">
      <alignment horizontal="right" vertical="center"/>
      <protection locked="0"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15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left"/>
    </xf>
    <xf numFmtId="217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220" fontId="24" fillId="0" borderId="0" xfId="0" applyNumberFormat="1" applyFont="1" applyBorder="1" applyAlignment="1">
      <alignment horizontal="right"/>
    </xf>
    <xf numFmtId="20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215" fontId="7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19" xfId="0" applyFont="1" applyBorder="1" applyAlignment="1" applyProtection="1" quotePrefix="1">
      <alignment horizontal="right" vertical="center"/>
      <protection locked="0"/>
    </xf>
    <xf numFmtId="2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217" fontId="6" fillId="0" borderId="21" xfId="0" applyNumberFormat="1" applyFont="1" applyBorder="1" applyAlignment="1" applyProtection="1">
      <alignment horizontal="center" vertical="center"/>
      <protection locked="0"/>
    </xf>
    <xf numFmtId="217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206" fontId="7" fillId="0" borderId="0" xfId="0" applyNumberFormat="1" applyFont="1" applyBorder="1" applyAlignment="1">
      <alignment horizontal="center" vertical="center"/>
    </xf>
    <xf numFmtId="217" fontId="6" fillId="0" borderId="23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217" fontId="6" fillId="0" borderId="25" xfId="0" applyNumberFormat="1" applyFont="1" applyBorder="1" applyAlignment="1" applyProtection="1">
      <alignment horizontal="center" vertical="center"/>
      <protection locked="0"/>
    </xf>
    <xf numFmtId="217" fontId="7" fillId="0" borderId="24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215" fontId="27" fillId="0" borderId="0" xfId="0" applyNumberFormat="1" applyFont="1" applyBorder="1" applyAlignment="1">
      <alignment horizontal="right" vertical="center"/>
    </xf>
    <xf numFmtId="199" fontId="27" fillId="0" borderId="0" xfId="0" applyNumberFormat="1" applyFont="1" applyBorder="1" applyAlignment="1">
      <alignment horizontal="right"/>
    </xf>
    <xf numFmtId="203" fontId="6" fillId="0" borderId="26" xfId="44" applyNumberFormat="1" applyFont="1" applyBorder="1" applyAlignment="1" applyProtection="1">
      <alignment horizontal="center" vertical="center"/>
      <protection locked="0"/>
    </xf>
    <xf numFmtId="203" fontId="6" fillId="0" borderId="27" xfId="44" applyNumberFormat="1" applyFont="1" applyBorder="1" applyAlignment="1" applyProtection="1">
      <alignment horizontal="center" vertical="center"/>
      <protection locked="0"/>
    </xf>
    <xf numFmtId="0" fontId="28" fillId="0" borderId="28" xfId="44" applyFont="1" applyBorder="1" applyAlignment="1" applyProtection="1">
      <alignment horizontal="right" vertical="center"/>
      <protection locked="0"/>
    </xf>
    <xf numFmtId="2" fontId="28" fillId="0" borderId="29" xfId="44" applyNumberFormat="1" applyFont="1" applyBorder="1" applyAlignment="1" applyProtection="1">
      <alignment horizontal="right" vertical="center"/>
      <protection locked="0"/>
    </xf>
    <xf numFmtId="0" fontId="28" fillId="0" borderId="29" xfId="44" applyFont="1" applyBorder="1" applyAlignment="1" applyProtection="1">
      <alignment horizontal="center" vertical="center"/>
      <protection locked="0"/>
    </xf>
    <xf numFmtId="215" fontId="28" fillId="0" borderId="29" xfId="44" applyNumberFormat="1" applyFont="1" applyBorder="1" applyAlignment="1" applyProtection="1">
      <alignment horizontal="center" vertical="center"/>
      <protection locked="0"/>
    </xf>
    <xf numFmtId="1" fontId="29" fillId="0" borderId="29" xfId="44" applyNumberFormat="1" applyFont="1" applyBorder="1" applyAlignment="1" applyProtection="1">
      <alignment horizontal="center" vertical="center"/>
      <protection locked="0"/>
    </xf>
    <xf numFmtId="0" fontId="28" fillId="0" borderId="29" xfId="44" applyFont="1" applyBorder="1" applyAlignment="1" applyProtection="1">
      <alignment vertical="center"/>
      <protection locked="0"/>
    </xf>
    <xf numFmtId="203" fontId="6" fillId="0" borderId="29" xfId="44" applyNumberFormat="1" applyFont="1" applyBorder="1" applyAlignment="1" applyProtection="1">
      <alignment horizontal="center" vertical="center"/>
      <protection locked="0"/>
    </xf>
    <xf numFmtId="203" fontId="6" fillId="0" borderId="30" xfId="44" applyNumberFormat="1" applyFont="1" applyBorder="1" applyAlignment="1" applyProtection="1">
      <alignment horizontal="center" vertical="center"/>
      <protection locked="0"/>
    </xf>
    <xf numFmtId="0" fontId="28" fillId="0" borderId="28" xfId="44" applyFont="1" applyBorder="1" applyAlignment="1" applyProtection="1" quotePrefix="1">
      <alignment horizontal="right" vertical="center"/>
      <protection locked="0"/>
    </xf>
    <xf numFmtId="0" fontId="7" fillId="0" borderId="28" xfId="44" applyFont="1" applyBorder="1" applyAlignment="1" applyProtection="1">
      <alignment horizontal="right" vertical="center"/>
      <protection locked="0"/>
    </xf>
    <xf numFmtId="2" fontId="7" fillId="0" borderId="29" xfId="44" applyNumberFormat="1" applyFont="1" applyBorder="1" applyAlignment="1" applyProtection="1">
      <alignment horizontal="right" vertical="center"/>
      <protection locked="0"/>
    </xf>
    <xf numFmtId="0" fontId="7" fillId="0" borderId="29" xfId="44" applyFont="1" applyBorder="1" applyAlignment="1" applyProtection="1">
      <alignment horizontal="center" vertical="center"/>
      <protection locked="0"/>
    </xf>
    <xf numFmtId="215" fontId="7" fillId="0" borderId="29" xfId="44" applyNumberFormat="1" applyFont="1" applyBorder="1" applyAlignment="1" applyProtection="1">
      <alignment horizontal="center" vertical="center"/>
      <protection locked="0"/>
    </xf>
    <xf numFmtId="1" fontId="5" fillId="0" borderId="29" xfId="44" applyNumberFormat="1" applyFont="1" applyBorder="1" applyAlignment="1" applyProtection="1">
      <alignment horizontal="center" vertical="center"/>
      <protection locked="0"/>
    </xf>
    <xf numFmtId="0" fontId="7" fillId="0" borderId="29" xfId="44" applyFont="1" applyBorder="1" applyAlignment="1" applyProtection="1">
      <alignment vertical="center"/>
      <protection locked="0"/>
    </xf>
    <xf numFmtId="0" fontId="7" fillId="0" borderId="28" xfId="44" applyFont="1" applyBorder="1" applyAlignment="1" applyProtection="1" quotePrefix="1">
      <alignment horizontal="right" vertical="center"/>
      <protection locked="0"/>
    </xf>
    <xf numFmtId="0" fontId="69" fillId="0" borderId="28" xfId="44" applyFont="1" applyBorder="1" applyAlignment="1" applyProtection="1">
      <alignment horizontal="right" vertical="center"/>
      <protection locked="0"/>
    </xf>
    <xf numFmtId="2" fontId="69" fillId="0" borderId="29" xfId="44" applyNumberFormat="1" applyFont="1" applyBorder="1" applyAlignment="1" applyProtection="1">
      <alignment horizontal="right" vertical="center"/>
      <protection locked="0"/>
    </xf>
    <xf numFmtId="0" fontId="69" fillId="0" borderId="29" xfId="44" applyFont="1" applyBorder="1" applyAlignment="1" applyProtection="1">
      <alignment horizontal="center" vertical="center"/>
      <protection locked="0"/>
    </xf>
    <xf numFmtId="215" fontId="69" fillId="0" borderId="29" xfId="44" applyNumberFormat="1" applyFont="1" applyBorder="1" applyAlignment="1" applyProtection="1">
      <alignment horizontal="center" vertical="center"/>
      <protection locked="0"/>
    </xf>
    <xf numFmtId="1" fontId="70" fillId="0" borderId="29" xfId="44" applyNumberFormat="1" applyFont="1" applyBorder="1" applyAlignment="1" applyProtection="1">
      <alignment horizontal="center" vertical="center"/>
      <protection locked="0"/>
    </xf>
    <xf numFmtId="0" fontId="69" fillId="0" borderId="29" xfId="44" applyFont="1" applyBorder="1" applyAlignment="1" applyProtection="1">
      <alignment vertical="center"/>
      <protection locked="0"/>
    </xf>
    <xf numFmtId="0" fontId="5" fillId="0" borderId="29" xfId="44" applyFont="1" applyBorder="1" applyAlignment="1" applyProtection="1">
      <alignment vertical="center"/>
      <protection locked="0"/>
    </xf>
    <xf numFmtId="0" fontId="30" fillId="0" borderId="29" xfId="44" applyFont="1" applyBorder="1" applyAlignment="1" applyProtection="1">
      <alignment vertical="center"/>
      <protection locked="0"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1" fontId="32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2" fontId="7" fillId="0" borderId="29" xfId="44" applyNumberFormat="1" applyFont="1" applyBorder="1" applyAlignment="1" applyProtection="1" quotePrefix="1">
      <alignment horizontal="right" vertical="center"/>
      <protection locked="0"/>
    </xf>
    <xf numFmtId="217" fontId="6" fillId="0" borderId="21" xfId="0" applyNumberFormat="1" applyFont="1" applyBorder="1" applyAlignment="1" applyProtection="1" quotePrefix="1">
      <alignment horizontal="center" vertical="center"/>
      <protection locked="0"/>
    </xf>
    <xf numFmtId="203" fontId="6" fillId="0" borderId="27" xfId="44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center"/>
    </xf>
    <xf numFmtId="1" fontId="7" fillId="0" borderId="19" xfId="0" applyNumberFormat="1" applyFont="1" applyBorder="1" applyAlignment="1" applyProtection="1" quotePrefix="1">
      <alignment horizontal="center" vertical="center"/>
      <protection locked="0"/>
    </xf>
    <xf numFmtId="203" fontId="6" fillId="0" borderId="26" xfId="44" applyNumberFormat="1" applyFont="1" applyBorder="1" applyAlignment="1" applyProtection="1" quotePrefix="1">
      <alignment horizontal="center" vertical="center"/>
      <protection locked="0"/>
    </xf>
    <xf numFmtId="0" fontId="23" fillId="34" borderId="0" xfId="0" applyFont="1" applyFill="1" applyBorder="1" applyAlignment="1">
      <alignment/>
    </xf>
    <xf numFmtId="217" fontId="0" fillId="0" borderId="0" xfId="0" applyNumberForma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31" fillId="33" borderId="0" xfId="0" applyFont="1" applyFill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0" fillId="0" borderId="0" xfId="0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left"/>
    </xf>
    <xf numFmtId="217" fontId="50" fillId="0" borderId="0" xfId="0" applyNumberFormat="1" applyFont="1" applyBorder="1" applyAlignment="1">
      <alignment horizontal="right"/>
    </xf>
    <xf numFmtId="2" fontId="50" fillId="0" borderId="0" xfId="0" applyNumberFormat="1" applyFont="1" applyBorder="1" applyAlignment="1">
      <alignment horizontal="right"/>
    </xf>
    <xf numFmtId="220" fontId="50" fillId="0" borderId="0" xfId="0" applyNumberFormat="1" applyFont="1" applyBorder="1" applyAlignment="1">
      <alignment horizontal="right"/>
    </xf>
    <xf numFmtId="0" fontId="51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1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left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Sheet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38"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u val="single"/>
        <color rgb="FF000080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838200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57150</xdr:rowOff>
    </xdr:from>
    <xdr:to>
      <xdr:col>2</xdr:col>
      <xdr:colOff>66675</xdr:colOff>
      <xdr:row>4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V39"/>
  <sheetViews>
    <sheetView showGridLines="0" showRowColHeaders="0" showZeros="0" showOutlineSymbols="0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11.140625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4" t="s">
        <v>50</v>
      </c>
      <c r="I5" s="185"/>
      <c r="J5" s="185"/>
      <c r="K5" s="185"/>
      <c r="L5" s="81" t="s">
        <v>1</v>
      </c>
      <c r="M5" s="186" t="s">
        <v>51</v>
      </c>
      <c r="N5" s="187"/>
      <c r="O5" s="187"/>
      <c r="P5" s="187"/>
      <c r="Q5" s="81" t="s">
        <v>2</v>
      </c>
      <c r="R5" s="82">
        <v>42062</v>
      </c>
      <c r="S5" s="83" t="s">
        <v>30</v>
      </c>
      <c r="T5" s="84">
        <v>1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41">
        <v>94</v>
      </c>
      <c r="B9" s="142">
        <v>85.22</v>
      </c>
      <c r="C9" s="143" t="s">
        <v>53</v>
      </c>
      <c r="D9" s="144">
        <v>20790</v>
      </c>
      <c r="E9" s="145"/>
      <c r="F9" s="146" t="s">
        <v>54</v>
      </c>
      <c r="G9" s="146" t="s">
        <v>55</v>
      </c>
      <c r="H9" s="139">
        <v>55</v>
      </c>
      <c r="I9" s="140">
        <v>60</v>
      </c>
      <c r="J9" s="140">
        <v>65</v>
      </c>
      <c r="K9" s="139">
        <v>70</v>
      </c>
      <c r="L9" s="124">
        <v>75</v>
      </c>
      <c r="M9" s="124">
        <v>80</v>
      </c>
      <c r="N9" s="92">
        <f aca="true" t="shared" si="0" ref="N9:N24">IF(MAX(H9:J9)&lt;0,0,TRUNC(MAX(H9:J9)/1)*1)</f>
        <v>65</v>
      </c>
      <c r="O9" s="92">
        <f aca="true" t="shared" si="1" ref="O9:O24">IF(MAX(K9:M9)&lt;0,0,TRUNC(MAX(K9:M9)/1)*1)</f>
        <v>80</v>
      </c>
      <c r="P9" s="92">
        <f aca="true" t="shared" si="2" ref="P9:P24">IF(N9=0,0,IF(O9=0,0,SUM(N9:O9)))</f>
        <v>145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173.05850564977194</v>
      </c>
      <c r="R9" s="93">
        <f>IF(OR(D9="",B9="",V9=""),0,IF(OR(C9="UM",C9="JM",C9="SM",C9="UK",C9="JK",C9="SK"),"",Q9*(IF(ABS(1900-YEAR((V9+1)-D9))&lt;29,0,(VLOOKUP((YEAR(V9)-YEAR(D9)),'Meltzer-Malone'!$A$3:$B$63,2))))))</f>
        <v>256.12658836166247</v>
      </c>
      <c r="S9" s="94">
        <v>2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1.1935069355156687</v>
      </c>
      <c r="V9" s="137">
        <f>R5</f>
        <v>42062</v>
      </c>
    </row>
    <row r="10" spans="1:22" s="13" customFormat="1" ht="19.5" customHeight="1">
      <c r="A10" s="141">
        <v>85</v>
      </c>
      <c r="B10" s="142">
        <v>83.48</v>
      </c>
      <c r="C10" s="143" t="s">
        <v>53</v>
      </c>
      <c r="D10" s="144">
        <v>21818</v>
      </c>
      <c r="E10" s="145"/>
      <c r="F10" s="146" t="s">
        <v>56</v>
      </c>
      <c r="G10" s="146" t="s">
        <v>57</v>
      </c>
      <c r="H10" s="139">
        <v>65</v>
      </c>
      <c r="I10" s="140">
        <v>69</v>
      </c>
      <c r="J10" s="140">
        <v>-72</v>
      </c>
      <c r="K10" s="139">
        <v>82</v>
      </c>
      <c r="L10" s="124">
        <v>86</v>
      </c>
      <c r="M10" s="124">
        <v>90</v>
      </c>
      <c r="N10" s="92">
        <f t="shared" si="0"/>
        <v>69</v>
      </c>
      <c r="O10" s="92">
        <f t="shared" si="1"/>
        <v>90</v>
      </c>
      <c r="P10" s="92">
        <f t="shared" si="2"/>
        <v>159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191.73979400978408</v>
      </c>
      <c r="R10" s="93">
        <f>IF(OR(D10="",B10="",V10=""),0,IF(OR(C10="UM",C10="JM",C10="SM",C10="UK",C10="JK",C10="SK"),"",Q10*(IF(ABS(1900-YEAR((V10+1)-D10))&lt;29,0,(VLOOKUP((YEAR(V10)-YEAR(D10)),'Meltzer-Malone'!$A$3:$B$63,2))))))</f>
        <v>265.3678749095412</v>
      </c>
      <c r="S10" s="97">
        <v>2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1.2059106541495854</v>
      </c>
      <c r="V10" s="137">
        <f>R5</f>
        <v>42062</v>
      </c>
    </row>
    <row r="11" spans="1:22" s="13" customFormat="1" ht="19.5" customHeight="1">
      <c r="A11" s="141">
        <v>85</v>
      </c>
      <c r="B11" s="142">
        <v>84.72</v>
      </c>
      <c r="C11" s="143" t="s">
        <v>53</v>
      </c>
      <c r="D11" s="144">
        <v>21177</v>
      </c>
      <c r="E11" s="145"/>
      <c r="F11" s="146" t="s">
        <v>58</v>
      </c>
      <c r="G11" s="146" t="s">
        <v>59</v>
      </c>
      <c r="H11" s="139">
        <v>82</v>
      </c>
      <c r="I11" s="140">
        <v>-84</v>
      </c>
      <c r="J11" s="140">
        <v>84</v>
      </c>
      <c r="K11" s="139">
        <v>103</v>
      </c>
      <c r="L11" s="124">
        <v>107</v>
      </c>
      <c r="M11" s="124">
        <v>-111</v>
      </c>
      <c r="N11" s="92">
        <f t="shared" si="0"/>
        <v>84</v>
      </c>
      <c r="O11" s="92">
        <f t="shared" si="1"/>
        <v>107</v>
      </c>
      <c r="P11" s="92">
        <f t="shared" si="2"/>
        <v>191</v>
      </c>
      <c r="Q11" s="93">
        <f t="shared" si="3"/>
        <v>228.62627550648563</v>
      </c>
      <c r="R11" s="93">
        <f>IF(OR(D11="",B11="",V11=""),0,IF(OR(C11="UM",C11="JM",C11="SM",C11="UK",C11="JK",C11="SK"),"",Q11*(IF(ABS(1900-YEAR((V11+1)-D11))&lt;29,0,(VLOOKUP((YEAR(V11)-YEAR(D11)),'Meltzer-Malone'!$A$3:$B$63,2))))))</f>
        <v>331.2794732088977</v>
      </c>
      <c r="S11" s="97">
        <v>1</v>
      </c>
      <c r="T11" s="97"/>
      <c r="U11" s="95">
        <f t="shared" si="4"/>
        <v>1.1969962068402389</v>
      </c>
      <c r="V11" s="137">
        <f>R5</f>
        <v>42062</v>
      </c>
    </row>
    <row r="12" spans="1:22" s="13" customFormat="1" ht="19.5" customHeight="1">
      <c r="A12" s="141">
        <v>94</v>
      </c>
      <c r="B12" s="142">
        <v>90.66</v>
      </c>
      <c r="C12" s="143" t="s">
        <v>53</v>
      </c>
      <c r="D12" s="144">
        <v>22050</v>
      </c>
      <c r="E12" s="145"/>
      <c r="F12" s="146" t="s">
        <v>60</v>
      </c>
      <c r="G12" s="146" t="s">
        <v>61</v>
      </c>
      <c r="H12" s="147">
        <v>75</v>
      </c>
      <c r="I12" s="148">
        <v>80</v>
      </c>
      <c r="J12" s="140">
        <v>-83</v>
      </c>
      <c r="K12" s="147">
        <v>90</v>
      </c>
      <c r="L12" s="124">
        <v>95</v>
      </c>
      <c r="M12" s="124">
        <v>100</v>
      </c>
      <c r="N12" s="92">
        <f t="shared" si="0"/>
        <v>80</v>
      </c>
      <c r="O12" s="92">
        <f t="shared" si="1"/>
        <v>100</v>
      </c>
      <c r="P12" s="92">
        <f t="shared" si="2"/>
        <v>180</v>
      </c>
      <c r="Q12" s="93">
        <f t="shared" si="3"/>
        <v>208.63799537224622</v>
      </c>
      <c r="R12" s="93">
        <f>IF(OR(D12="",B12="",V12=""),0,IF(OR(C12="UM",C12="JM",C12="SM",C12="UK",C12="JK",C12="SK"),"",Q12*(IF(ABS(1900-YEAR((V12+1)-D12))&lt;29,0,(VLOOKUP((YEAR(V12)-YEAR(D12)),'Meltzer-Malone'!$A$3:$B$63,2))))))</f>
        <v>281.6612937525324</v>
      </c>
      <c r="S12" s="97">
        <v>1</v>
      </c>
      <c r="T12" s="97" t="s">
        <v>22</v>
      </c>
      <c r="U12" s="95">
        <f t="shared" si="4"/>
        <v>1.1590999742902568</v>
      </c>
      <c r="V12" s="137">
        <f>R5</f>
        <v>42062</v>
      </c>
    </row>
    <row r="13" spans="1:22" s="13" customFormat="1" ht="19.5" customHeight="1">
      <c r="A13" s="149" t="s">
        <v>83</v>
      </c>
      <c r="B13" s="142">
        <v>105.96</v>
      </c>
      <c r="C13" s="143" t="s">
        <v>53</v>
      </c>
      <c r="D13" s="144">
        <v>21088</v>
      </c>
      <c r="E13" s="145"/>
      <c r="F13" s="146" t="s">
        <v>62</v>
      </c>
      <c r="G13" s="146" t="s">
        <v>55</v>
      </c>
      <c r="H13" s="147">
        <v>70</v>
      </c>
      <c r="I13" s="148">
        <v>74</v>
      </c>
      <c r="J13" s="140">
        <v>-78</v>
      </c>
      <c r="K13" s="147">
        <v>103</v>
      </c>
      <c r="L13" s="124">
        <v>111</v>
      </c>
      <c r="M13" s="124">
        <v>117</v>
      </c>
      <c r="N13" s="92">
        <f t="shared" si="0"/>
        <v>74</v>
      </c>
      <c r="O13" s="92">
        <f t="shared" si="1"/>
        <v>117</v>
      </c>
      <c r="P13" s="92">
        <f t="shared" si="2"/>
        <v>191</v>
      </c>
      <c r="Q13" s="93">
        <f t="shared" si="3"/>
        <v>208.07883022165075</v>
      </c>
      <c r="R13" s="93">
        <f>IF(OR(D13="",B13="",V13=""),0,IF(OR(C13="UM",C13="JM",C13="SM",C13="UK",C13="JK",C13="SK"),"",Q13*(IF(ABS(1900-YEAR((V13+1)-D13))&lt;29,0,(VLOOKUP((YEAR(V13)-YEAR(D13)),'Meltzer-Malone'!$A$3:$B$63,2))))))</f>
        <v>301.50622499117196</v>
      </c>
      <c r="S13" s="97">
        <v>1</v>
      </c>
      <c r="T13" s="97" t="s">
        <v>22</v>
      </c>
      <c r="U13" s="95">
        <f t="shared" si="4"/>
        <v>1.0894179592756583</v>
      </c>
      <c r="V13" s="137">
        <f>R5</f>
        <v>42062</v>
      </c>
    </row>
    <row r="14" spans="1:22" s="13" customFormat="1" ht="19.5" customHeight="1">
      <c r="A14" s="149"/>
      <c r="B14" s="142"/>
      <c r="C14" s="143"/>
      <c r="D14" s="144"/>
      <c r="E14" s="145"/>
      <c r="F14" s="146"/>
      <c r="G14" s="146"/>
      <c r="H14" s="147"/>
      <c r="I14" s="148"/>
      <c r="J14" s="140"/>
      <c r="K14" s="147"/>
      <c r="L14" s="91"/>
      <c r="M14" s="91"/>
      <c r="N14" s="92">
        <f t="shared" si="0"/>
        <v>0</v>
      </c>
      <c r="O14" s="92">
        <f t="shared" si="1"/>
        <v>0</v>
      </c>
      <c r="P14" s="92">
        <f t="shared" si="2"/>
        <v>0</v>
      </c>
      <c r="Q14" s="93">
        <f t="shared" si="3"/>
      </c>
      <c r="R14" s="93">
        <f>IF(OR(D14="",B14="",V14=""),0,IF(OR(C14="UM",C14="JM",C14="SM",C14="UK",C14="JK",C14="SK"),"",Q14*(IF(ABS(1900-YEAR((V14+1)-D14))&lt;29,0,(VLOOKUP((YEAR(V14)-YEAR(D14)),'Meltzer-Malone'!$A$3:$B$63,2))))))</f>
        <v>0</v>
      </c>
      <c r="S14" s="97" t="s">
        <v>22</v>
      </c>
      <c r="T14" s="97" t="s">
        <v>22</v>
      </c>
      <c r="U14" s="95">
        <f t="shared" si="4"/>
      </c>
      <c r="V14" s="137">
        <f>R5</f>
        <v>42062</v>
      </c>
    </row>
    <row r="15" spans="1:22" s="13" customFormat="1" ht="19.5" customHeight="1">
      <c r="A15" s="141">
        <v>77</v>
      </c>
      <c r="B15" s="142">
        <v>75.94</v>
      </c>
      <c r="C15" s="143" t="s">
        <v>65</v>
      </c>
      <c r="D15" s="144">
        <v>20075</v>
      </c>
      <c r="E15" s="145"/>
      <c r="F15" s="146" t="s">
        <v>66</v>
      </c>
      <c r="G15" s="146" t="s">
        <v>67</v>
      </c>
      <c r="H15" s="147">
        <v>75</v>
      </c>
      <c r="I15" s="148">
        <v>-80</v>
      </c>
      <c r="J15" s="140">
        <v>-80</v>
      </c>
      <c r="K15" s="147">
        <v>85</v>
      </c>
      <c r="L15" s="172" t="s">
        <v>171</v>
      </c>
      <c r="M15" s="172" t="s">
        <v>171</v>
      </c>
      <c r="N15" s="92">
        <f t="shared" si="0"/>
        <v>75</v>
      </c>
      <c r="O15" s="92">
        <f t="shared" si="1"/>
        <v>85</v>
      </c>
      <c r="P15" s="92">
        <f t="shared" si="2"/>
        <v>160</v>
      </c>
      <c r="Q15" s="93">
        <f t="shared" si="3"/>
        <v>203.0836959880587</v>
      </c>
      <c r="R15" s="93">
        <f>IF(OR(D15="",B15="",V15=""),0,IF(OR(C15="UM",C15="JM",C15="SM",C15="UK",C15="JK",C15="SK"),"",Q15*(IF(ABS(1900-YEAR((V15+1)-D15))&lt;29,0,(VLOOKUP((YEAR(V15)-YEAR(D15)),'Meltzer-Malone'!$A$3:$B$63,2))))))</f>
        <v>311.9365570376582</v>
      </c>
      <c r="S15" s="97">
        <v>1</v>
      </c>
      <c r="T15" s="97"/>
      <c r="U15" s="95">
        <f t="shared" si="4"/>
        <v>1.269273099925367</v>
      </c>
      <c r="V15" s="137">
        <f>R5</f>
        <v>42062</v>
      </c>
    </row>
    <row r="16" spans="1:22" s="13" customFormat="1" ht="19.5" customHeight="1">
      <c r="A16" s="141">
        <v>85</v>
      </c>
      <c r="B16" s="142">
        <v>78.22</v>
      </c>
      <c r="C16" s="143" t="s">
        <v>65</v>
      </c>
      <c r="D16" s="144">
        <v>20296</v>
      </c>
      <c r="E16" s="145"/>
      <c r="F16" s="146" t="s">
        <v>68</v>
      </c>
      <c r="G16" s="146" t="s">
        <v>57</v>
      </c>
      <c r="H16" s="147">
        <v>60</v>
      </c>
      <c r="I16" s="148">
        <v>65</v>
      </c>
      <c r="J16" s="140">
        <v>70</v>
      </c>
      <c r="K16" s="147">
        <v>80</v>
      </c>
      <c r="L16" s="124">
        <v>91</v>
      </c>
      <c r="M16" s="124">
        <v>-95</v>
      </c>
      <c r="N16" s="92">
        <f t="shared" si="0"/>
        <v>70</v>
      </c>
      <c r="O16" s="92">
        <f t="shared" si="1"/>
        <v>91</v>
      </c>
      <c r="P16" s="92">
        <f t="shared" si="2"/>
        <v>161</v>
      </c>
      <c r="Q16" s="93">
        <f t="shared" si="3"/>
        <v>200.97528218692545</v>
      </c>
      <c r="R16" s="93">
        <f>IF(OR(D16="",B16="",V16=""),0,IF(OR(C16="UM",C16="JM",C16="SM",C16="UK",C16="JK",C16="SK"),"",Q16*(IF(ABS(1900-YEAR((V16+1)-D16))&lt;29,0,(VLOOKUP((YEAR(V16)-YEAR(D16)),'Meltzer-Malone'!$A$3:$B$63,2))))))</f>
        <v>303.27170082007046</v>
      </c>
      <c r="S16" s="97">
        <v>1</v>
      </c>
      <c r="T16" s="97"/>
      <c r="U16" s="95">
        <f t="shared" si="4"/>
        <v>1.2482936781796612</v>
      </c>
      <c r="V16" s="137">
        <f>R5</f>
        <v>42062</v>
      </c>
    </row>
    <row r="17" spans="1:22" s="13" customFormat="1" ht="19.5" customHeight="1">
      <c r="A17" s="141">
        <v>94</v>
      </c>
      <c r="B17" s="142">
        <v>93.28</v>
      </c>
      <c r="C17" s="143" t="s">
        <v>65</v>
      </c>
      <c r="D17" s="144">
        <v>18809</v>
      </c>
      <c r="E17" s="145"/>
      <c r="F17" s="146" t="s">
        <v>69</v>
      </c>
      <c r="G17" s="146" t="s">
        <v>70</v>
      </c>
      <c r="H17" s="147">
        <v>70</v>
      </c>
      <c r="I17" s="148">
        <v>-75</v>
      </c>
      <c r="J17" s="140">
        <v>-75</v>
      </c>
      <c r="K17" s="147">
        <v>90</v>
      </c>
      <c r="L17" s="124">
        <v>95</v>
      </c>
      <c r="M17" s="172" t="s">
        <v>171</v>
      </c>
      <c r="N17" s="92">
        <f t="shared" si="0"/>
        <v>70</v>
      </c>
      <c r="O17" s="92">
        <f t="shared" si="1"/>
        <v>95</v>
      </c>
      <c r="P17" s="92">
        <f t="shared" si="2"/>
        <v>165</v>
      </c>
      <c r="Q17" s="93">
        <f t="shared" si="3"/>
        <v>188.8607270901661</v>
      </c>
      <c r="R17" s="93">
        <f>IF(OR(D17="",B17="",V17=""),0,IF(OR(C17="UM",C17="JM",C17="SM",C17="UK",C17="JK",C17="SK"),"",Q17*(IF(ABS(1900-YEAR((V17+1)-D17))&lt;29,0,(VLOOKUP((YEAR(V17)-YEAR(D17)),'Meltzer-Malone'!$A$3:$B$63,2))))))</f>
        <v>303.68804916098713</v>
      </c>
      <c r="S17" s="97">
        <v>2</v>
      </c>
      <c r="T17" s="97"/>
      <c r="U17" s="95">
        <f t="shared" si="4"/>
        <v>1.1446104672131279</v>
      </c>
      <c r="V17" s="137">
        <f>R5</f>
        <v>42062</v>
      </c>
    </row>
    <row r="18" spans="1:22" s="13" customFormat="1" ht="19.5" customHeight="1">
      <c r="A18" s="141">
        <v>94</v>
      </c>
      <c r="B18" s="142">
        <v>93.68</v>
      </c>
      <c r="C18" s="143" t="s">
        <v>65</v>
      </c>
      <c r="D18" s="144">
        <v>19656</v>
      </c>
      <c r="E18" s="145"/>
      <c r="F18" s="146" t="s">
        <v>71</v>
      </c>
      <c r="G18" s="146" t="s">
        <v>50</v>
      </c>
      <c r="H18" s="147">
        <v>76</v>
      </c>
      <c r="I18" s="148">
        <v>77</v>
      </c>
      <c r="J18" s="140">
        <v>78</v>
      </c>
      <c r="K18" s="147">
        <v>95</v>
      </c>
      <c r="L18" s="124">
        <v>-98</v>
      </c>
      <c r="M18" s="124">
        <v>98</v>
      </c>
      <c r="N18" s="92">
        <f t="shared" si="0"/>
        <v>78</v>
      </c>
      <c r="O18" s="92">
        <f t="shared" si="1"/>
        <v>98</v>
      </c>
      <c r="P18" s="92">
        <f t="shared" si="2"/>
        <v>176</v>
      </c>
      <c r="Q18" s="93">
        <f t="shared" si="3"/>
        <v>201.08091014974286</v>
      </c>
      <c r="R18" s="93">
        <f>IF(OR(D18="",B18="",V18=""),0,IF(OR(C18="UM",C18="JM",C18="SM",C18="UK",C18="JK",C18="SK"),"",Q18*(IF(ABS(1900-YEAR((V18+1)-D18))&lt;29,0,(VLOOKUP((YEAR(V18)-YEAR(D18)),'Meltzer-Malone'!$A$3:$B$63,2))))))</f>
        <v>313.8873007437486</v>
      </c>
      <c r="S18" s="97">
        <v>1</v>
      </c>
      <c r="T18" s="97" t="s">
        <v>22</v>
      </c>
      <c r="U18" s="95">
        <f t="shared" si="4"/>
        <v>1.1425051713053571</v>
      </c>
      <c r="V18" s="137">
        <f>R5</f>
        <v>42062</v>
      </c>
    </row>
    <row r="19" spans="1:22" s="13" customFormat="1" ht="19.5" customHeight="1">
      <c r="A19" s="149" t="s">
        <v>83</v>
      </c>
      <c r="B19" s="142">
        <v>106.32</v>
      </c>
      <c r="C19" s="143" t="s">
        <v>65</v>
      </c>
      <c r="D19" s="144">
        <v>19590</v>
      </c>
      <c r="E19" s="145"/>
      <c r="F19" s="146" t="s">
        <v>72</v>
      </c>
      <c r="G19" s="146" t="s">
        <v>70</v>
      </c>
      <c r="H19" s="147">
        <v>55</v>
      </c>
      <c r="I19" s="148">
        <v>60</v>
      </c>
      <c r="J19" s="140">
        <v>63</v>
      </c>
      <c r="K19" s="147">
        <v>88</v>
      </c>
      <c r="L19" s="124">
        <v>93</v>
      </c>
      <c r="M19" s="124">
        <v>95</v>
      </c>
      <c r="N19" s="92">
        <f t="shared" si="0"/>
        <v>63</v>
      </c>
      <c r="O19" s="92">
        <f t="shared" si="1"/>
        <v>95</v>
      </c>
      <c r="P19" s="92">
        <f t="shared" si="2"/>
        <v>158</v>
      </c>
      <c r="Q19" s="93">
        <f t="shared" si="3"/>
        <v>171.9281341847929</v>
      </c>
      <c r="R19" s="93">
        <f>IF(OR(D19="",B19="",V19=""),0,IF(OR(C19="UM",C19="JM",C19="SM",C19="UK",C19="JK",C19="SK"),"",Q19*(IF(ABS(1900-YEAR((V19+1)-D19))&lt;29,0,(VLOOKUP((YEAR(V19)-YEAR(D19)),'Meltzer-Malone'!$A$3:$B$63,2))))))</f>
        <v>268.3798174624617</v>
      </c>
      <c r="S19" s="97">
        <v>1</v>
      </c>
      <c r="T19" s="97"/>
      <c r="U19" s="95">
        <f t="shared" si="4"/>
        <v>1.0881527480050184</v>
      </c>
      <c r="V19" s="137">
        <f>R5</f>
        <v>42062</v>
      </c>
    </row>
    <row r="20" spans="1:22" s="13" customFormat="1" ht="19.5" customHeight="1">
      <c r="A20" s="141"/>
      <c r="B20" s="142"/>
      <c r="C20" s="143"/>
      <c r="D20" s="144"/>
      <c r="E20" s="145"/>
      <c r="F20" s="146"/>
      <c r="G20" s="146"/>
      <c r="H20" s="147"/>
      <c r="I20" s="148"/>
      <c r="J20" s="140"/>
      <c r="K20" s="147"/>
      <c r="L20" s="91"/>
      <c r="M20" s="91"/>
      <c r="N20" s="92">
        <f t="shared" si="0"/>
        <v>0</v>
      </c>
      <c r="O20" s="92">
        <f t="shared" si="1"/>
        <v>0</v>
      </c>
      <c r="P20" s="92">
        <f t="shared" si="2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42062</v>
      </c>
    </row>
    <row r="21" spans="1:22" s="13" customFormat="1" ht="19.5" customHeight="1">
      <c r="A21" s="119"/>
      <c r="B21" s="86"/>
      <c r="C21" s="121"/>
      <c r="D21" s="88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0"/>
        <v>0</v>
      </c>
      <c r="O21" s="92">
        <f t="shared" si="1"/>
        <v>0</v>
      </c>
      <c r="P21" s="92">
        <f t="shared" si="2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42062</v>
      </c>
    </row>
    <row r="22" spans="1:22" s="13" customFormat="1" ht="19.5" customHeight="1">
      <c r="A22" s="119"/>
      <c r="B22" s="86"/>
      <c r="C22" s="121"/>
      <c r="D22" s="88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0"/>
        <v>0</v>
      </c>
      <c r="O22" s="92">
        <f t="shared" si="1"/>
        <v>0</v>
      </c>
      <c r="P22" s="92">
        <f t="shared" si="2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42062</v>
      </c>
    </row>
    <row r="23" spans="1:22" s="13" customFormat="1" ht="19.5" customHeight="1">
      <c r="A23" s="119"/>
      <c r="B23" s="86"/>
      <c r="C23" s="121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0"/>
        <v>0</v>
      </c>
      <c r="O23" s="92">
        <f t="shared" si="1"/>
        <v>0</v>
      </c>
      <c r="P23" s="92">
        <f t="shared" si="2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42062</v>
      </c>
    </row>
    <row r="24" spans="1:22" s="13" customFormat="1" ht="19.5" customHeight="1">
      <c r="A24" s="119"/>
      <c r="B24" s="86"/>
      <c r="C24" s="121"/>
      <c r="D24" s="88"/>
      <c r="E24" s="89"/>
      <c r="F24" s="90"/>
      <c r="G24" s="90"/>
      <c r="H24" s="96"/>
      <c r="I24" s="91"/>
      <c r="J24" s="91"/>
      <c r="K24" s="96"/>
      <c r="L24" s="91"/>
      <c r="M24" s="91"/>
      <c r="N24" s="92">
        <f t="shared" si="0"/>
        <v>0</v>
      </c>
      <c r="O24" s="92">
        <f t="shared" si="1"/>
        <v>0</v>
      </c>
      <c r="P24" s="102">
        <f t="shared" si="2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42062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38"/>
    </row>
    <row r="26" ht="12.75"/>
    <row r="27" spans="1:20" s="8" customFormat="1" ht="15">
      <c r="A27" s="8" t="s">
        <v>19</v>
      </c>
      <c r="B27"/>
      <c r="C27" s="179" t="s">
        <v>142</v>
      </c>
      <c r="D27" s="180"/>
      <c r="E27" s="180"/>
      <c r="F27" s="180"/>
      <c r="G27" s="55" t="s">
        <v>36</v>
      </c>
      <c r="H27" s="56">
        <v>1</v>
      </c>
      <c r="I27" s="179" t="s">
        <v>144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188"/>
      <c r="D28" s="188"/>
      <c r="E28" s="188"/>
      <c r="F28" s="188"/>
      <c r="G28" s="57" t="s">
        <v>22</v>
      </c>
      <c r="H28" s="56">
        <v>2</v>
      </c>
      <c r="I28" s="179" t="s">
        <v>143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/>
      <c r="D29" s="180"/>
      <c r="E29" s="180"/>
      <c r="F29" s="180"/>
      <c r="G29" s="59"/>
      <c r="H29" s="56">
        <v>3</v>
      </c>
      <c r="I29" s="179" t="s">
        <v>145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/>
      <c r="D30" s="180"/>
      <c r="E30" s="180"/>
      <c r="F30" s="180"/>
      <c r="G30" s="43"/>
      <c r="H30" s="41"/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/>
      <c r="D31" s="180"/>
      <c r="E31" s="180"/>
      <c r="F31" s="180"/>
      <c r="G31" s="61" t="s">
        <v>38</v>
      </c>
      <c r="H31" s="179" t="s">
        <v>146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1"/>
      <c r="D32" s="42"/>
      <c r="E32" s="42"/>
      <c r="F32" s="43"/>
      <c r="G32" s="61" t="s">
        <v>39</v>
      </c>
      <c r="H32" s="179" t="s">
        <v>165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79" t="s">
        <v>52</v>
      </c>
      <c r="D33" s="180"/>
      <c r="E33" s="180"/>
      <c r="F33" s="180"/>
      <c r="G33" s="61" t="s">
        <v>40</v>
      </c>
      <c r="H33" s="179" t="s">
        <v>148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6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28:F28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12 H14:M15 L13:M13 I22:M23 L21:M21 L24:M24 I16:M20 H16:H23">
    <cfRule type="cellIs" priority="7" dxfId="36" operator="between" stopIfTrue="1">
      <formula>1</formula>
      <formula>300</formula>
    </cfRule>
    <cfRule type="cellIs" priority="8" dxfId="37" operator="lessThanOrEqual" stopIfTrue="1">
      <formula>0</formula>
    </cfRule>
  </conditionalFormatting>
  <conditionalFormatting sqref="H13:K13">
    <cfRule type="cellIs" priority="5" dxfId="36" operator="between" stopIfTrue="1">
      <formula>1</formula>
      <formula>300</formula>
    </cfRule>
    <cfRule type="cellIs" priority="6" dxfId="37" operator="lessThanOrEqual" stopIfTrue="1">
      <formula>0</formula>
    </cfRule>
  </conditionalFormatting>
  <conditionalFormatting sqref="I21:K21">
    <cfRule type="cellIs" priority="3" dxfId="36" operator="between" stopIfTrue="1">
      <formula>1</formula>
      <formula>300</formula>
    </cfRule>
    <cfRule type="cellIs" priority="4" dxfId="37" operator="lessThanOrEqual" stopIfTrue="1">
      <formula>0</formula>
    </cfRule>
  </conditionalFormatting>
  <conditionalFormatting sqref="H24:K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sqref="C9:C24">
      <formula1>"UM,JM,SM,UK,JK,SK,M1,M2,M3,M4,M5,M6,M7,M8,M9,M10,K1,K2,K3,K4,K5,K6,K7,K8,K9,K10"</formula1>
    </dataValidation>
    <dataValidation type="list" allowBlank="1" showInputMessage="1" showErrorMessage="1" sqref="A9:A24">
      <formula1>"44,48,53,58,63,69,+69,'+69,69+,75,+75,'+75,75+,50,56,62,69,77,85,94,+94,'+94,94+,105,+105,'+105,105+"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39"/>
  <sheetViews>
    <sheetView showGridLines="0" showRowColHeaders="0" showZeros="0" showOutlineSymbols="0" zoomScaleSheetLayoutView="75" zoomScalePageLayoutView="0" workbookViewId="0" topLeftCell="A10">
      <selection activeCell="C35" sqref="C35:F35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10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69</v>
      </c>
      <c r="B9" s="151">
        <v>68.32</v>
      </c>
      <c r="C9" s="152" t="s">
        <v>209</v>
      </c>
      <c r="D9" s="153">
        <v>36232</v>
      </c>
      <c r="E9" s="154"/>
      <c r="F9" s="155" t="s">
        <v>234</v>
      </c>
      <c r="G9" s="155" t="s">
        <v>134</v>
      </c>
      <c r="H9" s="139">
        <v>50</v>
      </c>
      <c r="I9" s="140">
        <v>53</v>
      </c>
      <c r="J9" s="140">
        <v>-56</v>
      </c>
      <c r="K9" s="139">
        <v>65</v>
      </c>
      <c r="L9" s="124">
        <v>70</v>
      </c>
      <c r="M9" s="124">
        <v>74</v>
      </c>
      <c r="N9" s="92">
        <f aca="true" t="shared" si="0" ref="N9:N24">IF(MAX(H9:J9)&lt;0,0,TRUNC(MAX(H9:J9)/1)*1)</f>
        <v>53</v>
      </c>
      <c r="O9" s="92">
        <f aca="true" t="shared" si="1" ref="O9:O24">IF(MAX(K9:M9)&lt;0,0,TRUNC(MAX(K9:M9)/1)*1)</f>
        <v>74</v>
      </c>
      <c r="P9" s="92">
        <f aca="true" t="shared" si="2" ref="P9:P24">IF(N9=0,0,IF(O9=0,0,SUM(N9:O9)))</f>
        <v>127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160.31507980816562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7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1.2623234630564222</v>
      </c>
      <c r="V9" s="137">
        <f>R5</f>
        <v>42063</v>
      </c>
    </row>
    <row r="10" spans="1:22" s="13" customFormat="1" ht="19.5" customHeight="1">
      <c r="A10" s="156">
        <v>69</v>
      </c>
      <c r="B10" s="151">
        <v>65.52</v>
      </c>
      <c r="C10" s="152" t="s">
        <v>213</v>
      </c>
      <c r="D10" s="153">
        <v>34325</v>
      </c>
      <c r="E10" s="154"/>
      <c r="F10" s="155" t="s">
        <v>235</v>
      </c>
      <c r="G10" s="155" t="s">
        <v>110</v>
      </c>
      <c r="H10" s="139">
        <v>62</v>
      </c>
      <c r="I10" s="140">
        <v>65</v>
      </c>
      <c r="J10" s="140">
        <v>67</v>
      </c>
      <c r="K10" s="139">
        <v>-75</v>
      </c>
      <c r="L10" s="124">
        <v>75</v>
      </c>
      <c r="M10" s="124">
        <v>79</v>
      </c>
      <c r="N10" s="92">
        <f t="shared" si="0"/>
        <v>67</v>
      </c>
      <c r="O10" s="92">
        <f t="shared" si="1"/>
        <v>79</v>
      </c>
      <c r="P10" s="92">
        <f t="shared" si="2"/>
        <v>146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189.13468804081785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3</v>
      </c>
      <c r="T10" s="97"/>
      <c r="U10" s="95">
        <f aca="true" t="shared" si="4" ref="U10:U25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1.295443068772725</v>
      </c>
      <c r="V10" s="137">
        <f>R5</f>
        <v>42063</v>
      </c>
    </row>
    <row r="11" spans="1:22" s="13" customFormat="1" ht="19.5" customHeight="1">
      <c r="A11" s="150">
        <v>69</v>
      </c>
      <c r="B11" s="151">
        <v>67.9</v>
      </c>
      <c r="C11" s="152" t="s">
        <v>213</v>
      </c>
      <c r="D11" s="153">
        <v>34001</v>
      </c>
      <c r="E11" s="154"/>
      <c r="F11" s="155" t="s">
        <v>236</v>
      </c>
      <c r="G11" s="155" t="s">
        <v>110</v>
      </c>
      <c r="H11" s="139">
        <v>62</v>
      </c>
      <c r="I11" s="140">
        <v>-65</v>
      </c>
      <c r="J11" s="140">
        <v>65</v>
      </c>
      <c r="K11" s="139">
        <v>76</v>
      </c>
      <c r="L11" s="124">
        <v>79</v>
      </c>
      <c r="M11" s="124">
        <v>-81</v>
      </c>
      <c r="N11" s="92">
        <f t="shared" si="0"/>
        <v>65</v>
      </c>
      <c r="O11" s="92">
        <f t="shared" si="1"/>
        <v>79</v>
      </c>
      <c r="P11" s="92">
        <f t="shared" si="2"/>
        <v>144</v>
      </c>
      <c r="Q11" s="93">
        <f t="shared" si="3"/>
        <v>182.45398299543498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4</v>
      </c>
      <c r="T11" s="97"/>
      <c r="U11" s="95">
        <f t="shared" si="4"/>
        <v>1.2670415485794095</v>
      </c>
      <c r="V11" s="137">
        <f>R5</f>
        <v>42063</v>
      </c>
    </row>
    <row r="12" spans="1:22" s="13" customFormat="1" ht="19.5" customHeight="1">
      <c r="A12" s="150">
        <v>69</v>
      </c>
      <c r="B12" s="151">
        <v>64.12</v>
      </c>
      <c r="C12" s="152" t="s">
        <v>213</v>
      </c>
      <c r="D12" s="153">
        <v>31365</v>
      </c>
      <c r="E12" s="154"/>
      <c r="F12" s="155" t="s">
        <v>237</v>
      </c>
      <c r="G12" s="155" t="s">
        <v>110</v>
      </c>
      <c r="H12" s="139">
        <v>-60</v>
      </c>
      <c r="I12" s="140">
        <v>60</v>
      </c>
      <c r="J12" s="140">
        <v>-62</v>
      </c>
      <c r="K12" s="139">
        <v>86</v>
      </c>
      <c r="L12" s="124">
        <v>-90</v>
      </c>
      <c r="M12" s="124">
        <v>-90</v>
      </c>
      <c r="N12" s="92">
        <f t="shared" si="0"/>
        <v>60</v>
      </c>
      <c r="O12" s="92">
        <f t="shared" si="1"/>
        <v>86</v>
      </c>
      <c r="P12" s="92">
        <f t="shared" si="2"/>
        <v>146</v>
      </c>
      <c r="Q12" s="93">
        <f t="shared" si="3"/>
        <v>191.78229764643044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2</v>
      </c>
      <c r="T12" s="97" t="s">
        <v>22</v>
      </c>
      <c r="U12" s="95">
        <f t="shared" si="4"/>
        <v>1.3135773811399345</v>
      </c>
      <c r="V12" s="137">
        <f>R5</f>
        <v>42063</v>
      </c>
    </row>
    <row r="13" spans="1:22" s="13" customFormat="1" ht="19.5" customHeight="1">
      <c r="A13" s="150">
        <v>69</v>
      </c>
      <c r="B13" s="151">
        <v>68.6</v>
      </c>
      <c r="C13" s="152" t="s">
        <v>213</v>
      </c>
      <c r="D13" s="153">
        <v>30584</v>
      </c>
      <c r="E13" s="154"/>
      <c r="F13" s="155" t="s">
        <v>238</v>
      </c>
      <c r="G13" s="155" t="s">
        <v>134</v>
      </c>
      <c r="H13" s="139">
        <v>47</v>
      </c>
      <c r="I13" s="140">
        <v>-52</v>
      </c>
      <c r="J13" s="140">
        <v>52</v>
      </c>
      <c r="K13" s="139">
        <v>70</v>
      </c>
      <c r="L13" s="124">
        <v>74</v>
      </c>
      <c r="M13" s="124">
        <v>76</v>
      </c>
      <c r="N13" s="92">
        <f t="shared" si="0"/>
        <v>52</v>
      </c>
      <c r="O13" s="92">
        <f t="shared" si="1"/>
        <v>76</v>
      </c>
      <c r="P13" s="92">
        <f t="shared" si="2"/>
        <v>128</v>
      </c>
      <c r="Q13" s="93">
        <f t="shared" si="3"/>
        <v>161.18072798469112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6</v>
      </c>
      <c r="T13" s="97" t="s">
        <v>22</v>
      </c>
      <c r="U13" s="95">
        <f t="shared" si="4"/>
        <v>1.2592244373803994</v>
      </c>
      <c r="V13" s="137">
        <f>R5</f>
        <v>42063</v>
      </c>
    </row>
    <row r="14" spans="1:22" s="13" customFormat="1" ht="19.5" customHeight="1">
      <c r="A14" s="150">
        <v>69</v>
      </c>
      <c r="B14" s="151">
        <v>68.78</v>
      </c>
      <c r="C14" s="152" t="s">
        <v>213</v>
      </c>
      <c r="D14" s="153">
        <v>33182</v>
      </c>
      <c r="E14" s="154"/>
      <c r="F14" s="155" t="s">
        <v>239</v>
      </c>
      <c r="G14" s="155" t="s">
        <v>114</v>
      </c>
      <c r="H14" s="139">
        <v>48</v>
      </c>
      <c r="I14" s="140">
        <v>53</v>
      </c>
      <c r="J14" s="140">
        <v>56</v>
      </c>
      <c r="K14" s="139">
        <v>65</v>
      </c>
      <c r="L14" s="124">
        <v>-70</v>
      </c>
      <c r="M14" s="124">
        <v>-70</v>
      </c>
      <c r="N14" s="92">
        <f t="shared" si="0"/>
        <v>56</v>
      </c>
      <c r="O14" s="92">
        <f t="shared" si="1"/>
        <v>65</v>
      </c>
      <c r="P14" s="92">
        <f t="shared" si="2"/>
        <v>121</v>
      </c>
      <c r="Q14" s="93">
        <f t="shared" si="3"/>
        <v>152.1274307740146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8</v>
      </c>
      <c r="T14" s="97" t="s">
        <v>22</v>
      </c>
      <c r="U14" s="95">
        <f t="shared" si="4"/>
        <v>1.2572514940001207</v>
      </c>
      <c r="V14" s="137">
        <f>R5</f>
        <v>42063</v>
      </c>
    </row>
    <row r="15" spans="1:22" s="13" customFormat="1" ht="19.5" customHeight="1">
      <c r="A15" s="150">
        <v>69</v>
      </c>
      <c r="B15" s="151">
        <v>68.28</v>
      </c>
      <c r="C15" s="152" t="s">
        <v>213</v>
      </c>
      <c r="D15" s="153">
        <v>31684</v>
      </c>
      <c r="E15" s="154"/>
      <c r="F15" s="155" t="s">
        <v>240</v>
      </c>
      <c r="G15" s="155" t="s">
        <v>50</v>
      </c>
      <c r="H15" s="139">
        <v>-40</v>
      </c>
      <c r="I15" s="140">
        <v>40</v>
      </c>
      <c r="J15" s="140">
        <v>-43</v>
      </c>
      <c r="K15" s="139">
        <v>50</v>
      </c>
      <c r="L15" s="124">
        <v>55</v>
      </c>
      <c r="M15" s="124">
        <v>-58</v>
      </c>
      <c r="N15" s="92">
        <f t="shared" si="0"/>
        <v>40</v>
      </c>
      <c r="O15" s="92">
        <f t="shared" si="1"/>
        <v>55</v>
      </c>
      <c r="P15" s="92">
        <f t="shared" si="2"/>
        <v>95</v>
      </c>
      <c r="Q15" s="93">
        <f t="shared" si="3"/>
        <v>119.9630729316981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9</v>
      </c>
      <c r="T15" s="97"/>
      <c r="U15" s="95">
        <f t="shared" si="4"/>
        <v>1.2627691887547168</v>
      </c>
      <c r="V15" s="137">
        <f>R5</f>
        <v>42063</v>
      </c>
    </row>
    <row r="16" spans="1:22" s="13" customFormat="1" ht="19.5" customHeight="1">
      <c r="A16" s="150">
        <v>69</v>
      </c>
      <c r="B16" s="151">
        <v>64.58</v>
      </c>
      <c r="C16" s="152" t="s">
        <v>213</v>
      </c>
      <c r="D16" s="153">
        <v>33735</v>
      </c>
      <c r="E16" s="154"/>
      <c r="F16" s="155" t="s">
        <v>241</v>
      </c>
      <c r="G16" s="155" t="s">
        <v>136</v>
      </c>
      <c r="H16" s="147">
        <v>74</v>
      </c>
      <c r="I16" s="148">
        <v>77</v>
      </c>
      <c r="J16" s="140">
        <v>80</v>
      </c>
      <c r="K16" s="147">
        <v>90</v>
      </c>
      <c r="L16" s="124">
        <v>-95</v>
      </c>
      <c r="M16" s="124">
        <v>-95</v>
      </c>
      <c r="N16" s="92">
        <f t="shared" si="0"/>
        <v>80</v>
      </c>
      <c r="O16" s="92">
        <f t="shared" si="1"/>
        <v>90</v>
      </c>
      <c r="P16" s="92">
        <f t="shared" si="2"/>
        <v>170</v>
      </c>
      <c r="Q16" s="93">
        <f t="shared" si="3"/>
        <v>222.27416513008924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1</v>
      </c>
      <c r="T16" s="97"/>
      <c r="U16" s="95">
        <f t="shared" si="4"/>
        <v>1.307495089000525</v>
      </c>
      <c r="V16" s="137">
        <f>R5</f>
        <v>42063</v>
      </c>
    </row>
    <row r="17" spans="1:22" s="13" customFormat="1" ht="19.5" customHeight="1">
      <c r="A17" s="150">
        <v>69</v>
      </c>
      <c r="B17" s="151">
        <v>68.6</v>
      </c>
      <c r="C17" s="152" t="s">
        <v>116</v>
      </c>
      <c r="D17" s="153">
        <v>26306</v>
      </c>
      <c r="E17" s="154"/>
      <c r="F17" s="155" t="s">
        <v>242</v>
      </c>
      <c r="G17" s="155" t="s">
        <v>133</v>
      </c>
      <c r="H17" s="139">
        <v>48</v>
      </c>
      <c r="I17" s="140">
        <v>52</v>
      </c>
      <c r="J17" s="140">
        <v>54</v>
      </c>
      <c r="K17" s="139">
        <v>70</v>
      </c>
      <c r="L17" s="124">
        <v>74</v>
      </c>
      <c r="M17" s="124">
        <v>76</v>
      </c>
      <c r="N17" s="92">
        <f t="shared" si="0"/>
        <v>54</v>
      </c>
      <c r="O17" s="92">
        <f t="shared" si="1"/>
        <v>76</v>
      </c>
      <c r="P17" s="92">
        <f t="shared" si="2"/>
        <v>130</v>
      </c>
      <c r="Q17" s="93">
        <f t="shared" si="3"/>
        <v>163.6991768594519</v>
      </c>
      <c r="R17" s="93">
        <f>IF(OR(D17="",B17="",V17=""),0,IF(OR(C17="UM",C17="JM",C17="SM",C17="UK",C17="JK",C17="SK"),"",Q17*(IF(ABS(1900-YEAR((V17+1)-D17))&lt;29,0,(VLOOKUP((YEAR(V17)-YEAR(D17)),'Meltzer-Malone'!$A$3:$B$63,2))))))</f>
        <v>191.52803692555872</v>
      </c>
      <c r="S17" s="97">
        <v>5</v>
      </c>
      <c r="T17" s="130" t="s">
        <v>173</v>
      </c>
      <c r="U17" s="95">
        <f t="shared" si="4"/>
        <v>1.2592244373803994</v>
      </c>
      <c r="V17" s="137">
        <f>R5</f>
        <v>42063</v>
      </c>
    </row>
    <row r="18" spans="1:22" s="13" customFormat="1" ht="19.5" customHeight="1">
      <c r="A18" s="104"/>
      <c r="B18" s="86"/>
      <c r="C18" s="87"/>
      <c r="D18" s="87" t="s">
        <v>22</v>
      </c>
      <c r="E18" s="89"/>
      <c r="F18" s="90" t="s">
        <v>22</v>
      </c>
      <c r="G18" s="90" t="s">
        <v>22</v>
      </c>
      <c r="H18" s="96"/>
      <c r="I18" s="91"/>
      <c r="J18" s="91"/>
      <c r="K18" s="96"/>
      <c r="L18" s="91"/>
      <c r="M18" s="91"/>
      <c r="N18" s="92">
        <f t="shared" si="0"/>
        <v>0</v>
      </c>
      <c r="O18" s="92">
        <f t="shared" si="1"/>
        <v>0</v>
      </c>
      <c r="P18" s="92">
        <f t="shared" si="2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 t="s">
        <v>22</v>
      </c>
      <c r="T18" s="97" t="s">
        <v>22</v>
      </c>
      <c r="U18" s="95">
        <f t="shared" si="4"/>
      </c>
      <c r="V18" s="137">
        <f>R5</f>
        <v>42063</v>
      </c>
    </row>
    <row r="19" spans="1:22" s="13" customFormat="1" ht="19.5" customHeight="1">
      <c r="A19" s="104"/>
      <c r="B19" s="86"/>
      <c r="C19" s="87"/>
      <c r="D19" s="87"/>
      <c r="E19" s="89"/>
      <c r="F19" s="90"/>
      <c r="G19" s="90"/>
      <c r="H19" s="96"/>
      <c r="I19" s="91"/>
      <c r="J19" s="91"/>
      <c r="K19" s="96"/>
      <c r="L19" s="91"/>
      <c r="M19" s="91"/>
      <c r="N19" s="92">
        <f t="shared" si="0"/>
        <v>0</v>
      </c>
      <c r="O19" s="92">
        <f t="shared" si="1"/>
        <v>0</v>
      </c>
      <c r="P19" s="92">
        <f t="shared" si="2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42063</v>
      </c>
    </row>
    <row r="20" spans="1:22" s="13" customFormat="1" ht="19.5" customHeight="1">
      <c r="A20" s="104"/>
      <c r="B20" s="86"/>
      <c r="C20" s="87"/>
      <c r="D20" s="87"/>
      <c r="E20" s="89"/>
      <c r="F20" s="90"/>
      <c r="G20" s="90"/>
      <c r="H20" s="96"/>
      <c r="I20" s="91"/>
      <c r="J20" s="91"/>
      <c r="K20" s="96"/>
      <c r="L20" s="91"/>
      <c r="M20" s="91"/>
      <c r="N20" s="92">
        <f t="shared" si="0"/>
        <v>0</v>
      </c>
      <c r="O20" s="92">
        <f t="shared" si="1"/>
        <v>0</v>
      </c>
      <c r="P20" s="92">
        <f t="shared" si="2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42063</v>
      </c>
    </row>
    <row r="21" spans="1:22" s="13" customFormat="1" ht="19.5" customHeight="1">
      <c r="A21" s="104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0"/>
        <v>0</v>
      </c>
      <c r="O21" s="92">
        <f t="shared" si="1"/>
        <v>0</v>
      </c>
      <c r="P21" s="92">
        <f t="shared" si="2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104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0"/>
        <v>0</v>
      </c>
      <c r="O22" s="92">
        <f t="shared" si="1"/>
        <v>0</v>
      </c>
      <c r="P22" s="92">
        <f t="shared" si="2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104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0"/>
        <v>0</v>
      </c>
      <c r="O23" s="92">
        <f t="shared" si="1"/>
        <v>0</v>
      </c>
      <c r="P23" s="92">
        <f t="shared" si="2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104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0"/>
        <v>0</v>
      </c>
      <c r="O24" s="92">
        <f t="shared" si="1"/>
        <v>0</v>
      </c>
      <c r="P24" s="102">
        <f t="shared" si="2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95">
        <f t="shared" si="4"/>
      </c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144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152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 t="s">
        <v>157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 t="s">
        <v>159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 t="s">
        <v>143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260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257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79" t="s">
        <v>261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V39"/>
  <sheetViews>
    <sheetView showGridLines="0" showRowColHeaders="0" showZeros="0" showOutlineSymbols="0" zoomScaleSheetLayoutView="75" zoomScalePageLayoutView="0" workbookViewId="0" topLeftCell="A4">
      <selection activeCell="T18" sqref="T18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11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85</v>
      </c>
      <c r="B9" s="151">
        <v>83.2</v>
      </c>
      <c r="C9" s="152" t="s">
        <v>179</v>
      </c>
      <c r="D9" s="153">
        <v>34899</v>
      </c>
      <c r="E9" s="154"/>
      <c r="F9" s="155" t="s">
        <v>197</v>
      </c>
      <c r="G9" s="155" t="s">
        <v>67</v>
      </c>
      <c r="H9" s="139">
        <v>94</v>
      </c>
      <c r="I9" s="140">
        <v>98</v>
      </c>
      <c r="J9" s="140">
        <v>-101</v>
      </c>
      <c r="K9" s="139">
        <v>128</v>
      </c>
      <c r="L9" s="124">
        <v>-134</v>
      </c>
      <c r="M9" s="124">
        <v>-135</v>
      </c>
      <c r="N9" s="92">
        <f aca="true" t="shared" si="0" ref="N9:N24">IF(MAX(H9:J9)&lt;0,0,TRUNC(MAX(H9:J9)/1)*1)</f>
        <v>98</v>
      </c>
      <c r="O9" s="92">
        <f aca="true" t="shared" si="1" ref="O9:O24">IF(MAX(K9:M9)&lt;0,0,TRUNC(MAX(K9:M9)/1)*1)</f>
        <v>128</v>
      </c>
      <c r="P9" s="92">
        <f aca="true" t="shared" si="2" ref="P9:P24">IF(N9=0,0,IF(O9=0,0,SUM(N9:O9)))</f>
        <v>226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273.002696447375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10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1.2079765329529868</v>
      </c>
      <c r="V9" s="137">
        <f>R5</f>
        <v>42063</v>
      </c>
    </row>
    <row r="10" spans="1:22" s="13" customFormat="1" ht="19.5" customHeight="1">
      <c r="A10" s="150">
        <v>85</v>
      </c>
      <c r="B10" s="151">
        <v>83.06</v>
      </c>
      <c r="C10" s="152" t="s">
        <v>126</v>
      </c>
      <c r="D10" s="153">
        <v>30929</v>
      </c>
      <c r="E10" s="154"/>
      <c r="F10" s="155" t="s">
        <v>198</v>
      </c>
      <c r="G10" s="155" t="s">
        <v>110</v>
      </c>
      <c r="H10" s="139">
        <v>102</v>
      </c>
      <c r="I10" s="140">
        <v>110</v>
      </c>
      <c r="J10" s="140">
        <v>-116</v>
      </c>
      <c r="K10" s="139">
        <v>135</v>
      </c>
      <c r="L10" s="124">
        <v>150</v>
      </c>
      <c r="M10" s="124">
        <v>-154</v>
      </c>
      <c r="N10" s="92">
        <f t="shared" si="0"/>
        <v>110</v>
      </c>
      <c r="O10" s="92">
        <f t="shared" si="1"/>
        <v>150</v>
      </c>
      <c r="P10" s="92">
        <f t="shared" si="2"/>
        <v>260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314.34440835332526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2</v>
      </c>
      <c r="T10" s="97"/>
      <c r="U10" s="95">
        <f aca="true" t="shared" si="4" ref="U10:U23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1.209016955205097</v>
      </c>
      <c r="V10" s="137">
        <f>R5</f>
        <v>42063</v>
      </c>
    </row>
    <row r="11" spans="1:22" s="13" customFormat="1" ht="19.5" customHeight="1">
      <c r="A11" s="150">
        <v>85</v>
      </c>
      <c r="B11" s="151">
        <v>84.52</v>
      </c>
      <c r="C11" s="152" t="s">
        <v>126</v>
      </c>
      <c r="D11" s="153">
        <v>34077</v>
      </c>
      <c r="E11" s="154"/>
      <c r="F11" s="155" t="s">
        <v>199</v>
      </c>
      <c r="G11" s="155" t="s">
        <v>137</v>
      </c>
      <c r="H11" s="139">
        <v>105</v>
      </c>
      <c r="I11" s="140">
        <v>110</v>
      </c>
      <c r="J11" s="140">
        <v>-113</v>
      </c>
      <c r="K11" s="139">
        <v>130</v>
      </c>
      <c r="L11" s="172" t="s">
        <v>171</v>
      </c>
      <c r="M11" s="172" t="s">
        <v>171</v>
      </c>
      <c r="N11" s="92">
        <f t="shared" si="0"/>
        <v>110</v>
      </c>
      <c r="O11" s="92">
        <f t="shared" si="1"/>
        <v>130</v>
      </c>
      <c r="P11" s="92">
        <f t="shared" si="2"/>
        <v>240</v>
      </c>
      <c r="Q11" s="93">
        <f t="shared" si="3"/>
        <v>287.6180673902696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6</v>
      </c>
      <c r="T11" s="97"/>
      <c r="U11" s="95">
        <f t="shared" si="4"/>
        <v>1.1984086141261232</v>
      </c>
      <c r="V11" s="137">
        <f>R5</f>
        <v>42063</v>
      </c>
    </row>
    <row r="12" spans="1:22" s="13" customFormat="1" ht="19.5" customHeight="1">
      <c r="A12" s="150">
        <v>85</v>
      </c>
      <c r="B12" s="151">
        <v>82.16</v>
      </c>
      <c r="C12" s="152" t="s">
        <v>126</v>
      </c>
      <c r="D12" s="153">
        <v>32516</v>
      </c>
      <c r="E12" s="154"/>
      <c r="F12" s="155" t="s">
        <v>200</v>
      </c>
      <c r="G12" s="155" t="s">
        <v>61</v>
      </c>
      <c r="H12" s="139">
        <v>90</v>
      </c>
      <c r="I12" s="140">
        <v>-95</v>
      </c>
      <c r="J12" s="140">
        <v>96</v>
      </c>
      <c r="K12" s="139">
        <v>130</v>
      </c>
      <c r="L12" s="124">
        <v>-136</v>
      </c>
      <c r="M12" s="124">
        <v>-138</v>
      </c>
      <c r="N12" s="92">
        <f t="shared" si="0"/>
        <v>96</v>
      </c>
      <c r="O12" s="92">
        <f t="shared" si="1"/>
        <v>130</v>
      </c>
      <c r="P12" s="92">
        <f t="shared" si="2"/>
        <v>226</v>
      </c>
      <c r="Q12" s="93">
        <f t="shared" si="3"/>
        <v>274.7768371849296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9</v>
      </c>
      <c r="T12" s="97" t="s">
        <v>22</v>
      </c>
      <c r="U12" s="95">
        <f t="shared" si="4"/>
        <v>1.215826713207653</v>
      </c>
      <c r="V12" s="137">
        <f>R5</f>
        <v>42063</v>
      </c>
    </row>
    <row r="13" spans="1:22" s="13" customFormat="1" ht="19.5" customHeight="1">
      <c r="A13" s="150">
        <v>85</v>
      </c>
      <c r="B13" s="151">
        <v>83.7</v>
      </c>
      <c r="C13" s="152" t="s">
        <v>126</v>
      </c>
      <c r="D13" s="153">
        <v>31742</v>
      </c>
      <c r="E13" s="154"/>
      <c r="F13" s="155" t="s">
        <v>201</v>
      </c>
      <c r="G13" s="155" t="s">
        <v>61</v>
      </c>
      <c r="H13" s="139">
        <v>98</v>
      </c>
      <c r="I13" s="140">
        <v>102</v>
      </c>
      <c r="J13" s="140">
        <v>-106</v>
      </c>
      <c r="K13" s="139">
        <v>125</v>
      </c>
      <c r="L13" s="124">
        <v>-130</v>
      </c>
      <c r="M13" s="124">
        <v>-132</v>
      </c>
      <c r="N13" s="92">
        <f t="shared" si="0"/>
        <v>102</v>
      </c>
      <c r="O13" s="92">
        <f t="shared" si="1"/>
        <v>125</v>
      </c>
      <c r="P13" s="92">
        <f t="shared" si="2"/>
        <v>227</v>
      </c>
      <c r="Q13" s="93">
        <f t="shared" si="3"/>
        <v>273.3764038783042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8</v>
      </c>
      <c r="T13" s="97" t="s">
        <v>22</v>
      </c>
      <c r="U13" s="95">
        <f t="shared" si="4"/>
        <v>1.2043013386709436</v>
      </c>
      <c r="V13" s="137">
        <f>R5</f>
        <v>42063</v>
      </c>
    </row>
    <row r="14" spans="1:22" s="13" customFormat="1" ht="19.5" customHeight="1">
      <c r="A14" s="150">
        <v>85</v>
      </c>
      <c r="B14" s="151">
        <v>83.14</v>
      </c>
      <c r="C14" s="152" t="s">
        <v>126</v>
      </c>
      <c r="D14" s="153">
        <v>33128</v>
      </c>
      <c r="E14" s="154"/>
      <c r="F14" s="155" t="s">
        <v>202</v>
      </c>
      <c r="G14" s="155" t="s">
        <v>50</v>
      </c>
      <c r="H14" s="139">
        <v>105</v>
      </c>
      <c r="I14" s="140">
        <v>110</v>
      </c>
      <c r="J14" s="140">
        <v>112</v>
      </c>
      <c r="K14" s="139">
        <v>130</v>
      </c>
      <c r="L14" s="124">
        <v>-135</v>
      </c>
      <c r="M14" s="124">
        <v>-135</v>
      </c>
      <c r="N14" s="92">
        <f t="shared" si="0"/>
        <v>112</v>
      </c>
      <c r="O14" s="92">
        <f t="shared" si="1"/>
        <v>130</v>
      </c>
      <c r="P14" s="92">
        <f t="shared" si="2"/>
        <v>242</v>
      </c>
      <c r="Q14" s="93">
        <f t="shared" si="3"/>
        <v>292.43807910256544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3</v>
      </c>
      <c r="T14" s="97" t="s">
        <v>22</v>
      </c>
      <c r="U14" s="95">
        <f t="shared" si="4"/>
        <v>1.208421814473411</v>
      </c>
      <c r="V14" s="137">
        <f>R5</f>
        <v>42063</v>
      </c>
    </row>
    <row r="15" spans="1:22" s="13" customFormat="1" ht="19.5" customHeight="1">
      <c r="A15" s="150">
        <v>85</v>
      </c>
      <c r="B15" s="151">
        <v>84.36</v>
      </c>
      <c r="C15" s="152" t="s">
        <v>126</v>
      </c>
      <c r="D15" s="153">
        <v>32519</v>
      </c>
      <c r="E15" s="154"/>
      <c r="F15" s="155" t="s">
        <v>203</v>
      </c>
      <c r="G15" s="155" t="s">
        <v>108</v>
      </c>
      <c r="H15" s="139">
        <v>113</v>
      </c>
      <c r="I15" s="140">
        <v>117</v>
      </c>
      <c r="J15" s="140">
        <v>120</v>
      </c>
      <c r="K15" s="139">
        <v>-140</v>
      </c>
      <c r="L15" s="124">
        <v>140</v>
      </c>
      <c r="M15" s="124">
        <v>144</v>
      </c>
      <c r="N15" s="92">
        <f t="shared" si="0"/>
        <v>120</v>
      </c>
      <c r="O15" s="92">
        <f t="shared" si="1"/>
        <v>144</v>
      </c>
      <c r="P15" s="92">
        <f t="shared" si="2"/>
        <v>264</v>
      </c>
      <c r="Q15" s="93">
        <f t="shared" si="3"/>
        <v>316.68000964086315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1</v>
      </c>
      <c r="T15" s="97"/>
      <c r="U15" s="95">
        <f t="shared" si="4"/>
        <v>1.1995454910638756</v>
      </c>
      <c r="V15" s="137">
        <f>R5</f>
        <v>42063</v>
      </c>
    </row>
    <row r="16" spans="1:22" s="13" customFormat="1" ht="19.5" customHeight="1">
      <c r="A16" s="150">
        <v>85</v>
      </c>
      <c r="B16" s="151">
        <v>84.1</v>
      </c>
      <c r="C16" s="152" t="s">
        <v>126</v>
      </c>
      <c r="D16" s="153">
        <v>33205</v>
      </c>
      <c r="E16" s="154"/>
      <c r="F16" s="155" t="s">
        <v>204</v>
      </c>
      <c r="G16" s="155" t="s">
        <v>136</v>
      </c>
      <c r="H16" s="139">
        <v>93</v>
      </c>
      <c r="I16" s="140">
        <v>97</v>
      </c>
      <c r="J16" s="140">
        <v>-102</v>
      </c>
      <c r="K16" s="139">
        <v>113</v>
      </c>
      <c r="L16" s="124">
        <v>-118</v>
      </c>
      <c r="M16" s="124">
        <v>-118</v>
      </c>
      <c r="N16" s="92">
        <f t="shared" si="0"/>
        <v>97</v>
      </c>
      <c r="O16" s="92">
        <f t="shared" si="1"/>
        <v>113</v>
      </c>
      <c r="P16" s="92">
        <f t="shared" si="2"/>
        <v>210</v>
      </c>
      <c r="Q16" s="93">
        <f t="shared" si="3"/>
        <v>252.29530332353977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13</v>
      </c>
      <c r="T16" s="97"/>
      <c r="U16" s="95">
        <f t="shared" si="4"/>
        <v>1.2014062063025703</v>
      </c>
      <c r="V16" s="137">
        <f>R5</f>
        <v>42063</v>
      </c>
    </row>
    <row r="17" spans="1:22" s="13" customFormat="1" ht="19.5" customHeight="1">
      <c r="A17" s="150">
        <v>85</v>
      </c>
      <c r="B17" s="151">
        <v>83.26</v>
      </c>
      <c r="C17" s="152" t="s">
        <v>104</v>
      </c>
      <c r="D17" s="153">
        <v>23084</v>
      </c>
      <c r="E17" s="154"/>
      <c r="F17" s="155" t="s">
        <v>205</v>
      </c>
      <c r="G17" s="155" t="s">
        <v>67</v>
      </c>
      <c r="H17" s="139">
        <v>98</v>
      </c>
      <c r="I17" s="140">
        <v>-101</v>
      </c>
      <c r="J17" s="140">
        <v>-101</v>
      </c>
      <c r="K17" s="139">
        <v>-117</v>
      </c>
      <c r="L17" s="124">
        <v>117</v>
      </c>
      <c r="M17" s="172" t="s">
        <v>171</v>
      </c>
      <c r="N17" s="92">
        <f t="shared" si="0"/>
        <v>98</v>
      </c>
      <c r="O17" s="92">
        <f t="shared" si="1"/>
        <v>117</v>
      </c>
      <c r="P17" s="92">
        <f t="shared" si="2"/>
        <v>215</v>
      </c>
      <c r="Q17" s="93">
        <f t="shared" si="3"/>
        <v>259.619416437016</v>
      </c>
      <c r="R17" s="93">
        <f>IF(OR(D17="",B17="",V17=""),0,IF(OR(C17="UM",C17="JM",C17="SM",C17="UK",C17="JK",C17="SK"),"",Q17*(IF(ABS(1900-YEAR((V17+1)-D17))&lt;29,0,(VLOOKUP((YEAR(V17)-YEAR(D17)),'Meltzer-Malone'!$A$3:$B$63,2))))))</f>
        <v>329.97627829144733</v>
      </c>
      <c r="S17" s="175" t="s">
        <v>293</v>
      </c>
      <c r="T17" s="97"/>
      <c r="U17" s="95">
        <f t="shared" si="4"/>
        <v>1.2075321694744932</v>
      </c>
      <c r="V17" s="137">
        <f>R5</f>
        <v>42063</v>
      </c>
    </row>
    <row r="18" spans="1:22" s="13" customFormat="1" ht="19.5" customHeight="1">
      <c r="A18" s="150">
        <v>85</v>
      </c>
      <c r="B18" s="151">
        <v>81.04</v>
      </c>
      <c r="C18" s="152" t="s">
        <v>118</v>
      </c>
      <c r="D18" s="153">
        <v>28620</v>
      </c>
      <c r="E18" s="154"/>
      <c r="F18" s="155" t="s">
        <v>206</v>
      </c>
      <c r="G18" s="155" t="s">
        <v>59</v>
      </c>
      <c r="H18" s="139">
        <v>-105</v>
      </c>
      <c r="I18" s="140">
        <v>105</v>
      </c>
      <c r="J18" s="140">
        <v>-110</v>
      </c>
      <c r="K18" s="139">
        <v>130</v>
      </c>
      <c r="L18" s="124">
        <v>-135</v>
      </c>
      <c r="M18" s="124">
        <v>-135</v>
      </c>
      <c r="N18" s="92">
        <f t="shared" si="0"/>
        <v>105</v>
      </c>
      <c r="O18" s="92">
        <f t="shared" si="1"/>
        <v>130</v>
      </c>
      <c r="P18" s="92">
        <f t="shared" si="2"/>
        <v>235</v>
      </c>
      <c r="Q18" s="93">
        <f t="shared" si="3"/>
        <v>287.78180024680626</v>
      </c>
      <c r="R18" s="93">
        <f>IF(OR(D18="",B18="",V18=""),0,IF(OR(C18="UM",C18="JM",C18="SM",C18="UK",C18="JK",C18="SK"),"",Q18*(IF(ABS(1900-YEAR((V18+1)-D18))&lt;29,0,(VLOOKUP((YEAR(V18)-YEAR(D18)),'Meltzer-Malone'!$A$3:$B$63,2))))))</f>
        <v>316.5599802714869</v>
      </c>
      <c r="S18" s="175" t="s">
        <v>294</v>
      </c>
      <c r="T18" s="97" t="s">
        <v>22</v>
      </c>
      <c r="U18" s="95">
        <f t="shared" si="4"/>
        <v>1.2246034053055586</v>
      </c>
      <c r="V18" s="137">
        <f>R5</f>
        <v>42063</v>
      </c>
    </row>
    <row r="19" spans="1:22" s="13" customFormat="1" ht="19.5" customHeight="1">
      <c r="A19" s="150">
        <v>85</v>
      </c>
      <c r="B19" s="171">
        <v>84.28</v>
      </c>
      <c r="C19" s="152" t="s">
        <v>126</v>
      </c>
      <c r="D19" s="153">
        <v>33792</v>
      </c>
      <c r="E19" s="154"/>
      <c r="F19" s="155" t="s">
        <v>207</v>
      </c>
      <c r="G19" s="155" t="s">
        <v>59</v>
      </c>
      <c r="H19" s="139">
        <v>107</v>
      </c>
      <c r="I19" s="140">
        <v>112</v>
      </c>
      <c r="J19" s="140">
        <v>-116</v>
      </c>
      <c r="K19" s="139">
        <v>130</v>
      </c>
      <c r="L19" s="124">
        <v>-135</v>
      </c>
      <c r="M19" s="124">
        <v>-135</v>
      </c>
      <c r="N19" s="92">
        <f t="shared" si="0"/>
        <v>112</v>
      </c>
      <c r="O19" s="92">
        <f t="shared" si="1"/>
        <v>130</v>
      </c>
      <c r="P19" s="92">
        <f t="shared" si="2"/>
        <v>242</v>
      </c>
      <c r="Q19" s="93">
        <f t="shared" si="3"/>
        <v>290.4281350455653</v>
      </c>
      <c r="R19" s="93">
        <f>IF(OR(D19="",B19="",V19=""),0,IF(OR(C19="UM",C19="JM",C19="SM",C19="UK",C19="JK",C19="SK"),"",Q19*(IF(ABS(1900-YEAR((V19+1)-D19))&lt;29,0,(VLOOKUP((YEAR(V19)-YEAR(D19)),'Meltzer-Malone'!$A$3:$B$63,2))))))</f>
      </c>
      <c r="S19" s="97">
        <v>5</v>
      </c>
      <c r="T19" s="97"/>
      <c r="U19" s="95">
        <f t="shared" si="4"/>
        <v>1.2001162605188649</v>
      </c>
      <c r="V19" s="137">
        <f>R5</f>
        <v>42063</v>
      </c>
    </row>
    <row r="20" spans="1:22" s="13" customFormat="1" ht="19.5" customHeight="1">
      <c r="A20" s="150">
        <v>85</v>
      </c>
      <c r="B20" s="151">
        <v>83.7</v>
      </c>
      <c r="C20" s="152" t="s">
        <v>126</v>
      </c>
      <c r="D20" s="153">
        <v>32098</v>
      </c>
      <c r="E20" s="154"/>
      <c r="F20" s="155" t="s">
        <v>208</v>
      </c>
      <c r="G20" s="155" t="s">
        <v>110</v>
      </c>
      <c r="H20" s="147">
        <v>-110</v>
      </c>
      <c r="I20" s="148">
        <v>110</v>
      </c>
      <c r="J20" s="140">
        <v>-116</v>
      </c>
      <c r="K20" s="147">
        <v>-132</v>
      </c>
      <c r="L20" s="124">
        <v>-132</v>
      </c>
      <c r="M20" s="124">
        <v>132</v>
      </c>
      <c r="N20" s="92">
        <f t="shared" si="0"/>
        <v>110</v>
      </c>
      <c r="O20" s="92">
        <f t="shared" si="1"/>
        <v>132</v>
      </c>
      <c r="P20" s="92">
        <f t="shared" si="2"/>
        <v>242</v>
      </c>
      <c r="Q20" s="93">
        <f t="shared" si="3"/>
        <v>291.44092395836833</v>
      </c>
      <c r="R20" s="93">
        <f>IF(OR(D20="",B20="",V20=""),0,IF(OR(C20="UM",C20="JM",C20="SM",C20="UK",C20="JK",C20="SK"),"",Q20*(IF(ABS(1900-YEAR((V20+1)-D20))&lt;29,0,(VLOOKUP((YEAR(V20)-YEAR(D20)),'Meltzer-Malone'!$A$3:$B$63,2))))))</f>
      </c>
      <c r="S20" s="97">
        <v>4</v>
      </c>
      <c r="T20" s="97"/>
      <c r="U20" s="95">
        <f t="shared" si="4"/>
        <v>1.2043013386709436</v>
      </c>
      <c r="V20" s="137">
        <f>R5</f>
        <v>42063</v>
      </c>
    </row>
    <row r="21" spans="1:22" s="13" customFormat="1" ht="19.5" customHeight="1">
      <c r="A21" s="150"/>
      <c r="B21" s="151"/>
      <c r="C21" s="152"/>
      <c r="D21" s="153"/>
      <c r="E21" s="154"/>
      <c r="F21" s="155"/>
      <c r="G21" s="155"/>
      <c r="H21" s="147"/>
      <c r="I21" s="148"/>
      <c r="J21" s="140"/>
      <c r="K21" s="147"/>
      <c r="L21" s="91"/>
      <c r="M21" s="91"/>
      <c r="N21" s="92">
        <f t="shared" si="0"/>
        <v>0</v>
      </c>
      <c r="O21" s="92">
        <f t="shared" si="1"/>
        <v>0</v>
      </c>
      <c r="P21" s="92">
        <f t="shared" si="2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104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0"/>
        <v>0</v>
      </c>
      <c r="O22" s="92">
        <f t="shared" si="1"/>
        <v>0</v>
      </c>
      <c r="P22" s="92">
        <f t="shared" si="2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104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0"/>
        <v>0</v>
      </c>
      <c r="O23" s="92">
        <f t="shared" si="1"/>
        <v>0</v>
      </c>
      <c r="P23" s="92">
        <f t="shared" si="2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104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0"/>
        <v>0</v>
      </c>
      <c r="O24" s="92">
        <f t="shared" si="1"/>
        <v>0</v>
      </c>
      <c r="P24" s="102">
        <f t="shared" si="2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>IF(P24="","",IF(B24="","",IF(OR(C24="UK",C24="JK",C24="SK",C24="K1",C24="K2",C24="K3",C24="K4",C24="K5",C24="K6",C24="K7",C24="K8",C24="K9",C24="K10"),IF(B24&gt;148.026,1,IF(B24&lt;28,10^(0.89726074*LOG10(28/148.026)^2),10^(0.89726074*LOG10(B24/148.026)^2))),IF(B24&gt;174.393,1,IF(B24&lt;32,10^(0.794358141*LOG10(32/174.393)^2),10^(0.794358141*LOG10(B24/174.393)^2))))))</f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161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144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158</v>
      </c>
      <c r="D29" s="180"/>
      <c r="E29" s="180"/>
      <c r="F29" s="180"/>
      <c r="G29" s="59"/>
      <c r="H29" s="56">
        <v>3</v>
      </c>
      <c r="I29" s="179" t="s">
        <v>148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260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160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79" t="s">
        <v>149</v>
      </c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V39"/>
  <sheetViews>
    <sheetView showGridLines="0" showRowColHeaders="0" showZeros="0" showOutlineSymbols="0" zoomScaleSheetLayoutView="75" zoomScalePageLayoutView="0" workbookViewId="0" topLeftCell="A13">
      <selection activeCell="I29" sqref="I29:T2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12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75</v>
      </c>
      <c r="B9" s="151">
        <v>71.4</v>
      </c>
      <c r="C9" s="152" t="s">
        <v>213</v>
      </c>
      <c r="D9" s="153">
        <v>31858</v>
      </c>
      <c r="E9" s="154"/>
      <c r="F9" s="155" t="s">
        <v>243</v>
      </c>
      <c r="G9" s="155" t="s">
        <v>110</v>
      </c>
      <c r="H9" s="147">
        <v>-65</v>
      </c>
      <c r="I9" s="148">
        <v>-65</v>
      </c>
      <c r="J9" s="140">
        <v>-65</v>
      </c>
      <c r="K9" s="147">
        <v>85</v>
      </c>
      <c r="L9" s="124">
        <v>-88</v>
      </c>
      <c r="M9" s="124">
        <v>-90</v>
      </c>
      <c r="N9" s="92">
        <f aca="true" t="shared" si="0" ref="N9:N24">IF(MAX(H9:J9)&lt;0,0,TRUNC(MAX(H9:J9)/1)*1)</f>
        <v>0</v>
      </c>
      <c r="O9" s="92">
        <f aca="true" t="shared" si="1" ref="O9:O24">IF(MAX(K9:M9)&lt;0,0,TRUNC(MAX(K9:M9)/1)*1)</f>
        <v>85</v>
      </c>
      <c r="P9" s="92">
        <f aca="true" t="shared" si="2" ref="P9:P24">IF(N9=0,0,IF(O9=0,0,SUM(N9:O9)))</f>
        <v>0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0</v>
      </c>
      <c r="R9" s="93">
        <f>IF(OR(D9="",B9="",V9=""),0,IF(OR(C9="UM",C9="JM",C9="SM",C9="UK",C9="JK",C9="SK"),"",Q9*(IF(ABS(1900-YEAR((V9+1)-D9))&lt;29,0,(VLOOKUP((YEAR(V9)-YEAR(D9)),'Meltzer-Malone'!$A$3:$B$63,2))))))</f>
      </c>
      <c r="S9" s="94" t="s">
        <v>22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1.2301555823376007</v>
      </c>
      <c r="V9" s="137">
        <f>R5</f>
        <v>42063</v>
      </c>
    </row>
    <row r="10" spans="1:22" s="13" customFormat="1" ht="19.5" customHeight="1">
      <c r="A10" s="156">
        <v>75</v>
      </c>
      <c r="B10" s="151">
        <v>69.68</v>
      </c>
      <c r="C10" s="152" t="s">
        <v>213</v>
      </c>
      <c r="D10" s="153">
        <v>32302</v>
      </c>
      <c r="E10" s="154"/>
      <c r="F10" s="155" t="s">
        <v>244</v>
      </c>
      <c r="G10" s="155" t="s">
        <v>57</v>
      </c>
      <c r="H10" s="147">
        <v>60</v>
      </c>
      <c r="I10" s="148">
        <v>63</v>
      </c>
      <c r="J10" s="140">
        <v>-65</v>
      </c>
      <c r="K10" s="147">
        <v>75</v>
      </c>
      <c r="L10" s="124">
        <v>-78</v>
      </c>
      <c r="M10" s="172" t="s">
        <v>171</v>
      </c>
      <c r="N10" s="92">
        <f t="shared" si="0"/>
        <v>63</v>
      </c>
      <c r="O10" s="92">
        <f t="shared" si="1"/>
        <v>75</v>
      </c>
      <c r="P10" s="92">
        <f t="shared" si="2"/>
        <v>138</v>
      </c>
      <c r="Q10" s="93">
        <f aca="true" t="shared" si="3" ref="Q10:Q2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172.16989407153045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5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1.2476079280545684</v>
      </c>
      <c r="V10" s="137">
        <f>R5</f>
        <v>42063</v>
      </c>
    </row>
    <row r="11" spans="1:22" s="13" customFormat="1" ht="19.5" customHeight="1">
      <c r="A11" s="156">
        <v>75</v>
      </c>
      <c r="B11" s="151">
        <v>72.12</v>
      </c>
      <c r="C11" s="152" t="s">
        <v>213</v>
      </c>
      <c r="D11" s="153">
        <v>33204</v>
      </c>
      <c r="E11" s="154"/>
      <c r="F11" s="155" t="s">
        <v>245</v>
      </c>
      <c r="G11" s="155" t="s">
        <v>110</v>
      </c>
      <c r="H11" s="147">
        <v>60</v>
      </c>
      <c r="I11" s="148">
        <v>63</v>
      </c>
      <c r="J11" s="140">
        <v>-66</v>
      </c>
      <c r="K11" s="147">
        <v>85</v>
      </c>
      <c r="L11" s="124">
        <v>87</v>
      </c>
      <c r="M11" s="124">
        <v>91</v>
      </c>
      <c r="N11" s="92">
        <f t="shared" si="0"/>
        <v>63</v>
      </c>
      <c r="O11" s="92">
        <f t="shared" si="1"/>
        <v>91</v>
      </c>
      <c r="P11" s="92">
        <f t="shared" si="2"/>
        <v>154</v>
      </c>
      <c r="Q11" s="93">
        <f t="shared" si="3"/>
        <v>188.37436047253541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2</v>
      </c>
      <c r="T11" s="97"/>
      <c r="U11" s="95">
        <f t="shared" si="4"/>
        <v>1.2232101329385416</v>
      </c>
      <c r="V11" s="137">
        <f>R5</f>
        <v>42063</v>
      </c>
    </row>
    <row r="12" spans="1:22" s="13" customFormat="1" ht="19.5" customHeight="1">
      <c r="A12" s="150">
        <v>75</v>
      </c>
      <c r="B12" s="151">
        <v>74.16</v>
      </c>
      <c r="C12" s="152" t="s">
        <v>213</v>
      </c>
      <c r="D12" s="153">
        <v>31662</v>
      </c>
      <c r="E12" s="154"/>
      <c r="F12" s="155" t="s">
        <v>246</v>
      </c>
      <c r="G12" s="155" t="s">
        <v>63</v>
      </c>
      <c r="H12" s="147">
        <v>60</v>
      </c>
      <c r="I12" s="148">
        <v>62</v>
      </c>
      <c r="J12" s="140">
        <v>-64</v>
      </c>
      <c r="K12" s="147">
        <v>70</v>
      </c>
      <c r="L12" s="124">
        <v>74</v>
      </c>
      <c r="M12" s="124">
        <v>-76</v>
      </c>
      <c r="N12" s="92">
        <f t="shared" si="0"/>
        <v>62</v>
      </c>
      <c r="O12" s="92">
        <f t="shared" si="1"/>
        <v>74</v>
      </c>
      <c r="P12" s="92">
        <f t="shared" si="2"/>
        <v>136</v>
      </c>
      <c r="Q12" s="93">
        <f t="shared" si="3"/>
        <v>163.82606366796736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6</v>
      </c>
      <c r="T12" s="97" t="s">
        <v>22</v>
      </c>
      <c r="U12" s="95">
        <f t="shared" si="4"/>
        <v>1.2046034093232894</v>
      </c>
      <c r="V12" s="137">
        <f>R5</f>
        <v>42063</v>
      </c>
    </row>
    <row r="13" spans="1:22" s="13" customFormat="1" ht="19.5" customHeight="1">
      <c r="A13" s="150">
        <v>75</v>
      </c>
      <c r="B13" s="151">
        <v>71.92</v>
      </c>
      <c r="C13" s="152" t="s">
        <v>213</v>
      </c>
      <c r="D13" s="153">
        <v>32978</v>
      </c>
      <c r="E13" s="154"/>
      <c r="F13" s="155" t="s">
        <v>247</v>
      </c>
      <c r="G13" s="155" t="s">
        <v>57</v>
      </c>
      <c r="H13" s="139">
        <v>62</v>
      </c>
      <c r="I13" s="140">
        <v>65</v>
      </c>
      <c r="J13" s="140">
        <v>68</v>
      </c>
      <c r="K13" s="139">
        <v>82</v>
      </c>
      <c r="L13" s="124">
        <v>-85</v>
      </c>
      <c r="M13" s="124">
        <v>85</v>
      </c>
      <c r="N13" s="92">
        <f t="shared" si="0"/>
        <v>68</v>
      </c>
      <c r="O13" s="92">
        <f t="shared" si="1"/>
        <v>85</v>
      </c>
      <c r="P13" s="92">
        <f t="shared" si="2"/>
        <v>153</v>
      </c>
      <c r="Q13" s="93">
        <f t="shared" si="3"/>
        <v>187.4431901875987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3</v>
      </c>
      <c r="T13" s="97" t="s">
        <v>22</v>
      </c>
      <c r="U13" s="95">
        <f t="shared" si="4"/>
        <v>1.2251188901150243</v>
      </c>
      <c r="V13" s="137">
        <f>R5</f>
        <v>42063</v>
      </c>
    </row>
    <row r="14" spans="1:22" s="13" customFormat="1" ht="19.5" customHeight="1">
      <c r="A14" s="150">
        <v>75</v>
      </c>
      <c r="B14" s="151">
        <v>70.26</v>
      </c>
      <c r="C14" s="152" t="s">
        <v>213</v>
      </c>
      <c r="D14" s="153">
        <v>30837</v>
      </c>
      <c r="E14" s="154"/>
      <c r="F14" s="155" t="s">
        <v>248</v>
      </c>
      <c r="G14" s="155" t="s">
        <v>57</v>
      </c>
      <c r="H14" s="139">
        <v>65</v>
      </c>
      <c r="I14" s="140">
        <v>-68</v>
      </c>
      <c r="J14" s="140">
        <v>69</v>
      </c>
      <c r="K14" s="139">
        <v>75</v>
      </c>
      <c r="L14" s="124">
        <v>80</v>
      </c>
      <c r="M14" s="124">
        <v>-83</v>
      </c>
      <c r="N14" s="92">
        <f t="shared" si="0"/>
        <v>69</v>
      </c>
      <c r="O14" s="92">
        <f t="shared" si="1"/>
        <v>80</v>
      </c>
      <c r="P14" s="92">
        <f t="shared" si="2"/>
        <v>149</v>
      </c>
      <c r="Q14" s="93">
        <f t="shared" si="3"/>
        <v>184.99586665495673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4</v>
      </c>
      <c r="T14" s="97" t="s">
        <v>22</v>
      </c>
      <c r="U14" s="95">
        <f t="shared" si="4"/>
        <v>1.2415829976842734</v>
      </c>
      <c r="V14" s="137">
        <f>R5</f>
        <v>42063</v>
      </c>
    </row>
    <row r="15" spans="1:22" s="13" customFormat="1" ht="19.5" customHeight="1">
      <c r="A15" s="150">
        <v>75</v>
      </c>
      <c r="B15" s="151">
        <v>69.4</v>
      </c>
      <c r="C15" s="152" t="s">
        <v>213</v>
      </c>
      <c r="D15" s="153">
        <v>30112</v>
      </c>
      <c r="E15" s="154"/>
      <c r="F15" s="155" t="s">
        <v>249</v>
      </c>
      <c r="G15" s="155" t="s">
        <v>91</v>
      </c>
      <c r="H15" s="139">
        <v>95</v>
      </c>
      <c r="I15" s="140">
        <v>100</v>
      </c>
      <c r="J15" s="140">
        <v>105</v>
      </c>
      <c r="K15" s="139">
        <v>120</v>
      </c>
      <c r="L15" s="124">
        <v>125</v>
      </c>
      <c r="M15" s="124">
        <v>-130</v>
      </c>
      <c r="N15" s="92">
        <f t="shared" si="0"/>
        <v>105</v>
      </c>
      <c r="O15" s="92">
        <f t="shared" si="1"/>
        <v>125</v>
      </c>
      <c r="P15" s="92">
        <f t="shared" si="2"/>
        <v>230</v>
      </c>
      <c r="Q15" s="93">
        <f t="shared" si="3"/>
        <v>287.63091461167204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1</v>
      </c>
      <c r="T15" s="130" t="s">
        <v>172</v>
      </c>
      <c r="U15" s="95">
        <f t="shared" si="4"/>
        <v>1.2505691939637915</v>
      </c>
      <c r="V15" s="137">
        <f>R5</f>
        <v>42063</v>
      </c>
    </row>
    <row r="16" spans="1:22" s="13" customFormat="1" ht="19.5" customHeight="1">
      <c r="A16" s="156" t="s">
        <v>250</v>
      </c>
      <c r="B16" s="151">
        <v>75.38</v>
      </c>
      <c r="C16" s="152" t="s">
        <v>213</v>
      </c>
      <c r="D16" s="153">
        <v>34500</v>
      </c>
      <c r="E16" s="154"/>
      <c r="F16" s="155" t="s">
        <v>251</v>
      </c>
      <c r="G16" s="155" t="s">
        <v>134</v>
      </c>
      <c r="H16" s="147">
        <v>55</v>
      </c>
      <c r="I16" s="148">
        <v>60</v>
      </c>
      <c r="J16" s="140">
        <v>-63</v>
      </c>
      <c r="K16" s="147">
        <v>70</v>
      </c>
      <c r="L16" s="124">
        <v>-75</v>
      </c>
      <c r="M16" s="124">
        <v>-75</v>
      </c>
      <c r="N16" s="92">
        <f t="shared" si="0"/>
        <v>60</v>
      </c>
      <c r="O16" s="92">
        <f t="shared" si="1"/>
        <v>70</v>
      </c>
      <c r="P16" s="92">
        <f t="shared" si="2"/>
        <v>130</v>
      </c>
      <c r="Q16" s="93">
        <f t="shared" si="3"/>
        <v>155.24418534637923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1</v>
      </c>
      <c r="T16" s="97"/>
      <c r="U16" s="95">
        <f t="shared" si="4"/>
        <v>1.1941860411259941</v>
      </c>
      <c r="V16" s="137">
        <f>R5</f>
        <v>42063</v>
      </c>
    </row>
    <row r="17" spans="1:22" s="13" customFormat="1" ht="19.5" customHeight="1">
      <c r="A17" s="156" t="s">
        <v>250</v>
      </c>
      <c r="B17" s="151">
        <v>84.3</v>
      </c>
      <c r="C17" s="152" t="s">
        <v>213</v>
      </c>
      <c r="D17" s="153">
        <v>31608</v>
      </c>
      <c r="E17" s="154"/>
      <c r="F17" s="155" t="s">
        <v>252</v>
      </c>
      <c r="G17" s="155" t="s">
        <v>50</v>
      </c>
      <c r="H17" s="147">
        <v>52</v>
      </c>
      <c r="I17" s="148">
        <v>-56</v>
      </c>
      <c r="J17" s="140">
        <v>56</v>
      </c>
      <c r="K17" s="147">
        <v>-65</v>
      </c>
      <c r="L17" s="124">
        <v>65</v>
      </c>
      <c r="M17" s="124">
        <v>-70</v>
      </c>
      <c r="N17" s="92">
        <f t="shared" si="0"/>
        <v>56</v>
      </c>
      <c r="O17" s="92">
        <f t="shared" si="1"/>
        <v>65</v>
      </c>
      <c r="P17" s="92">
        <f t="shared" si="2"/>
        <v>121</v>
      </c>
      <c r="Q17" s="93">
        <f t="shared" si="3"/>
        <v>136.90787120497276</v>
      </c>
      <c r="R17" s="93">
        <f>IF(OR(D17="",B17="",V17=""),0,IF(OR(C17="UM",C17="JM",C17="SM",C17="UK",C17="JK",C17="SK"),"",Q17*(IF(ABS(1900-YEAR((V17+1)-D17))&lt;29,0,(VLOOKUP((YEAR(V17)-YEAR(D17)),'Meltzer-Malone'!$A$3:$B$63,2))))))</f>
      </c>
      <c r="S17" s="97">
        <v>2</v>
      </c>
      <c r="T17" s="97"/>
      <c r="U17" s="95">
        <f t="shared" si="4"/>
        <v>1.1314700099584525</v>
      </c>
      <c r="V17" s="137">
        <f>R5</f>
        <v>42063</v>
      </c>
    </row>
    <row r="18" spans="1:22" s="13" customFormat="1" ht="19.5" customHeight="1">
      <c r="A18" s="156"/>
      <c r="B18" s="151"/>
      <c r="C18" s="152"/>
      <c r="D18" s="153"/>
      <c r="E18" s="154"/>
      <c r="F18" s="155"/>
      <c r="G18" s="155"/>
      <c r="H18" s="147"/>
      <c r="I18" s="148"/>
      <c r="J18" s="140"/>
      <c r="K18" s="147"/>
      <c r="L18" s="91"/>
      <c r="M18" s="91"/>
      <c r="N18" s="92">
        <f t="shared" si="0"/>
        <v>0</v>
      </c>
      <c r="O18" s="92">
        <f t="shared" si="1"/>
        <v>0</v>
      </c>
      <c r="P18" s="92">
        <f t="shared" si="2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 t="s">
        <v>22</v>
      </c>
      <c r="T18" s="97" t="s">
        <v>22</v>
      </c>
      <c r="U18" s="95">
        <f t="shared" si="4"/>
      </c>
      <c r="V18" s="137">
        <f>R5</f>
        <v>42063</v>
      </c>
    </row>
    <row r="19" spans="1:22" s="13" customFormat="1" ht="19.5" customHeight="1">
      <c r="A19" s="156"/>
      <c r="B19" s="151"/>
      <c r="C19" s="152"/>
      <c r="D19" s="153"/>
      <c r="E19" s="154"/>
      <c r="F19" s="155"/>
      <c r="G19" s="155"/>
      <c r="H19" s="147"/>
      <c r="I19" s="148"/>
      <c r="J19" s="140"/>
      <c r="K19" s="147"/>
      <c r="L19" s="91"/>
      <c r="M19" s="91"/>
      <c r="N19" s="92">
        <f t="shared" si="0"/>
        <v>0</v>
      </c>
      <c r="O19" s="92">
        <f t="shared" si="1"/>
        <v>0</v>
      </c>
      <c r="P19" s="92">
        <f t="shared" si="2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42063</v>
      </c>
    </row>
    <row r="20" spans="1:22" s="13" customFormat="1" ht="19.5" customHeight="1">
      <c r="A20" s="156"/>
      <c r="B20" s="151"/>
      <c r="C20" s="152"/>
      <c r="D20" s="153"/>
      <c r="E20" s="154"/>
      <c r="F20" s="155"/>
      <c r="G20" s="155"/>
      <c r="H20" s="147"/>
      <c r="I20" s="148"/>
      <c r="J20" s="140"/>
      <c r="K20" s="147"/>
      <c r="L20" s="91"/>
      <c r="M20" s="91"/>
      <c r="N20" s="92">
        <f t="shared" si="0"/>
        <v>0</v>
      </c>
      <c r="O20" s="92">
        <f t="shared" si="1"/>
        <v>0</v>
      </c>
      <c r="P20" s="92">
        <f t="shared" si="2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42063</v>
      </c>
    </row>
    <row r="21" spans="1:22" s="13" customFormat="1" ht="19.5" customHeight="1">
      <c r="A21" s="104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0"/>
        <v>0</v>
      </c>
      <c r="O21" s="92">
        <f t="shared" si="1"/>
        <v>0</v>
      </c>
      <c r="P21" s="92">
        <f t="shared" si="2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104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0"/>
        <v>0</v>
      </c>
      <c r="O22" s="92">
        <f t="shared" si="1"/>
        <v>0</v>
      </c>
      <c r="P22" s="92">
        <f t="shared" si="2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104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0"/>
        <v>0</v>
      </c>
      <c r="O23" s="92">
        <f t="shared" si="1"/>
        <v>0</v>
      </c>
      <c r="P23" s="92">
        <f t="shared" si="2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104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0"/>
        <v>0</v>
      </c>
      <c r="O24" s="92">
        <f t="shared" si="1"/>
        <v>0</v>
      </c>
      <c r="P24" s="102">
        <f t="shared" si="2"/>
        <v>0</v>
      </c>
      <c r="Q24" s="93">
        <f>IF(P24="","",IF(B24="","",IF(OR(C24="UK",C24="JK",C24="SK",C24="K1",C24="K2",C24="K3",C24="K4",C24="K5",C24="K6",C24="K7",C24="K8",C24="K9",C24="K10"),IF(B24&gt;148.026,P24,IF(B24&lt;28,10^(0.89726074*LOG10(28/148.026)^2)*P24,10^(0.89726074*LOG10(B24/148.026)^2)*P24)),IF(B24&gt;174.393,P24,IF(B24&lt;32,10^(0.794358141*LOG10(32/174.393)^2)*P24,10^(0.794358141*LOG10(B24/174.393)^2)*P24)))))</f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144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152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 t="s">
        <v>157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 t="s">
        <v>159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 t="s">
        <v>143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262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263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 t="s">
        <v>264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V39"/>
  <sheetViews>
    <sheetView showGridLines="0" showRowColHeaders="0" showZeros="0" showOutlineSymbols="0" zoomScaleSheetLayoutView="75" zoomScalePageLayoutView="0" workbookViewId="0" topLeftCell="A4">
      <selection activeCell="H33" sqref="H33:T3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3:20" ht="43.5" customHeight="1">
      <c r="C1" s="113"/>
      <c r="D1" s="2"/>
      <c r="E1" s="2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60"/>
      <c r="R1" s="60"/>
      <c r="S1" s="60"/>
      <c r="T1" s="60"/>
    </row>
    <row r="2" spans="3:20" ht="24.75" customHeight="1">
      <c r="C2" s="113"/>
      <c r="D2" s="2"/>
      <c r="E2" s="2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60"/>
      <c r="R2" s="60"/>
      <c r="S2" s="60"/>
      <c r="T2" s="60"/>
    </row>
    <row r="3" spans="3:20" ht="12.75">
      <c r="C3" s="113"/>
      <c r="D3" s="2"/>
      <c r="E3" s="2"/>
      <c r="F3" s="7"/>
      <c r="G3" s="7"/>
      <c r="H3" s="2"/>
      <c r="I3" s="62"/>
      <c r="J3" s="2"/>
      <c r="K3" s="2"/>
      <c r="L3" s="2"/>
      <c r="M3" s="2"/>
      <c r="N3" s="2"/>
      <c r="O3" s="2"/>
      <c r="P3" s="2"/>
      <c r="Q3" s="60"/>
      <c r="R3" s="60"/>
      <c r="S3" s="60"/>
      <c r="T3" s="60"/>
    </row>
    <row r="4" spans="3:20" ht="12" customHeight="1">
      <c r="C4" s="113"/>
      <c r="D4" s="2"/>
      <c r="E4" s="2"/>
      <c r="F4" s="7"/>
      <c r="G4" s="7"/>
      <c r="H4" s="2"/>
      <c r="I4" s="62"/>
      <c r="J4" s="2"/>
      <c r="K4" s="2"/>
      <c r="L4" s="2"/>
      <c r="M4" s="2"/>
      <c r="N4" s="2"/>
      <c r="O4" s="2"/>
      <c r="P4" s="2"/>
      <c r="Q4" s="60"/>
      <c r="R4" s="60"/>
      <c r="S4" s="60"/>
      <c r="T4" s="60"/>
    </row>
    <row r="5" spans="1:20" s="8" customFormat="1" ht="15">
      <c r="A5" s="80"/>
      <c r="B5" s="114" t="s">
        <v>31</v>
      </c>
      <c r="C5" s="190" t="s">
        <v>47</v>
      </c>
      <c r="D5" s="190"/>
      <c r="E5" s="190"/>
      <c r="F5" s="190"/>
      <c r="G5" s="115" t="s">
        <v>0</v>
      </c>
      <c r="H5" s="184" t="s">
        <v>50</v>
      </c>
      <c r="I5" s="184"/>
      <c r="J5" s="184"/>
      <c r="K5" s="184"/>
      <c r="L5" s="114" t="s">
        <v>1</v>
      </c>
      <c r="M5" s="186" t="s">
        <v>51</v>
      </c>
      <c r="N5" s="186"/>
      <c r="O5" s="186"/>
      <c r="P5" s="186"/>
      <c r="Q5" s="114" t="s">
        <v>2</v>
      </c>
      <c r="R5" s="116">
        <v>42064</v>
      </c>
      <c r="S5" s="117" t="s">
        <v>30</v>
      </c>
      <c r="T5" s="118">
        <v>13</v>
      </c>
    </row>
    <row r="6" spans="3:20" ht="12.75">
      <c r="C6" s="113"/>
      <c r="D6" s="2"/>
      <c r="E6" s="2"/>
      <c r="F6" s="7"/>
      <c r="G6" s="7"/>
      <c r="H6" s="2"/>
      <c r="I6" s="62"/>
      <c r="J6" s="2"/>
      <c r="K6" s="2"/>
      <c r="L6" s="2"/>
      <c r="M6" s="2"/>
      <c r="N6" s="2"/>
      <c r="O6" s="2"/>
      <c r="P6" s="2"/>
      <c r="Q6" s="60"/>
      <c r="R6" s="60"/>
      <c r="S6" s="60"/>
      <c r="T6" s="60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94</v>
      </c>
      <c r="B9" s="151">
        <v>92.67</v>
      </c>
      <c r="C9" s="152" t="s">
        <v>179</v>
      </c>
      <c r="D9" s="153">
        <v>34774</v>
      </c>
      <c r="E9" s="154"/>
      <c r="F9" s="155" t="s">
        <v>265</v>
      </c>
      <c r="G9" s="155" t="s">
        <v>136</v>
      </c>
      <c r="H9" s="139">
        <v>-127</v>
      </c>
      <c r="I9" s="140">
        <v>127</v>
      </c>
      <c r="J9" s="140">
        <v>-131</v>
      </c>
      <c r="K9" s="139">
        <v>-160</v>
      </c>
      <c r="L9" s="124">
        <v>-160</v>
      </c>
      <c r="M9" s="124">
        <v>-160</v>
      </c>
      <c r="N9" s="125">
        <f aca="true" t="shared" si="0" ref="N9:N24">IF(MAX(H9:J9)&lt;0,0,TRUNC(MAX(H9:J9)/1)*1)</f>
        <v>127</v>
      </c>
      <c r="O9" s="125">
        <f aca="true" t="shared" si="1" ref="O9:O24">IF(MAX(K9:M9)&lt;0,0,TRUNC(MAX(K9:M9)/1)*1)</f>
        <v>0</v>
      </c>
      <c r="P9" s="125">
        <f aca="true" t="shared" si="2" ref="P9:P24">IF(N9=0,0,IF(O9=0,0,SUM(N9:O9)))</f>
        <v>0</v>
      </c>
      <c r="Q9" s="12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0</v>
      </c>
      <c r="R9" s="126">
        <f>IF(OR(D9="",B9="",V9=""),0,IF(OR(C9="UM",C9="JM",C9="SM",C9="UK",C9="JK",C9="SK"),"",Q9*(IF(ABS(1900-YEAR((V9+1)-D9))&lt;29,0,(VLOOKUP((YEAR(V9)-YEAR(D9)),'Meltzer-Malone'!$A$3:$B$63,2))))))</f>
      </c>
      <c r="S9" s="127" t="s">
        <v>22</v>
      </c>
      <c r="T9" s="127" t="s">
        <v>22</v>
      </c>
      <c r="U9" s="12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1.1478741885423622</v>
      </c>
      <c r="V9" s="137">
        <f>R5</f>
        <v>42064</v>
      </c>
    </row>
    <row r="10" spans="1:22" s="13" customFormat="1" ht="19.5" customHeight="1">
      <c r="A10" s="150">
        <v>94</v>
      </c>
      <c r="B10" s="151">
        <v>89.35</v>
      </c>
      <c r="C10" s="152" t="s">
        <v>126</v>
      </c>
      <c r="D10" s="153">
        <v>31033</v>
      </c>
      <c r="E10" s="154"/>
      <c r="F10" s="155" t="s">
        <v>266</v>
      </c>
      <c r="G10" s="155" t="s">
        <v>57</v>
      </c>
      <c r="H10" s="139">
        <v>95</v>
      </c>
      <c r="I10" s="140">
        <v>100</v>
      </c>
      <c r="J10" s="140">
        <v>105</v>
      </c>
      <c r="K10" s="139">
        <v>115</v>
      </c>
      <c r="L10" s="124">
        <v>120</v>
      </c>
      <c r="M10" s="124">
        <v>125</v>
      </c>
      <c r="N10" s="125">
        <f t="shared" si="0"/>
        <v>105</v>
      </c>
      <c r="O10" s="125">
        <f t="shared" si="1"/>
        <v>125</v>
      </c>
      <c r="P10" s="125">
        <f t="shared" si="2"/>
        <v>230</v>
      </c>
      <c r="Q10" s="126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268.3698281499808</v>
      </c>
      <c r="R10" s="126">
        <f>IF(OR(D10="",B10="",V10=""),0,IF(OR(C10="UM",C10="JM",C10="SM",C10="UK",C10="JK",C10="SK"),"",Q10*(IF(ABS(1900-YEAR((V10+1)-D10))&lt;29,0,(VLOOKUP((YEAR(V10)-YEAR(D10)),'Meltzer-Malone'!$A$3:$B$63,2))))))</f>
      </c>
      <c r="S10" s="130">
        <v>8</v>
      </c>
      <c r="T10" s="130"/>
      <c r="U10" s="128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1.166825339782525</v>
      </c>
      <c r="V10" s="137">
        <f>R5</f>
        <v>42064</v>
      </c>
    </row>
    <row r="11" spans="1:22" s="13" customFormat="1" ht="19.5" customHeight="1">
      <c r="A11" s="150">
        <v>94</v>
      </c>
      <c r="B11" s="151">
        <v>92.61</v>
      </c>
      <c r="C11" s="152" t="s">
        <v>126</v>
      </c>
      <c r="D11" s="153">
        <v>33365</v>
      </c>
      <c r="E11" s="154"/>
      <c r="F11" s="155" t="s">
        <v>267</v>
      </c>
      <c r="G11" s="155" t="s">
        <v>110</v>
      </c>
      <c r="H11" s="147">
        <v>110</v>
      </c>
      <c r="I11" s="148">
        <v>115</v>
      </c>
      <c r="J11" s="140">
        <v>-120</v>
      </c>
      <c r="K11" s="147">
        <v>150</v>
      </c>
      <c r="L11" s="124">
        <v>-155</v>
      </c>
      <c r="M11" s="124">
        <v>-155</v>
      </c>
      <c r="N11" s="125">
        <f t="shared" si="0"/>
        <v>115</v>
      </c>
      <c r="O11" s="125">
        <f t="shared" si="1"/>
        <v>150</v>
      </c>
      <c r="P11" s="125">
        <f t="shared" si="2"/>
        <v>265</v>
      </c>
      <c r="Q11" s="126">
        <f t="shared" si="3"/>
        <v>304.27266176198884</v>
      </c>
      <c r="R11" s="126">
        <f>IF(OR(D11="",B11="",V11=""),0,IF(OR(C11="UM",C11="JM",C11="SM",C11="UK",C11="JK",C11="SK"),"",Q11*(IF(ABS(1900-YEAR((V11+1)-D11))&lt;29,0,(VLOOKUP((YEAR(V11)-YEAR(D11)),'Meltzer-Malone'!$A$3:$B$63,2))))))</f>
      </c>
      <c r="S11" s="130">
        <v>4</v>
      </c>
      <c r="T11" s="130"/>
      <c r="U11" s="128">
        <f t="shared" si="4"/>
        <v>1.1481987236301465</v>
      </c>
      <c r="V11" s="137">
        <f>R5</f>
        <v>42064</v>
      </c>
    </row>
    <row r="12" spans="1:22" s="13" customFormat="1" ht="19.5" customHeight="1">
      <c r="A12" s="150">
        <v>94</v>
      </c>
      <c r="B12" s="151">
        <v>86.82</v>
      </c>
      <c r="C12" s="152" t="s">
        <v>126</v>
      </c>
      <c r="D12" s="153">
        <v>32990</v>
      </c>
      <c r="E12" s="154"/>
      <c r="F12" s="163" t="s">
        <v>268</v>
      </c>
      <c r="G12" s="155" t="s">
        <v>134</v>
      </c>
      <c r="H12" s="147">
        <v>95</v>
      </c>
      <c r="I12" s="148">
        <v>102</v>
      </c>
      <c r="J12" s="140">
        <v>-106</v>
      </c>
      <c r="K12" s="147">
        <v>130</v>
      </c>
      <c r="L12" s="124">
        <v>-136</v>
      </c>
      <c r="M12" s="124">
        <v>-136</v>
      </c>
      <c r="N12" s="125">
        <f t="shared" si="0"/>
        <v>102</v>
      </c>
      <c r="O12" s="125">
        <f t="shared" si="1"/>
        <v>130</v>
      </c>
      <c r="P12" s="125">
        <f t="shared" si="2"/>
        <v>232</v>
      </c>
      <c r="Q12" s="126">
        <f t="shared" si="3"/>
        <v>274.39332411762956</v>
      </c>
      <c r="R12" s="126">
        <f>IF(OR(D12="",B12="",V12=""),0,IF(OR(C12="UM",C12="JM",C12="SM",C12="UK",C12="JK",C12="SK"),"",Q12*(IF(ABS(1900-YEAR((V12+1)-D12))&lt;29,0,(VLOOKUP((YEAR(V12)-YEAR(D12)),'Meltzer-Malone'!$A$3:$B$63,2))))))</f>
      </c>
      <c r="S12" s="130">
        <v>7</v>
      </c>
      <c r="T12" s="130" t="s">
        <v>22</v>
      </c>
      <c r="U12" s="128">
        <f t="shared" si="4"/>
        <v>1.1827298453346102</v>
      </c>
      <c r="V12" s="137">
        <f>R5</f>
        <v>42064</v>
      </c>
    </row>
    <row r="13" spans="1:22" s="13" customFormat="1" ht="19.5" customHeight="1">
      <c r="A13" s="150">
        <v>94</v>
      </c>
      <c r="B13" s="151">
        <v>92.68</v>
      </c>
      <c r="C13" s="152" t="s">
        <v>126</v>
      </c>
      <c r="D13" s="153">
        <v>32848</v>
      </c>
      <c r="E13" s="154"/>
      <c r="F13" s="155" t="s">
        <v>269</v>
      </c>
      <c r="G13" s="155" t="s">
        <v>67</v>
      </c>
      <c r="H13" s="147">
        <v>107</v>
      </c>
      <c r="I13" s="148">
        <v>113</v>
      </c>
      <c r="J13" s="140">
        <v>-116</v>
      </c>
      <c r="K13" s="147">
        <v>136</v>
      </c>
      <c r="L13" s="124">
        <v>-142</v>
      </c>
      <c r="M13" s="124">
        <v>-142</v>
      </c>
      <c r="N13" s="125">
        <f t="shared" si="0"/>
        <v>113</v>
      </c>
      <c r="O13" s="125">
        <f t="shared" si="1"/>
        <v>136</v>
      </c>
      <c r="P13" s="125">
        <f t="shared" si="2"/>
        <v>249</v>
      </c>
      <c r="Q13" s="126">
        <f t="shared" si="3"/>
        <v>285.8072200863656</v>
      </c>
      <c r="R13" s="126">
        <f>IF(OR(D13="",B13="",V13=""),0,IF(OR(C13="UM",C13="JM",C13="SM",C13="UK",C13="JK",C13="SK"),"",Q13*(IF(ABS(1900-YEAR((V13+1)-D13))&lt;29,0,(VLOOKUP((YEAR(V13)-YEAR(D13)),'Meltzer-Malone'!$A$3:$B$63,2))))))</f>
      </c>
      <c r="S13" s="130">
        <v>5</v>
      </c>
      <c r="T13" s="130" t="s">
        <v>22</v>
      </c>
      <c r="U13" s="128">
        <f t="shared" si="4"/>
        <v>1.14782016098942</v>
      </c>
      <c r="V13" s="137">
        <f>R5</f>
        <v>42064</v>
      </c>
    </row>
    <row r="14" spans="1:22" s="13" customFormat="1" ht="19.5" customHeight="1">
      <c r="A14" s="150">
        <v>94</v>
      </c>
      <c r="B14" s="171">
        <v>92.84</v>
      </c>
      <c r="C14" s="152" t="s">
        <v>126</v>
      </c>
      <c r="D14" s="153">
        <v>32393</v>
      </c>
      <c r="E14" s="154"/>
      <c r="F14" s="155" t="s">
        <v>270</v>
      </c>
      <c r="G14" s="155" t="s">
        <v>61</v>
      </c>
      <c r="H14" s="147">
        <v>135</v>
      </c>
      <c r="I14" s="148">
        <v>139</v>
      </c>
      <c r="J14" s="140">
        <v>-142</v>
      </c>
      <c r="K14" s="147">
        <v>163</v>
      </c>
      <c r="L14" s="124">
        <v>-168</v>
      </c>
      <c r="M14" s="124">
        <v>-168</v>
      </c>
      <c r="N14" s="125">
        <f t="shared" si="0"/>
        <v>139</v>
      </c>
      <c r="O14" s="125">
        <f t="shared" si="1"/>
        <v>163</v>
      </c>
      <c r="P14" s="125">
        <f t="shared" si="2"/>
        <v>302</v>
      </c>
      <c r="Q14" s="126">
        <f t="shared" si="3"/>
        <v>346.3813486424189</v>
      </c>
      <c r="R14" s="126">
        <f>IF(OR(D14="",B14="",V14=""),0,IF(OR(C14="UM",C14="JM",C14="SM",C14="UK",C14="JK",C14="SK"),"",Q14*(IF(ABS(1900-YEAR((V14+1)-D14))&lt;29,0,(VLOOKUP((YEAR(V14)-YEAR(D14)),'Meltzer-Malone'!$A$3:$B$63,2))))))</f>
      </c>
      <c r="S14" s="130">
        <v>3</v>
      </c>
      <c r="T14" s="130" t="s">
        <v>22</v>
      </c>
      <c r="U14" s="128">
        <f t="shared" si="4"/>
        <v>1.1469581080874798</v>
      </c>
      <c r="V14" s="137">
        <f>R5</f>
        <v>42064</v>
      </c>
    </row>
    <row r="15" spans="1:22" s="13" customFormat="1" ht="19.5" customHeight="1">
      <c r="A15" s="150">
        <v>94</v>
      </c>
      <c r="B15" s="151">
        <v>87.4</v>
      </c>
      <c r="C15" s="152" t="s">
        <v>126</v>
      </c>
      <c r="D15" s="153">
        <v>32829</v>
      </c>
      <c r="E15" s="154"/>
      <c r="F15" s="155" t="s">
        <v>271</v>
      </c>
      <c r="G15" s="155" t="s">
        <v>50</v>
      </c>
      <c r="H15" s="147">
        <v>90</v>
      </c>
      <c r="I15" s="148">
        <v>95</v>
      </c>
      <c r="J15" s="140">
        <v>97</v>
      </c>
      <c r="K15" s="147">
        <v>115</v>
      </c>
      <c r="L15" s="124">
        <v>120</v>
      </c>
      <c r="M15" s="124">
        <v>-122</v>
      </c>
      <c r="N15" s="125">
        <f t="shared" si="0"/>
        <v>97</v>
      </c>
      <c r="O15" s="125">
        <f t="shared" si="1"/>
        <v>120</v>
      </c>
      <c r="P15" s="125">
        <f t="shared" si="2"/>
        <v>217</v>
      </c>
      <c r="Q15" s="126">
        <f t="shared" si="3"/>
        <v>255.83523808624489</v>
      </c>
      <c r="R15" s="126">
        <f>IF(OR(D15="",B15="",V15=""),0,IF(OR(C15="UM",C15="JM",C15="SM",C15="UK",C15="JK",C15="SK"),"",Q15*(IF(ABS(1900-YEAR((V15+1)-D15))&lt;29,0,(VLOOKUP((YEAR(V15)-YEAR(D15)),'Meltzer-Malone'!$A$3:$B$63,2))))))</f>
      </c>
      <c r="S15" s="130">
        <v>10</v>
      </c>
      <c r="T15" s="130"/>
      <c r="U15" s="128">
        <f t="shared" si="4"/>
        <v>1.1789642308121884</v>
      </c>
      <c r="V15" s="137">
        <f>R5</f>
        <v>42064</v>
      </c>
    </row>
    <row r="16" spans="1:22" s="13" customFormat="1" ht="19.5" customHeight="1">
      <c r="A16" s="150">
        <v>94</v>
      </c>
      <c r="B16" s="151">
        <v>92.48</v>
      </c>
      <c r="C16" s="152" t="s">
        <v>126</v>
      </c>
      <c r="D16" s="153">
        <v>33929</v>
      </c>
      <c r="E16" s="154"/>
      <c r="F16" s="155" t="s">
        <v>272</v>
      </c>
      <c r="G16" s="155" t="s">
        <v>136</v>
      </c>
      <c r="H16" s="147">
        <v>136</v>
      </c>
      <c r="I16" s="148">
        <v>139</v>
      </c>
      <c r="J16" s="140">
        <v>-142</v>
      </c>
      <c r="K16" s="147">
        <v>172</v>
      </c>
      <c r="L16" s="124">
        <v>-179</v>
      </c>
      <c r="M16" s="124">
        <v>179</v>
      </c>
      <c r="N16" s="125">
        <f t="shared" si="0"/>
        <v>139</v>
      </c>
      <c r="O16" s="125">
        <f t="shared" si="1"/>
        <v>179</v>
      </c>
      <c r="P16" s="125">
        <f t="shared" si="2"/>
        <v>318</v>
      </c>
      <c r="Q16" s="126">
        <f t="shared" si="3"/>
        <v>365.351492016997</v>
      </c>
      <c r="R16" s="126">
        <f>IF(OR(D16="",B16="",V16=""),0,IF(OR(C16="UM",C16="JM",C16="SM",C16="UK",C16="JK",C16="SK"),"",Q16*(IF(ABS(1900-YEAR((V16+1)-D16))&lt;29,0,(VLOOKUP((YEAR(V16)-YEAR(D16)),'Meltzer-Malone'!$A$3:$B$63,2))))))</f>
      </c>
      <c r="S16" s="130">
        <v>1</v>
      </c>
      <c r="T16" s="130"/>
      <c r="U16" s="128">
        <f t="shared" si="4"/>
        <v>1.1489040629465315</v>
      </c>
      <c r="V16" s="137">
        <f>R5</f>
        <v>42064</v>
      </c>
    </row>
    <row r="17" spans="1:22" s="13" customFormat="1" ht="19.5" customHeight="1">
      <c r="A17" s="150">
        <v>94</v>
      </c>
      <c r="B17" s="151">
        <v>92.45</v>
      </c>
      <c r="C17" s="152" t="s">
        <v>126</v>
      </c>
      <c r="D17" s="153">
        <v>32285</v>
      </c>
      <c r="E17" s="154"/>
      <c r="F17" s="155" t="s">
        <v>273</v>
      </c>
      <c r="G17" s="155" t="s">
        <v>91</v>
      </c>
      <c r="H17" s="147">
        <v>130</v>
      </c>
      <c r="I17" s="148">
        <v>-134</v>
      </c>
      <c r="J17" s="140">
        <v>134</v>
      </c>
      <c r="K17" s="147">
        <v>168</v>
      </c>
      <c r="L17" s="124">
        <v>-173</v>
      </c>
      <c r="M17" s="124">
        <v>-175</v>
      </c>
      <c r="N17" s="125">
        <f t="shared" si="0"/>
        <v>134</v>
      </c>
      <c r="O17" s="125">
        <f t="shared" si="1"/>
        <v>168</v>
      </c>
      <c r="P17" s="125">
        <f t="shared" si="2"/>
        <v>302</v>
      </c>
      <c r="Q17" s="126">
        <f t="shared" si="3"/>
        <v>347.01831201948596</v>
      </c>
      <c r="R17" s="126">
        <f>IF(OR(D17="",B17="",V17=""),0,IF(OR(C17="UM",C17="JM",C17="SM",C17="UK",C17="JK",C17="SK"),"",Q17*(IF(ABS(1900-YEAR((V17+1)-D17))&lt;29,0,(VLOOKUP((YEAR(V17)-YEAR(D17)),'Meltzer-Malone'!$A$3:$B$63,2))))))</f>
      </c>
      <c r="S17" s="130">
        <v>2</v>
      </c>
      <c r="T17" s="130"/>
      <c r="U17" s="128">
        <f t="shared" si="4"/>
        <v>1.1490672583426687</v>
      </c>
      <c r="V17" s="137">
        <f>R5</f>
        <v>42064</v>
      </c>
    </row>
    <row r="18" spans="1:22" s="13" customFormat="1" ht="19.5" customHeight="1">
      <c r="A18" s="150"/>
      <c r="B18" s="151"/>
      <c r="C18" s="152"/>
      <c r="D18" s="153"/>
      <c r="E18" s="154"/>
      <c r="F18" s="155"/>
      <c r="G18" s="155"/>
      <c r="H18" s="147"/>
      <c r="I18" s="148"/>
      <c r="J18" s="140"/>
      <c r="K18" s="147"/>
      <c r="L18" s="124"/>
      <c r="M18" s="124"/>
      <c r="N18" s="125">
        <f t="shared" si="0"/>
        <v>0</v>
      </c>
      <c r="O18" s="125">
        <f t="shared" si="1"/>
        <v>0</v>
      </c>
      <c r="P18" s="125">
        <f t="shared" si="2"/>
        <v>0</v>
      </c>
      <c r="Q18" s="126">
        <f t="shared" si="3"/>
      </c>
      <c r="R18" s="126">
        <f>IF(OR(D18="",B18="",V18=""),0,IF(OR(C18="UM",C18="JM",C18="SM",C18="UK",C18="JK",C18="SK"),"",Q18*(IF(ABS(1900-YEAR((V18+1)-D18))&lt;29,0,(VLOOKUP((YEAR(V18)-YEAR(D18)),'Meltzer-Malone'!$A$3:$B$63,2))))))</f>
        <v>0</v>
      </c>
      <c r="S18" s="130" t="s">
        <v>22</v>
      </c>
      <c r="T18" s="130" t="s">
        <v>22</v>
      </c>
      <c r="U18" s="128">
        <f t="shared" si="4"/>
      </c>
      <c r="V18" s="137">
        <f>R5</f>
        <v>42064</v>
      </c>
    </row>
    <row r="19" spans="1:22" s="13" customFormat="1" ht="19.5" customHeight="1">
      <c r="A19" s="150"/>
      <c r="B19" s="151"/>
      <c r="C19" s="152"/>
      <c r="D19" s="153"/>
      <c r="E19" s="154"/>
      <c r="F19" s="155"/>
      <c r="G19" s="155"/>
      <c r="H19" s="147"/>
      <c r="I19" s="148"/>
      <c r="J19" s="140"/>
      <c r="K19" s="147"/>
      <c r="L19" s="124"/>
      <c r="M19" s="124"/>
      <c r="N19" s="125">
        <f t="shared" si="0"/>
        <v>0</v>
      </c>
      <c r="O19" s="125">
        <f t="shared" si="1"/>
        <v>0</v>
      </c>
      <c r="P19" s="125">
        <f t="shared" si="2"/>
        <v>0</v>
      </c>
      <c r="Q19" s="126">
        <f t="shared" si="3"/>
      </c>
      <c r="R19" s="126">
        <f>IF(OR(D19="",B19="",V19=""),0,IF(OR(C19="UM",C19="JM",C19="SM",C19="UK",C19="JK",C19="SK"),"",Q19*(IF(ABS(1900-YEAR((V19+1)-D19))&lt;29,0,(VLOOKUP((YEAR(V19)-YEAR(D19)),'Meltzer-Malone'!$A$3:$B$63,2))))))</f>
        <v>0</v>
      </c>
      <c r="S19" s="130"/>
      <c r="T19" s="130"/>
      <c r="U19" s="128">
        <f t="shared" si="4"/>
      </c>
      <c r="V19" s="137">
        <f>R5</f>
        <v>42064</v>
      </c>
    </row>
    <row r="20" spans="1:22" s="13" customFormat="1" ht="19.5" customHeight="1">
      <c r="A20" s="150"/>
      <c r="B20" s="151"/>
      <c r="C20" s="152"/>
      <c r="D20" s="153"/>
      <c r="E20" s="154"/>
      <c r="F20" s="155"/>
      <c r="G20" s="155"/>
      <c r="H20" s="147"/>
      <c r="I20" s="148"/>
      <c r="J20" s="140"/>
      <c r="K20" s="147"/>
      <c r="L20" s="124"/>
      <c r="M20" s="124"/>
      <c r="N20" s="125">
        <f t="shared" si="0"/>
        <v>0</v>
      </c>
      <c r="O20" s="125">
        <f t="shared" si="1"/>
        <v>0</v>
      </c>
      <c r="P20" s="125">
        <f t="shared" si="2"/>
        <v>0</v>
      </c>
      <c r="Q20" s="126">
        <f t="shared" si="3"/>
      </c>
      <c r="R20" s="126">
        <f>IF(OR(D20="",B20="",V20=""),0,IF(OR(C20="UM",C20="JM",C20="SM",C20="UK",C20="JK",C20="SK"),"",Q20*(IF(ABS(1900-YEAR((V20+1)-D20))&lt;29,0,(VLOOKUP((YEAR(V20)-YEAR(D20)),'Meltzer-Malone'!$A$3:$B$63,2))))))</f>
        <v>0</v>
      </c>
      <c r="S20" s="130"/>
      <c r="T20" s="130"/>
      <c r="U20" s="128">
        <f t="shared" si="4"/>
      </c>
      <c r="V20" s="137">
        <f>R5</f>
        <v>42064</v>
      </c>
    </row>
    <row r="21" spans="1:22" s="13" customFormat="1" ht="19.5" customHeight="1">
      <c r="A21" s="150"/>
      <c r="B21" s="151"/>
      <c r="C21" s="152"/>
      <c r="D21" s="153"/>
      <c r="E21" s="154"/>
      <c r="F21" s="155"/>
      <c r="G21" s="155"/>
      <c r="H21" s="147"/>
      <c r="I21" s="148"/>
      <c r="J21" s="140"/>
      <c r="K21" s="147"/>
      <c r="L21" s="124"/>
      <c r="M21" s="124"/>
      <c r="N21" s="125">
        <f t="shared" si="0"/>
        <v>0</v>
      </c>
      <c r="O21" s="125">
        <f t="shared" si="1"/>
        <v>0</v>
      </c>
      <c r="P21" s="125">
        <f t="shared" si="2"/>
        <v>0</v>
      </c>
      <c r="Q21" s="126">
        <f t="shared" si="3"/>
      </c>
      <c r="R21" s="126">
        <f>IF(OR(D21="",B21="",V21=""),0,IF(OR(C21="UM",C21="JM",C21="SM",C21="UK",C21="JK",C21="SK"),"",Q21*(IF(ABS(1900-YEAR((V21+1)-D21))&lt;29,0,(VLOOKUP((YEAR(V21)-YEAR(D21)),'Meltzer-Malone'!$A$3:$B$63,2))))))</f>
        <v>0</v>
      </c>
      <c r="S21" s="130"/>
      <c r="T21" s="130"/>
      <c r="U21" s="128">
        <f t="shared" si="4"/>
      </c>
      <c r="V21" s="137">
        <f>R5</f>
        <v>42064</v>
      </c>
    </row>
    <row r="22" spans="1:22" s="13" customFormat="1" ht="19.5" customHeight="1">
      <c r="A22" s="150"/>
      <c r="B22" s="151"/>
      <c r="C22" s="152"/>
      <c r="D22" s="153"/>
      <c r="E22" s="154"/>
      <c r="F22" s="155"/>
      <c r="G22" s="155"/>
      <c r="H22" s="139"/>
      <c r="I22" s="140"/>
      <c r="J22" s="140"/>
      <c r="K22" s="139"/>
      <c r="L22" s="124"/>
      <c r="M22" s="124"/>
      <c r="N22" s="125">
        <f t="shared" si="0"/>
        <v>0</v>
      </c>
      <c r="O22" s="125">
        <f t="shared" si="1"/>
        <v>0</v>
      </c>
      <c r="P22" s="125">
        <f t="shared" si="2"/>
        <v>0</v>
      </c>
      <c r="Q22" s="126">
        <f t="shared" si="3"/>
      </c>
      <c r="R22" s="126">
        <f>IF(OR(D22="",B22="",V22=""),0,IF(OR(C22="UM",C22="JM",C22="SM",C22="UK",C22="JK",C22="SK"),"",Q22*(IF(ABS(1900-YEAR((V22+1)-D22))&lt;29,0,(VLOOKUP((YEAR(V22)-YEAR(D22)),'Meltzer-Malone'!$A$3:$B$63,2))))))</f>
        <v>0</v>
      </c>
      <c r="S22" s="130"/>
      <c r="T22" s="130"/>
      <c r="U22" s="128">
        <f t="shared" si="4"/>
      </c>
      <c r="V22" s="137">
        <f>R5</f>
        <v>42064</v>
      </c>
    </row>
    <row r="23" spans="1:22" s="13" customFormat="1" ht="19.5" customHeight="1">
      <c r="A23" s="119"/>
      <c r="B23" s="120"/>
      <c r="C23" s="121"/>
      <c r="D23" s="121"/>
      <c r="E23" s="122"/>
      <c r="F23" s="123"/>
      <c r="G23" s="123"/>
      <c r="H23" s="129"/>
      <c r="I23" s="124"/>
      <c r="J23" s="124"/>
      <c r="K23" s="129"/>
      <c r="L23" s="124"/>
      <c r="M23" s="124"/>
      <c r="N23" s="125">
        <f t="shared" si="0"/>
        <v>0</v>
      </c>
      <c r="O23" s="125">
        <f t="shared" si="1"/>
        <v>0</v>
      </c>
      <c r="P23" s="125">
        <f t="shared" si="2"/>
        <v>0</v>
      </c>
      <c r="Q23" s="126">
        <f t="shared" si="3"/>
      </c>
      <c r="R23" s="126">
        <f>IF(OR(D23="",B23="",V23=""),0,IF(OR(C23="UM",C23="JM",C23="SM",C23="UK",C23="JK",C23="SK"),"",Q23*(IF(ABS(1900-YEAR((V23+1)-D23))&lt;29,0,(VLOOKUP((YEAR(V23)-YEAR(D23)),'Meltzer-Malone'!$A$3:$B$63,2))))))</f>
        <v>0</v>
      </c>
      <c r="S23" s="130"/>
      <c r="T23" s="130"/>
      <c r="U23" s="128">
        <f t="shared" si="4"/>
      </c>
      <c r="V23" s="137">
        <f>R5</f>
        <v>42064</v>
      </c>
    </row>
    <row r="24" spans="1:22" s="13" customFormat="1" ht="19.5" customHeight="1">
      <c r="A24" s="119"/>
      <c r="B24" s="120"/>
      <c r="C24" s="121"/>
      <c r="D24" s="131"/>
      <c r="E24" s="132"/>
      <c r="F24" s="133"/>
      <c r="G24" s="133"/>
      <c r="H24" s="134"/>
      <c r="I24" s="124"/>
      <c r="J24" s="124"/>
      <c r="K24" s="134"/>
      <c r="L24" s="124"/>
      <c r="M24" s="124"/>
      <c r="N24" s="125">
        <f t="shared" si="0"/>
        <v>0</v>
      </c>
      <c r="O24" s="125">
        <f t="shared" si="1"/>
        <v>0</v>
      </c>
      <c r="P24" s="135">
        <f t="shared" si="2"/>
        <v>0</v>
      </c>
      <c r="Q24" s="126">
        <f t="shared" si="3"/>
      </c>
      <c r="R24" s="126">
        <f>IF(OR(D24="",B24="",V24=""),0,IF(OR(C24="UM",C24="JM",C24="SM",C24="UK",C24="JK",C24="SK"),"",Q24*(IF(ABS(1900-YEAR((V24+1)-D24))&lt;29,0,(VLOOKUP((YEAR(V24)-YEAR(D24)),'Meltzer-Malone'!$A$3:$B$63,2))))))</f>
        <v>0</v>
      </c>
      <c r="S24" s="136"/>
      <c r="T24" s="136"/>
      <c r="U24" s="128">
        <f t="shared" si="4"/>
      </c>
      <c r="V24" s="137">
        <f>R5</f>
        <v>42064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79"/>
      <c r="D27" s="179"/>
      <c r="E27" s="179"/>
      <c r="F27" s="179"/>
      <c r="G27" s="55" t="s">
        <v>36</v>
      </c>
      <c r="H27" s="40">
        <v>1</v>
      </c>
      <c r="I27" s="179" t="s">
        <v>157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s="8" customFormat="1" ht="15">
      <c r="B28"/>
      <c r="C28" s="41"/>
      <c r="D28" s="40"/>
      <c r="E28" s="40"/>
      <c r="F28" s="41"/>
      <c r="G28" s="57" t="s">
        <v>22</v>
      </c>
      <c r="H28" s="40">
        <v>2</v>
      </c>
      <c r="I28" s="179" t="s">
        <v>143</v>
      </c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s="8" customFormat="1" ht="15">
      <c r="A29" s="8" t="s">
        <v>37</v>
      </c>
      <c r="B29"/>
      <c r="C29" s="179" t="s">
        <v>158</v>
      </c>
      <c r="D29" s="180"/>
      <c r="E29" s="180"/>
      <c r="F29" s="180"/>
      <c r="G29" s="59"/>
      <c r="H29" s="40">
        <v>3</v>
      </c>
      <c r="I29" s="179" t="s">
        <v>288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262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79" t="s">
        <v>52</v>
      </c>
      <c r="D33" s="179"/>
      <c r="E33" s="179"/>
      <c r="F33" s="179"/>
      <c r="G33" s="61" t="s">
        <v>40</v>
      </c>
      <c r="H33" s="179" t="s">
        <v>289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79"/>
      <c r="D34" s="179"/>
      <c r="E34" s="179"/>
      <c r="F34" s="179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40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79"/>
      <c r="D36" s="179"/>
      <c r="E36" s="179"/>
      <c r="F36" s="179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44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18 H20:M24 L19:M19">
    <cfRule type="cellIs" priority="3" dxfId="36" operator="between" stopIfTrue="1">
      <formula>1</formula>
      <formula>300</formula>
    </cfRule>
    <cfRule type="cellIs" priority="4" dxfId="37" operator="lessThanOrEqual" stopIfTrue="1">
      <formula>0</formula>
    </cfRule>
  </conditionalFormatting>
  <conditionalFormatting sqref="H19:K19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3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18 C20:C24">
      <formula1>"UM,JM,SM,UK,JK,SK,M1,M2,M3,M4,M5,M6,M8,M9,M10,K1,K2,K3,K4,K5,K6,K7,K8,K9,K10"</formula1>
    </dataValidation>
    <dataValidation type="list" allowBlank="1" showInputMessage="1" showErrorMessage="1" sqref="C19">
      <formula1>"UM,JM,SM,UK,JK,SK,M1,M2,M3,M4,M5,M6,M7,M8,M9,M10,K1,K2,K3,K4,K5,K6,K7,K8,K9,K10"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V39"/>
  <sheetViews>
    <sheetView showGridLines="0" showRowColHeaders="0" showZeros="0" showOutlineSymbols="0" zoomScaleSheetLayoutView="75" zoomScalePageLayoutView="0" workbookViewId="0" topLeftCell="A4">
      <selection activeCell="R25" sqref="R25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9.140625" style="5" hidden="1" customWidth="1"/>
    <col min="23" max="16384" width="9.140625" style="5" customWidth="1"/>
  </cols>
  <sheetData>
    <row r="1" spans="3:20" ht="43.5" customHeight="1">
      <c r="C1" s="113"/>
      <c r="D1" s="2"/>
      <c r="E1" s="2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60"/>
      <c r="R1" s="60"/>
      <c r="S1" s="60"/>
      <c r="T1" s="60"/>
    </row>
    <row r="2" spans="3:20" ht="24.75" customHeight="1">
      <c r="C2" s="113"/>
      <c r="D2" s="2"/>
      <c r="E2" s="2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60"/>
      <c r="R2" s="60"/>
      <c r="S2" s="60"/>
      <c r="T2" s="60"/>
    </row>
    <row r="3" spans="3:20" ht="12.75">
      <c r="C3" s="113"/>
      <c r="D3" s="2"/>
      <c r="E3" s="2"/>
      <c r="F3" s="7"/>
      <c r="G3" s="7"/>
      <c r="H3" s="2"/>
      <c r="I3" s="62"/>
      <c r="J3" s="2"/>
      <c r="K3" s="2"/>
      <c r="L3" s="2"/>
      <c r="M3" s="2"/>
      <c r="N3" s="2"/>
      <c r="O3" s="2"/>
      <c r="P3" s="2"/>
      <c r="Q3" s="60"/>
      <c r="R3" s="60"/>
      <c r="S3" s="60"/>
      <c r="T3" s="60"/>
    </row>
    <row r="4" spans="3:20" ht="12" customHeight="1">
      <c r="C4" s="113"/>
      <c r="D4" s="2"/>
      <c r="E4" s="2"/>
      <c r="F4" s="7"/>
      <c r="G4" s="7"/>
      <c r="H4" s="2"/>
      <c r="I4" s="62"/>
      <c r="J4" s="2"/>
      <c r="K4" s="2"/>
      <c r="L4" s="2"/>
      <c r="M4" s="2"/>
      <c r="N4" s="2"/>
      <c r="O4" s="2"/>
      <c r="P4" s="2"/>
      <c r="Q4" s="60"/>
      <c r="R4" s="60"/>
      <c r="S4" s="60"/>
      <c r="T4" s="60"/>
    </row>
    <row r="5" spans="1:20" s="8" customFormat="1" ht="15">
      <c r="A5" s="80"/>
      <c r="B5" s="114" t="s">
        <v>31</v>
      </c>
      <c r="C5" s="190" t="s">
        <v>47</v>
      </c>
      <c r="D5" s="190"/>
      <c r="E5" s="190"/>
      <c r="F5" s="190"/>
      <c r="G5" s="115" t="s">
        <v>0</v>
      </c>
      <c r="H5" s="184" t="s">
        <v>50</v>
      </c>
      <c r="I5" s="184"/>
      <c r="J5" s="184"/>
      <c r="K5" s="184"/>
      <c r="L5" s="114" t="s">
        <v>1</v>
      </c>
      <c r="M5" s="186" t="s">
        <v>51</v>
      </c>
      <c r="N5" s="186"/>
      <c r="O5" s="186"/>
      <c r="P5" s="186"/>
      <c r="Q5" s="114" t="s">
        <v>2</v>
      </c>
      <c r="R5" s="116">
        <v>42064</v>
      </c>
      <c r="S5" s="117" t="s">
        <v>30</v>
      </c>
      <c r="T5" s="118">
        <v>14</v>
      </c>
    </row>
    <row r="6" spans="3:20" ht="12.75">
      <c r="C6" s="113"/>
      <c r="D6" s="2"/>
      <c r="E6" s="2"/>
      <c r="F6" s="7"/>
      <c r="G6" s="7"/>
      <c r="H6" s="2"/>
      <c r="I6" s="62"/>
      <c r="J6" s="2"/>
      <c r="K6" s="2"/>
      <c r="L6" s="2"/>
      <c r="M6" s="2"/>
      <c r="N6" s="2"/>
      <c r="O6" s="2"/>
      <c r="P6" s="2"/>
      <c r="Q6" s="60"/>
      <c r="R6" s="60"/>
      <c r="S6" s="60"/>
      <c r="T6" s="60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105</v>
      </c>
      <c r="B9" s="151">
        <v>102.4</v>
      </c>
      <c r="C9" s="152" t="s">
        <v>179</v>
      </c>
      <c r="D9" s="153">
        <v>34852</v>
      </c>
      <c r="E9" s="154"/>
      <c r="F9" s="155" t="s">
        <v>274</v>
      </c>
      <c r="G9" s="155" t="s">
        <v>50</v>
      </c>
      <c r="H9" s="139">
        <v>105</v>
      </c>
      <c r="I9" s="140">
        <v>-110</v>
      </c>
      <c r="J9" s="140">
        <v>110</v>
      </c>
      <c r="K9" s="139">
        <v>126</v>
      </c>
      <c r="L9" s="124">
        <v>130</v>
      </c>
      <c r="M9" s="124">
        <v>-133</v>
      </c>
      <c r="N9" s="125">
        <f aca="true" t="shared" si="0" ref="N9:N24">IF(MAX(H9:J9)&lt;0,0,TRUNC(MAX(H9:J9)/1)*1)</f>
        <v>110</v>
      </c>
      <c r="O9" s="125">
        <f aca="true" t="shared" si="1" ref="O9:O24">IF(MAX(K9:M9)&lt;0,0,TRUNC(MAX(K9:M9)/1)*1)</f>
        <v>130</v>
      </c>
      <c r="P9" s="125">
        <f aca="true" t="shared" si="2" ref="P9:P24">IF(N9=0,0,IF(O9=0,0,SUM(N9:O9)))</f>
        <v>240</v>
      </c>
      <c r="Q9" s="12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264.6568282578996</v>
      </c>
      <c r="R9" s="126">
        <f>IF(OR(D9="",B9="",V9=""),0,IF(OR(C9="UM",C9="JM",C9="SM",C9="UK",C9="JK",C9="SK"),"",Q9*(IF(ABS(1900-YEAR((V9+1)-D9))&lt;29,0,(VLOOKUP((YEAR(V9)-YEAR(D9)),'Meltzer-Malone'!$A$3:$B$63,2))))))</f>
      </c>
      <c r="S9" s="127">
        <v>5</v>
      </c>
      <c r="T9" s="127" t="s">
        <v>22</v>
      </c>
      <c r="U9" s="12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1.102736784407915</v>
      </c>
      <c r="V9" s="137">
        <f>R5</f>
        <v>42064</v>
      </c>
    </row>
    <row r="10" spans="1:22" s="13" customFormat="1" ht="19.5" customHeight="1">
      <c r="A10" s="150">
        <v>105</v>
      </c>
      <c r="B10" s="151">
        <v>98.31</v>
      </c>
      <c r="C10" s="152" t="s">
        <v>126</v>
      </c>
      <c r="D10" s="153">
        <v>29863</v>
      </c>
      <c r="E10" s="154"/>
      <c r="F10" s="155" t="s">
        <v>275</v>
      </c>
      <c r="G10" s="155" t="s">
        <v>110</v>
      </c>
      <c r="H10" s="139">
        <v>-139</v>
      </c>
      <c r="I10" s="140">
        <v>141</v>
      </c>
      <c r="J10" s="140">
        <v>-143</v>
      </c>
      <c r="K10" s="139">
        <v>172</v>
      </c>
      <c r="L10" s="124">
        <v>177</v>
      </c>
      <c r="M10" s="124">
        <v>-180</v>
      </c>
      <c r="N10" s="125">
        <f t="shared" si="0"/>
        <v>141</v>
      </c>
      <c r="O10" s="125">
        <f t="shared" si="1"/>
        <v>177</v>
      </c>
      <c r="P10" s="125">
        <f t="shared" si="2"/>
        <v>318</v>
      </c>
      <c r="Q10" s="126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356.16477616640884</v>
      </c>
      <c r="R10" s="126">
        <f>IF(OR(D10="",B10="",V10=""),0,IF(OR(C10="UM",C10="JM",C10="SM",C10="UK",C10="JK",C10="SK"),"",Q10*(IF(ABS(1900-YEAR((V10+1)-D10))&lt;29,0,(VLOOKUP((YEAR(V10)-YEAR(D10)),'Meltzer-Malone'!$A$3:$B$63,2))))))</f>
      </c>
      <c r="S10" s="130">
        <v>1</v>
      </c>
      <c r="T10" s="130"/>
      <c r="U10" s="128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1.1200150193912228</v>
      </c>
      <c r="V10" s="137">
        <f>R5</f>
        <v>42064</v>
      </c>
    </row>
    <row r="11" spans="1:22" s="13" customFormat="1" ht="19.5" customHeight="1">
      <c r="A11" s="150">
        <v>105</v>
      </c>
      <c r="B11" s="151">
        <v>103.93</v>
      </c>
      <c r="C11" s="152" t="s">
        <v>179</v>
      </c>
      <c r="D11" s="153">
        <v>35434</v>
      </c>
      <c r="E11" s="154"/>
      <c r="F11" s="155" t="s">
        <v>276</v>
      </c>
      <c r="G11" s="155" t="s">
        <v>137</v>
      </c>
      <c r="H11" s="139">
        <v>105</v>
      </c>
      <c r="I11" s="140">
        <v>-110</v>
      </c>
      <c r="J11" s="140">
        <v>-111</v>
      </c>
      <c r="K11" s="139">
        <v>-130</v>
      </c>
      <c r="L11" s="124">
        <v>130</v>
      </c>
      <c r="M11" s="124">
        <v>-136</v>
      </c>
      <c r="N11" s="125">
        <f t="shared" si="0"/>
        <v>105</v>
      </c>
      <c r="O11" s="125">
        <f t="shared" si="1"/>
        <v>130</v>
      </c>
      <c r="P11" s="125">
        <f t="shared" si="2"/>
        <v>235</v>
      </c>
      <c r="Q11" s="126">
        <f t="shared" si="3"/>
        <v>257.75466874157604</v>
      </c>
      <c r="R11" s="126">
        <f>IF(OR(D11="",B11="",V11=""),0,IF(OR(C11="UM",C11="JM",C11="SM",C11="UK",C11="JK",C11="SK"),"",Q11*(IF(ABS(1900-YEAR((V11+1)-D11))&lt;29,0,(VLOOKUP((YEAR(V11)-YEAR(D11)),'Meltzer-Malone'!$A$3:$B$63,2))))))</f>
      </c>
      <c r="S11" s="130">
        <v>8</v>
      </c>
      <c r="T11" s="130"/>
      <c r="U11" s="128">
        <f t="shared" si="4"/>
        <v>1.0968283776237278</v>
      </c>
      <c r="V11" s="137">
        <f>R5</f>
        <v>42064</v>
      </c>
    </row>
    <row r="12" spans="1:22" s="13" customFormat="1" ht="19.5" customHeight="1">
      <c r="A12" s="150">
        <v>105</v>
      </c>
      <c r="B12" s="151">
        <v>98.9</v>
      </c>
      <c r="C12" s="152" t="s">
        <v>126</v>
      </c>
      <c r="D12" s="153">
        <v>32943</v>
      </c>
      <c r="E12" s="154"/>
      <c r="F12" s="155" t="s">
        <v>277</v>
      </c>
      <c r="G12" s="155" t="s">
        <v>61</v>
      </c>
      <c r="H12" s="139">
        <v>105</v>
      </c>
      <c r="I12" s="140">
        <v>-110</v>
      </c>
      <c r="J12" s="140">
        <v>-110</v>
      </c>
      <c r="K12" s="139">
        <v>-123</v>
      </c>
      <c r="L12" s="124">
        <v>123</v>
      </c>
      <c r="M12" s="124">
        <v>127</v>
      </c>
      <c r="N12" s="125">
        <f t="shared" si="0"/>
        <v>105</v>
      </c>
      <c r="O12" s="125">
        <f t="shared" si="1"/>
        <v>127</v>
      </c>
      <c r="P12" s="125">
        <f t="shared" si="2"/>
        <v>232</v>
      </c>
      <c r="Q12" s="126">
        <f t="shared" si="3"/>
        <v>259.23253073633407</v>
      </c>
      <c r="R12" s="126">
        <f>IF(OR(D12="",B12="",V12=""),0,IF(OR(C12="UM",C12="JM",C12="SM",C12="UK",C12="JK",C12="SK"),"",Q12*(IF(ABS(1900-YEAR((V12+1)-D12))&lt;29,0,(VLOOKUP((YEAR(V12)-YEAR(D12)),'Meltzer-Malone'!$A$3:$B$63,2))))))</f>
      </c>
      <c r="S12" s="130">
        <v>9</v>
      </c>
      <c r="T12" s="130" t="s">
        <v>22</v>
      </c>
      <c r="U12" s="128">
        <f t="shared" si="4"/>
        <v>1.1173815980014399</v>
      </c>
      <c r="V12" s="137">
        <f>R5</f>
        <v>42064</v>
      </c>
    </row>
    <row r="13" spans="1:22" s="13" customFormat="1" ht="19.5" customHeight="1">
      <c r="A13" s="150">
        <v>105</v>
      </c>
      <c r="B13" s="151">
        <v>104.94</v>
      </c>
      <c r="C13" s="152" t="s">
        <v>126</v>
      </c>
      <c r="D13" s="153">
        <v>30743</v>
      </c>
      <c r="E13" s="154"/>
      <c r="F13" s="155" t="s">
        <v>278</v>
      </c>
      <c r="G13" s="155" t="s">
        <v>64</v>
      </c>
      <c r="H13" s="139">
        <v>-118</v>
      </c>
      <c r="I13" s="140">
        <v>-118</v>
      </c>
      <c r="J13" s="140">
        <v>-118</v>
      </c>
      <c r="K13" s="176" t="s">
        <v>171</v>
      </c>
      <c r="L13" s="172" t="s">
        <v>171</v>
      </c>
      <c r="M13" s="172" t="s">
        <v>171</v>
      </c>
      <c r="N13" s="125">
        <f t="shared" si="0"/>
        <v>0</v>
      </c>
      <c r="O13" s="125">
        <f t="shared" si="1"/>
        <v>0</v>
      </c>
      <c r="P13" s="125">
        <f t="shared" si="2"/>
        <v>0</v>
      </c>
      <c r="Q13" s="126">
        <f t="shared" si="3"/>
        <v>0</v>
      </c>
      <c r="R13" s="126">
        <f>IF(OR(D13="",B13="",V13=""),0,IF(OR(C13="UM",C13="JM",C13="SM",C13="UK",C13="JK",C13="SK"),"",Q13*(IF(ABS(1900-YEAR((V13+1)-D13))&lt;29,0,(VLOOKUP((YEAR(V13)-YEAR(D13)),'Meltzer-Malone'!$A$3:$B$63,2))))))</f>
      </c>
      <c r="S13" s="130" t="s">
        <v>22</v>
      </c>
      <c r="T13" s="130" t="s">
        <v>22</v>
      </c>
      <c r="U13" s="128">
        <f t="shared" si="4"/>
        <v>1.093081945505897</v>
      </c>
      <c r="V13" s="137">
        <f>R5</f>
        <v>42064</v>
      </c>
    </row>
    <row r="14" spans="1:22" s="13" customFormat="1" ht="19.5" customHeight="1">
      <c r="A14" s="150">
        <v>105</v>
      </c>
      <c r="B14" s="151">
        <v>99.9</v>
      </c>
      <c r="C14" s="152" t="s">
        <v>126</v>
      </c>
      <c r="D14" s="153">
        <v>32405</v>
      </c>
      <c r="E14" s="154"/>
      <c r="F14" s="155" t="s">
        <v>279</v>
      </c>
      <c r="G14" s="155" t="s">
        <v>108</v>
      </c>
      <c r="H14" s="139">
        <v>102</v>
      </c>
      <c r="I14" s="140">
        <v>-106</v>
      </c>
      <c r="J14" s="140">
        <v>106</v>
      </c>
      <c r="K14" s="139">
        <v>-131</v>
      </c>
      <c r="L14" s="124">
        <v>133</v>
      </c>
      <c r="M14" s="124">
        <v>-136</v>
      </c>
      <c r="N14" s="125">
        <f t="shared" si="0"/>
        <v>106</v>
      </c>
      <c r="O14" s="125">
        <f t="shared" si="1"/>
        <v>133</v>
      </c>
      <c r="P14" s="125">
        <f t="shared" si="2"/>
        <v>239</v>
      </c>
      <c r="Q14" s="126">
        <f t="shared" si="3"/>
        <v>266.01411555732983</v>
      </c>
      <c r="R14" s="126">
        <f>IF(OR(D14="",B14="",V14=""),0,IF(OR(C14="UM",C14="JM",C14="SM",C14="UK",C14="JK",C14="SK"),"",Q14*(IF(ABS(1900-YEAR((V14+1)-D14))&lt;29,0,(VLOOKUP((YEAR(V14)-YEAR(D14)),'Meltzer-Malone'!$A$3:$B$63,2))))))</f>
      </c>
      <c r="S14" s="130">
        <v>6</v>
      </c>
      <c r="T14" s="130" t="s">
        <v>22</v>
      </c>
      <c r="U14" s="128">
        <f t="shared" si="4"/>
        <v>1.1130297722064009</v>
      </c>
      <c r="V14" s="137">
        <f>R5</f>
        <v>42064</v>
      </c>
    </row>
    <row r="15" spans="1:22" s="13" customFormat="1" ht="19.5" customHeight="1">
      <c r="A15" s="156">
        <v>105</v>
      </c>
      <c r="B15" s="151">
        <v>104.46</v>
      </c>
      <c r="C15" s="152" t="s">
        <v>118</v>
      </c>
      <c r="D15" s="153">
        <v>27849</v>
      </c>
      <c r="E15" s="154"/>
      <c r="F15" s="155" t="s">
        <v>280</v>
      </c>
      <c r="G15" s="155" t="s">
        <v>110</v>
      </c>
      <c r="H15" s="139">
        <v>-120</v>
      </c>
      <c r="I15" s="140">
        <v>120</v>
      </c>
      <c r="J15" s="140">
        <v>-122</v>
      </c>
      <c r="K15" s="139">
        <v>-165</v>
      </c>
      <c r="L15" s="124">
        <v>165</v>
      </c>
      <c r="M15" s="124">
        <v>-172</v>
      </c>
      <c r="N15" s="125">
        <f t="shared" si="0"/>
        <v>120</v>
      </c>
      <c r="O15" s="125">
        <f t="shared" si="1"/>
        <v>165</v>
      </c>
      <c r="P15" s="125">
        <f t="shared" si="2"/>
        <v>285</v>
      </c>
      <c r="Q15" s="126">
        <f t="shared" si="3"/>
        <v>312.0315388833473</v>
      </c>
      <c r="R15" s="126">
        <f>IF(OR(D15="",B15="",V15=""),0,IF(OR(C15="UM",C15="JM",C15="SM",C15="UK",C15="JK",C15="SK"),"",Q15*(IF(ABS(1900-YEAR((V15+1)-D15))&lt;29,0,(VLOOKUP((YEAR(V15)-YEAR(D15)),'Meltzer-Malone'!$A$3:$B$63,2))))))</f>
        <v>351.03548124376573</v>
      </c>
      <c r="S15" s="175" t="s">
        <v>301</v>
      </c>
      <c r="T15" s="130"/>
      <c r="U15" s="128">
        <f t="shared" si="4"/>
        <v>1.0948475048538502</v>
      </c>
      <c r="V15" s="137">
        <f>R5</f>
        <v>42064</v>
      </c>
    </row>
    <row r="16" spans="1:22" s="13" customFormat="1" ht="19.5" customHeight="1">
      <c r="A16" s="150">
        <v>105</v>
      </c>
      <c r="B16" s="151">
        <v>96.72</v>
      </c>
      <c r="C16" s="152" t="s">
        <v>121</v>
      </c>
      <c r="D16" s="153">
        <v>26790</v>
      </c>
      <c r="E16" s="154"/>
      <c r="F16" s="155" t="s">
        <v>281</v>
      </c>
      <c r="G16" s="155" t="s">
        <v>57</v>
      </c>
      <c r="H16" s="139">
        <v>100</v>
      </c>
      <c r="I16" s="140">
        <v>105</v>
      </c>
      <c r="J16" s="140">
        <v>-108</v>
      </c>
      <c r="K16" s="139">
        <v>-130</v>
      </c>
      <c r="L16" s="124">
        <v>-130</v>
      </c>
      <c r="M16" s="124">
        <v>130</v>
      </c>
      <c r="N16" s="125">
        <f t="shared" si="0"/>
        <v>105</v>
      </c>
      <c r="O16" s="125">
        <f t="shared" si="1"/>
        <v>130</v>
      </c>
      <c r="P16" s="125">
        <f t="shared" si="2"/>
        <v>235</v>
      </c>
      <c r="Q16" s="126">
        <f t="shared" si="3"/>
        <v>264.9305905200904</v>
      </c>
      <c r="R16" s="126">
        <f>IF(OR(D16="",B16="",V16=""),0,IF(OR(C16="UM",C16="JM",C16="SM",C16="UK",C16="JK",C16="SK"),"",Q16*(IF(ABS(1900-YEAR((V16+1)-D16))&lt;29,0,(VLOOKUP((YEAR(V16)-YEAR(D16)),'Meltzer-Malone'!$A$3:$B$63,2))))))</f>
        <v>306.7896238222647</v>
      </c>
      <c r="S16" s="175" t="s">
        <v>294</v>
      </c>
      <c r="T16" s="130"/>
      <c r="U16" s="128">
        <f t="shared" si="4"/>
        <v>1.127364214979108</v>
      </c>
      <c r="V16" s="137">
        <f>R5</f>
        <v>42064</v>
      </c>
    </row>
    <row r="17" spans="1:22" s="13" customFormat="1" ht="19.5" customHeight="1">
      <c r="A17" s="150">
        <v>105</v>
      </c>
      <c r="B17" s="151">
        <v>97.3</v>
      </c>
      <c r="C17" s="152" t="s">
        <v>104</v>
      </c>
      <c r="D17" s="153">
        <v>24011</v>
      </c>
      <c r="E17" s="154"/>
      <c r="F17" s="155" t="s">
        <v>282</v>
      </c>
      <c r="G17" s="155" t="s">
        <v>50</v>
      </c>
      <c r="H17" s="139">
        <v>100</v>
      </c>
      <c r="I17" s="140">
        <v>-105</v>
      </c>
      <c r="J17" s="140">
        <v>105</v>
      </c>
      <c r="K17" s="139">
        <v>132</v>
      </c>
      <c r="L17" s="124">
        <v>137</v>
      </c>
      <c r="M17" s="124">
        <v>141</v>
      </c>
      <c r="N17" s="125">
        <f t="shared" si="0"/>
        <v>105</v>
      </c>
      <c r="O17" s="125">
        <f t="shared" si="1"/>
        <v>141</v>
      </c>
      <c r="P17" s="125">
        <f t="shared" si="2"/>
        <v>246</v>
      </c>
      <c r="Q17" s="126">
        <f t="shared" si="3"/>
        <v>276.66142399201357</v>
      </c>
      <c r="R17" s="126">
        <f>IF(OR(D17="",B17="",V17=""),0,IF(OR(C17="UM",C17="JM",C17="SM",C17="UK",C17="JK",C17="SK"),"",Q17*(IF(ABS(1900-YEAR((V17+1)-D17))&lt;29,0,(VLOOKUP((YEAR(V17)-YEAR(D17)),'Meltzer-Malone'!$A$3:$B$63,2))))))</f>
        <v>343.8901500220729</v>
      </c>
      <c r="S17" s="175" t="s">
        <v>299</v>
      </c>
      <c r="T17" s="130" t="s">
        <v>253</v>
      </c>
      <c r="U17" s="128">
        <f t="shared" si="4"/>
        <v>1.1246399349268845</v>
      </c>
      <c r="V17" s="137">
        <f>R5</f>
        <v>42064</v>
      </c>
    </row>
    <row r="18" spans="1:22" s="13" customFormat="1" ht="19.5" customHeight="1">
      <c r="A18" s="150">
        <v>105</v>
      </c>
      <c r="B18" s="151">
        <v>95.6</v>
      </c>
      <c r="C18" s="152" t="s">
        <v>126</v>
      </c>
      <c r="D18" s="153">
        <v>31951</v>
      </c>
      <c r="E18" s="154"/>
      <c r="F18" s="155" t="s">
        <v>283</v>
      </c>
      <c r="G18" s="155" t="s">
        <v>134</v>
      </c>
      <c r="H18" s="139">
        <v>115</v>
      </c>
      <c r="I18" s="140">
        <v>-121</v>
      </c>
      <c r="J18" s="140">
        <v>121</v>
      </c>
      <c r="K18" s="139">
        <v>135</v>
      </c>
      <c r="L18" s="124">
        <v>-144</v>
      </c>
      <c r="M18" s="124">
        <v>-144</v>
      </c>
      <c r="N18" s="125">
        <f t="shared" si="0"/>
        <v>121</v>
      </c>
      <c r="O18" s="125">
        <f t="shared" si="1"/>
        <v>135</v>
      </c>
      <c r="P18" s="125">
        <f t="shared" si="2"/>
        <v>256</v>
      </c>
      <c r="Q18" s="126">
        <f t="shared" si="3"/>
        <v>289.9892812947968</v>
      </c>
      <c r="R18" s="126">
        <f>IF(OR(D18="",B18="",V18=""),0,IF(OR(C18="UM",C18="JM",C18="SM",C18="UK",C18="JK",C18="SK"),"",Q18*(IF(ABS(1900-YEAR((V18+1)-D18))&lt;29,0,(VLOOKUP((YEAR(V18)-YEAR(D18)),'Meltzer-Malone'!$A$3:$B$63,2))))))</f>
      </c>
      <c r="S18" s="130">
        <v>3</v>
      </c>
      <c r="T18" s="130" t="s">
        <v>22</v>
      </c>
      <c r="U18" s="128">
        <f t="shared" si="4"/>
        <v>1.1327706300578</v>
      </c>
      <c r="V18" s="137">
        <f>R5</f>
        <v>42064</v>
      </c>
    </row>
    <row r="19" spans="1:22" s="13" customFormat="1" ht="19.5" customHeight="1">
      <c r="A19" s="156" t="s">
        <v>83</v>
      </c>
      <c r="B19" s="151">
        <v>131.86</v>
      </c>
      <c r="C19" s="152" t="s">
        <v>126</v>
      </c>
      <c r="D19" s="153">
        <v>29981</v>
      </c>
      <c r="E19" s="154"/>
      <c r="F19" s="155" t="s">
        <v>284</v>
      </c>
      <c r="G19" s="155" t="s">
        <v>108</v>
      </c>
      <c r="H19" s="139">
        <v>125</v>
      </c>
      <c r="I19" s="140">
        <v>-131</v>
      </c>
      <c r="J19" s="140">
        <v>132</v>
      </c>
      <c r="K19" s="139">
        <v>156</v>
      </c>
      <c r="L19" s="124">
        <v>165</v>
      </c>
      <c r="M19" s="124">
        <v>-173</v>
      </c>
      <c r="N19" s="125">
        <f t="shared" si="0"/>
        <v>132</v>
      </c>
      <c r="O19" s="125">
        <f t="shared" si="1"/>
        <v>165</v>
      </c>
      <c r="P19" s="125">
        <f t="shared" si="2"/>
        <v>297</v>
      </c>
      <c r="Q19" s="126">
        <f t="shared" si="3"/>
        <v>305.1172416512244</v>
      </c>
      <c r="R19" s="126">
        <f>IF(OR(D19="",B19="",V19=""),0,IF(OR(C19="UM",C19="JM",C19="SM",C19="UK",C19="JK",C19="SK"),"",Q19*(IF(ABS(1900-YEAR((V19+1)-D19))&lt;29,0,(VLOOKUP((YEAR(V19)-YEAR(D19)),'Meltzer-Malone'!$A$3:$B$63,2))))))</f>
      </c>
      <c r="S19" s="130">
        <v>3</v>
      </c>
      <c r="T19" s="130"/>
      <c r="U19" s="128">
        <f t="shared" si="4"/>
        <v>1.0273307799704525</v>
      </c>
      <c r="V19" s="137">
        <f>R5</f>
        <v>42064</v>
      </c>
    </row>
    <row r="20" spans="1:22" s="13" customFormat="1" ht="19.5" customHeight="1">
      <c r="A20" s="156" t="s">
        <v>83</v>
      </c>
      <c r="B20" s="151">
        <v>129.52</v>
      </c>
      <c r="C20" s="152" t="s">
        <v>126</v>
      </c>
      <c r="D20" s="153">
        <v>33062</v>
      </c>
      <c r="E20" s="154"/>
      <c r="F20" s="155" t="s">
        <v>285</v>
      </c>
      <c r="G20" s="155" t="s">
        <v>136</v>
      </c>
      <c r="H20" s="139">
        <v>152</v>
      </c>
      <c r="I20" s="140">
        <v>156</v>
      </c>
      <c r="J20" s="140">
        <v>-160</v>
      </c>
      <c r="K20" s="139">
        <v>-175</v>
      </c>
      <c r="L20" s="124">
        <v>175</v>
      </c>
      <c r="M20" s="124">
        <v>-180</v>
      </c>
      <c r="N20" s="125">
        <f t="shared" si="0"/>
        <v>156</v>
      </c>
      <c r="O20" s="125">
        <f t="shared" si="1"/>
        <v>175</v>
      </c>
      <c r="P20" s="125">
        <f t="shared" si="2"/>
        <v>331</v>
      </c>
      <c r="Q20" s="126">
        <f t="shared" si="3"/>
        <v>341.2607413662802</v>
      </c>
      <c r="R20" s="126">
        <f>IF(OR(D20="",B20="",V20=""),0,IF(OR(C20="UM",C20="JM",C20="SM",C20="UK",C20="JK",C20="SK"),"",Q20*(IF(ABS(1900-YEAR((V20+1)-D20))&lt;29,0,(VLOOKUP((YEAR(V20)-YEAR(D20)),'Meltzer-Malone'!$A$3:$B$63,2))))))</f>
      </c>
      <c r="S20" s="130">
        <v>2</v>
      </c>
      <c r="T20" s="130"/>
      <c r="U20" s="128">
        <f t="shared" si="4"/>
        <v>1.0309992186292452</v>
      </c>
      <c r="V20" s="137">
        <f>R5</f>
        <v>42064</v>
      </c>
    </row>
    <row r="21" spans="1:22" s="13" customFormat="1" ht="19.5" customHeight="1">
      <c r="A21" s="156" t="s">
        <v>83</v>
      </c>
      <c r="B21" s="151">
        <v>112.96</v>
      </c>
      <c r="C21" s="152" t="s">
        <v>126</v>
      </c>
      <c r="D21" s="153">
        <v>32866</v>
      </c>
      <c r="E21" s="154"/>
      <c r="F21" s="155" t="s">
        <v>286</v>
      </c>
      <c r="G21" s="155" t="s">
        <v>91</v>
      </c>
      <c r="H21" s="139">
        <v>-155</v>
      </c>
      <c r="I21" s="148">
        <v>-155</v>
      </c>
      <c r="J21" s="140">
        <v>155</v>
      </c>
      <c r="K21" s="139">
        <v>188</v>
      </c>
      <c r="L21" s="172" t="s">
        <v>171</v>
      </c>
      <c r="M21" s="172" t="s">
        <v>171</v>
      </c>
      <c r="N21" s="125">
        <f t="shared" si="0"/>
        <v>155</v>
      </c>
      <c r="O21" s="125">
        <f t="shared" si="1"/>
        <v>188</v>
      </c>
      <c r="P21" s="125">
        <f t="shared" si="2"/>
        <v>343</v>
      </c>
      <c r="Q21" s="126">
        <f t="shared" si="3"/>
        <v>366.0586849970283</v>
      </c>
      <c r="R21" s="126">
        <f>IF(OR(D21="",B21="",V21=""),0,IF(OR(C21="UM",C21="JM",C21="SM",C21="UK",C21="JK",C21="SK"),"",Q21*(IF(ABS(1900-YEAR((V21+1)-D21))&lt;29,0,(VLOOKUP((YEAR(V21)-YEAR(D21)),'Meltzer-Malone'!$A$3:$B$63,2))))))</f>
      </c>
      <c r="S21" s="130">
        <v>1</v>
      </c>
      <c r="T21" s="130"/>
      <c r="U21" s="128">
        <f t="shared" si="4"/>
        <v>1.0672264868718027</v>
      </c>
      <c r="V21" s="137">
        <f>R5</f>
        <v>42064</v>
      </c>
    </row>
    <row r="22" spans="1:22" s="13" customFormat="1" ht="19.5" customHeight="1">
      <c r="A22" s="156" t="s">
        <v>83</v>
      </c>
      <c r="B22" s="151">
        <v>119.04</v>
      </c>
      <c r="C22" s="152" t="s">
        <v>126</v>
      </c>
      <c r="D22" s="153">
        <v>32442</v>
      </c>
      <c r="E22" s="154"/>
      <c r="F22" s="155" t="s">
        <v>287</v>
      </c>
      <c r="G22" s="155" t="s">
        <v>59</v>
      </c>
      <c r="H22" s="139">
        <v>116</v>
      </c>
      <c r="I22" s="140">
        <v>121</v>
      </c>
      <c r="J22" s="140">
        <v>-125</v>
      </c>
      <c r="K22" s="139">
        <v>150</v>
      </c>
      <c r="L22" s="124">
        <v>-155</v>
      </c>
      <c r="M22" s="124">
        <v>-155</v>
      </c>
      <c r="N22" s="125">
        <f t="shared" si="0"/>
        <v>121</v>
      </c>
      <c r="O22" s="125">
        <f t="shared" si="1"/>
        <v>150</v>
      </c>
      <c r="P22" s="125">
        <f t="shared" si="2"/>
        <v>271</v>
      </c>
      <c r="Q22" s="126">
        <f t="shared" si="3"/>
        <v>284.9806865140377</v>
      </c>
      <c r="R22" s="126">
        <f>IF(OR(D22="",B22="",V22=""),0,IF(OR(C22="UM",C22="JM",C22="SM",C22="UK",C22="JK",C22="SK"),"",Q22*(IF(ABS(1900-YEAR((V22+1)-D22))&lt;29,0,(VLOOKUP((YEAR(V22)-YEAR(D22)),'Meltzer-Malone'!$A$3:$B$63,2))))))</f>
      </c>
      <c r="S22" s="130">
        <v>4</v>
      </c>
      <c r="T22" s="130"/>
      <c r="U22" s="128">
        <f t="shared" si="4"/>
        <v>1.0515892491292904</v>
      </c>
      <c r="V22" s="137">
        <f>R5</f>
        <v>42064</v>
      </c>
    </row>
    <row r="23" spans="1:22" s="13" customFormat="1" ht="19.5" customHeight="1">
      <c r="A23" s="156"/>
      <c r="B23" s="151"/>
      <c r="C23" s="152"/>
      <c r="D23" s="153"/>
      <c r="E23" s="154"/>
      <c r="F23" s="155"/>
      <c r="G23" s="155"/>
      <c r="H23" s="139"/>
      <c r="I23" s="140"/>
      <c r="J23" s="140"/>
      <c r="K23" s="139"/>
      <c r="L23" s="124"/>
      <c r="M23" s="124"/>
      <c r="N23" s="125">
        <f t="shared" si="0"/>
        <v>0</v>
      </c>
      <c r="O23" s="125">
        <f t="shared" si="1"/>
        <v>0</v>
      </c>
      <c r="P23" s="125">
        <f t="shared" si="2"/>
        <v>0</v>
      </c>
      <c r="Q23" s="126">
        <f t="shared" si="3"/>
      </c>
      <c r="R23" s="126">
        <f>IF(OR(D23="",B23="",V23=""),0,IF(OR(C23="UM",C23="JM",C23="SM",C23="UK",C23="JK",C23="SK"),"",Q23*(IF(ABS(1900-YEAR((V23+1)-D23))&lt;29,0,(VLOOKUP((YEAR(V23)-YEAR(D23)),'Meltzer-Malone'!$A$3:$B$63,2))))))</f>
        <v>0</v>
      </c>
      <c r="S23" s="130"/>
      <c r="T23" s="130"/>
      <c r="U23" s="128">
        <f t="shared" si="4"/>
      </c>
      <c r="V23" s="137">
        <f>R5</f>
        <v>42064</v>
      </c>
    </row>
    <row r="24" spans="1:22" s="13" customFormat="1" ht="19.5" customHeight="1">
      <c r="A24" s="119"/>
      <c r="B24" s="120"/>
      <c r="C24" s="121"/>
      <c r="D24" s="131"/>
      <c r="E24" s="132"/>
      <c r="F24" s="133"/>
      <c r="G24" s="133"/>
      <c r="H24" s="134"/>
      <c r="I24" s="124"/>
      <c r="J24" s="124"/>
      <c r="K24" s="134"/>
      <c r="L24" s="124"/>
      <c r="M24" s="124"/>
      <c r="N24" s="125">
        <f t="shared" si="0"/>
        <v>0</v>
      </c>
      <c r="O24" s="125">
        <f t="shared" si="1"/>
        <v>0</v>
      </c>
      <c r="P24" s="135">
        <f t="shared" si="2"/>
        <v>0</v>
      </c>
      <c r="Q24" s="126">
        <f t="shared" si="3"/>
      </c>
      <c r="R24" s="126">
        <f>IF(OR(D24="",B24="",V24=""),0,IF(OR(C24="UM",C24="JM",C24="SM",C24="UK",C24="JK",C24="SK"),"",Q24*(IF(ABS(1900-YEAR((V24+1)-D24))&lt;29,0,(VLOOKUP((YEAR(V24)-YEAR(D24)),'Meltzer-Malone'!$A$3:$B$63,2))))))</f>
        <v>0</v>
      </c>
      <c r="S24" s="136"/>
      <c r="T24" s="136"/>
      <c r="U24" s="128">
        <f t="shared" si="4"/>
      </c>
      <c r="V24" s="137">
        <f>R5</f>
        <v>42064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79"/>
      <c r="D27" s="179"/>
      <c r="E27" s="179"/>
      <c r="F27" s="179"/>
      <c r="G27" s="55" t="s">
        <v>36</v>
      </c>
      <c r="H27" s="40">
        <v>1</v>
      </c>
      <c r="I27" s="179" t="s">
        <v>292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s="8" customFormat="1" ht="15">
      <c r="B28"/>
      <c r="C28" s="41"/>
      <c r="D28" s="40"/>
      <c r="E28" s="40"/>
      <c r="F28" s="41"/>
      <c r="G28" s="57" t="s">
        <v>22</v>
      </c>
      <c r="H28" s="40">
        <v>2</v>
      </c>
      <c r="I28" s="179" t="s">
        <v>155</v>
      </c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s="8" customFormat="1" ht="15">
      <c r="A29" s="8" t="s">
        <v>37</v>
      </c>
      <c r="B29"/>
      <c r="C29" s="180" t="s">
        <v>157</v>
      </c>
      <c r="D29" s="180"/>
      <c r="E29" s="180"/>
      <c r="F29" s="180"/>
      <c r="G29" s="59"/>
      <c r="H29" s="40">
        <v>3</v>
      </c>
      <c r="I29" s="179" t="s">
        <v>297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15">
      <c r="A30" s="7"/>
      <c r="B30"/>
      <c r="C30" s="180" t="s">
        <v>159</v>
      </c>
      <c r="D30" s="180"/>
      <c r="E30" s="180"/>
      <c r="F30" s="180"/>
      <c r="G30" s="43"/>
      <c r="H30" s="41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8"/>
      <c r="B31"/>
      <c r="C31" s="180" t="s">
        <v>142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296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79" t="s">
        <v>52</v>
      </c>
      <c r="D33" s="179"/>
      <c r="E33" s="179"/>
      <c r="F33" s="179"/>
      <c r="G33" s="61" t="s">
        <v>40</v>
      </c>
      <c r="H33" s="179" t="s">
        <v>289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79"/>
      <c r="D34" s="179"/>
      <c r="E34" s="179"/>
      <c r="F34" s="179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40" t="s">
        <v>41</v>
      </c>
      <c r="B35" s="64"/>
      <c r="C35" s="179" t="s">
        <v>149</v>
      </c>
      <c r="D35" s="179"/>
      <c r="E35" s="179"/>
      <c r="F35" s="179"/>
      <c r="G35" s="61" t="s">
        <v>24</v>
      </c>
      <c r="H35" s="179" t="s">
        <v>298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79"/>
      <c r="D36" s="179"/>
      <c r="E36" s="179"/>
      <c r="F36" s="179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44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1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4"/>
  <sheetViews>
    <sheetView showGridLines="0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E144" sqref="E144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1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72" customWidth="1"/>
  </cols>
  <sheetData>
    <row r="1" spans="1:11" ht="34.5">
      <c r="A1" s="193" t="s">
        <v>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70" customFormat="1" ht="26.25" customHeight="1">
      <c r="A2" s="194" t="str">
        <f>IF('P1'!H5&gt;0,'P1'!H5,"")</f>
        <v>Spydeberg Atletene</v>
      </c>
      <c r="B2" s="194"/>
      <c r="C2" s="194"/>
      <c r="D2" s="194"/>
      <c r="E2" s="194"/>
      <c r="F2" s="194" t="str">
        <f>IF('P1'!M5&gt;0,'P1'!M5,"")</f>
        <v>Spydeberghallen</v>
      </c>
      <c r="G2" s="194"/>
      <c r="H2" s="194" t="s">
        <v>305</v>
      </c>
      <c r="I2" s="194"/>
      <c r="J2" s="194"/>
      <c r="K2" s="194"/>
    </row>
    <row r="3" spans="1:11" ht="27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ht="12">
      <c r="A4" s="48"/>
    </row>
    <row r="5" spans="1:12" ht="15">
      <c r="A5" s="105">
        <v>1</v>
      </c>
      <c r="B5" s="106">
        <f>IF('P6'!A9="","",'P6'!A9)</f>
        <v>48</v>
      </c>
      <c r="C5" s="107">
        <f>IF('P6'!B9="","",'P6'!B9)</f>
        <v>46.96</v>
      </c>
      <c r="D5" s="106" t="str">
        <f>IF('P6'!C9="","",'P6'!C9)</f>
        <v>UK</v>
      </c>
      <c r="E5" s="108">
        <f>IF('P6'!D9="","",'P6'!D9)</f>
        <v>35898</v>
      </c>
      <c r="F5" s="109" t="str">
        <f>IF('P6'!F9="","",'P6'!F9)</f>
        <v>Bettine Carlsen</v>
      </c>
      <c r="G5" s="109" t="str">
        <f>IF('P6'!G9="","",'P6'!G9)</f>
        <v>AK Bjørgvin</v>
      </c>
      <c r="H5" s="110">
        <f>IF('P6'!N9=0,"",'P6'!N9)</f>
        <v>40</v>
      </c>
      <c r="I5" s="110">
        <f>IF('P6'!O9=0,"",'P6'!O9)</f>
        <v>62</v>
      </c>
      <c r="J5" s="110">
        <f>IF('P6'!P9=0,"",'P6'!P9)</f>
        <v>102</v>
      </c>
      <c r="K5" s="111">
        <f>IF('P6'!Q9=0,"",'P6'!Q9)</f>
        <v>170.47858117476633</v>
      </c>
      <c r="L5" s="77">
        <v>12</v>
      </c>
    </row>
    <row r="6" spans="1:12" ht="15">
      <c r="A6" s="105"/>
      <c r="B6" s="106"/>
      <c r="C6" s="107"/>
      <c r="D6" s="106"/>
      <c r="E6" s="108"/>
      <c r="F6" s="109"/>
      <c r="G6" s="109"/>
      <c r="H6" s="110"/>
      <c r="I6" s="110"/>
      <c r="J6" s="110"/>
      <c r="K6" s="111"/>
      <c r="L6" s="77"/>
    </row>
    <row r="7" spans="1:12" ht="15">
      <c r="A7" s="105">
        <v>1</v>
      </c>
      <c r="B7" s="106">
        <f>IF('P6'!A11="","",'P6'!A11)</f>
        <v>53</v>
      </c>
      <c r="C7" s="107">
        <f>IF('P6'!B11="","",'P6'!B11)</f>
        <v>50.94</v>
      </c>
      <c r="D7" s="106" t="str">
        <f>IF('P6'!C11="","",'P6'!C11)</f>
        <v>SK</v>
      </c>
      <c r="E7" s="108">
        <f>IF('P6'!D11="","",'P6'!D11)</f>
        <v>34413</v>
      </c>
      <c r="F7" s="109" t="str">
        <f>IF('P6'!F11="","",'P6'!F11)</f>
        <v>Sarah Hovden Øvsthus</v>
      </c>
      <c r="G7" s="109" t="str">
        <f>IF('P6'!G11="","",'P6'!G11)</f>
        <v>Flaktveit IK</v>
      </c>
      <c r="H7" s="110">
        <f>IF('P6'!N11=0,"",'P6'!N11)</f>
        <v>70</v>
      </c>
      <c r="I7" s="110">
        <f>IF('P6'!O11=0,"",'P6'!O11)</f>
        <v>88</v>
      </c>
      <c r="J7" s="110">
        <f>IF('P6'!P11=0,"",'P6'!P11)</f>
        <v>158</v>
      </c>
      <c r="K7" s="111">
        <f>IF('P6'!Q11=0,"",'P6'!Q11)</f>
        <v>246.16930962271607</v>
      </c>
      <c r="L7" s="77">
        <v>12</v>
      </c>
    </row>
    <row r="8" spans="1:12" ht="15">
      <c r="A8" s="105">
        <v>2</v>
      </c>
      <c r="B8" s="106">
        <f>IF('P6'!A10="","",'P6'!A10)</f>
        <v>53</v>
      </c>
      <c r="C8" s="107">
        <f>IF('P6'!B10="","",'P6'!B10)</f>
        <v>52.74</v>
      </c>
      <c r="D8" s="106" t="str">
        <f>IF('P6'!C10="","",'P6'!C10)</f>
        <v>JK</v>
      </c>
      <c r="E8" s="108">
        <f>IF('P6'!D10="","",'P6'!D10)</f>
        <v>35320</v>
      </c>
      <c r="F8" s="109" t="str">
        <f>IF('P6'!F10="","",'P6'!F10)</f>
        <v>Rebekka Tao Jacobsen</v>
      </c>
      <c r="G8" s="109" t="str">
        <f>IF('P6'!G10="","",'P6'!G10)</f>
        <v>Larvik AK</v>
      </c>
      <c r="H8" s="110">
        <f>IF('P6'!N10=0,"",'P6'!N10)</f>
        <v>59</v>
      </c>
      <c r="I8" s="110">
        <f>IF('P6'!O10=0,"",'P6'!O10)</f>
        <v>71</v>
      </c>
      <c r="J8" s="110">
        <f>IF('P6'!P10=0,"",'P6'!P10)</f>
        <v>130</v>
      </c>
      <c r="K8" s="111">
        <f>IF('P6'!Q10=0,"",'P6'!Q10)</f>
        <v>196.87305942685558</v>
      </c>
      <c r="L8" s="77">
        <v>10</v>
      </c>
    </row>
    <row r="9" spans="1:12" ht="15">
      <c r="A9" s="105">
        <v>3</v>
      </c>
      <c r="B9" s="106">
        <f>IF('P6'!A12="","",'P6'!A12)</f>
        <v>53</v>
      </c>
      <c r="C9" s="107">
        <f>IF('P6'!B12="","",'P6'!B12)</f>
        <v>51.8</v>
      </c>
      <c r="D9" s="106" t="str">
        <f>IF('P6'!C12="","",'P6'!C12)</f>
        <v>SK</v>
      </c>
      <c r="E9" s="108">
        <f>IF('P6'!D12="","",'P6'!D12)</f>
        <v>31230</v>
      </c>
      <c r="F9" s="109" t="str">
        <f>IF('P6'!F12="","",'P6'!F12)</f>
        <v>Hege Torsvik</v>
      </c>
      <c r="G9" s="109" t="str">
        <f>IF('P6'!G12="","",'P6'!G12)</f>
        <v>Hillevåg AK</v>
      </c>
      <c r="H9" s="110">
        <f>IF('P6'!N12=0,"",'P6'!N12)</f>
        <v>50</v>
      </c>
      <c r="I9" s="110">
        <f>IF('P6'!O12=0,"",'P6'!O12)</f>
        <v>68</v>
      </c>
      <c r="J9" s="110">
        <f>IF('P6'!P12=0,"",'P6'!P12)</f>
        <v>118</v>
      </c>
      <c r="K9" s="111">
        <f>IF('P6'!Q12=0,"",'P6'!Q12)</f>
        <v>181.32661850266163</v>
      </c>
      <c r="L9" s="77">
        <v>9</v>
      </c>
    </row>
    <row r="10" spans="1:12" ht="15">
      <c r="A10" s="105"/>
      <c r="B10" s="106"/>
      <c r="C10" s="107"/>
      <c r="D10" s="106"/>
      <c r="E10" s="108"/>
      <c r="F10" s="109"/>
      <c r="G10" s="109"/>
      <c r="H10" s="110"/>
      <c r="I10" s="110"/>
      <c r="J10" s="110"/>
      <c r="K10" s="111"/>
      <c r="L10" s="77"/>
    </row>
    <row r="11" spans="1:12" ht="15">
      <c r="A11" s="105">
        <v>1</v>
      </c>
      <c r="B11" s="106">
        <f>IF('P6'!A14="","",'P6'!A14)</f>
        <v>58</v>
      </c>
      <c r="C11" s="107">
        <f>IF('P6'!B14="","",'P6'!B14)</f>
        <v>57.16</v>
      </c>
      <c r="D11" s="106" t="str">
        <f>IF('P6'!C14="","",'P6'!C14)</f>
        <v>SK</v>
      </c>
      <c r="E11" s="108">
        <f>IF('P6'!D14="","",'P6'!D14)</f>
        <v>31500</v>
      </c>
      <c r="F11" s="109" t="str">
        <f>IF('P6'!F14="","",'P6'!F14)</f>
        <v>Kristin Holte</v>
      </c>
      <c r="G11" s="109" t="str">
        <f>IF('P6'!G14="","",'P6'!G14)</f>
        <v>Gjøvik AK</v>
      </c>
      <c r="H11" s="110">
        <f>IF('P6'!N14=0,"",'P6'!N14)</f>
        <v>71</v>
      </c>
      <c r="I11" s="110">
        <f>IF('P6'!O14=0,"",'P6'!O14)</f>
        <v>90</v>
      </c>
      <c r="J11" s="110">
        <f>IF('P6'!P14=0,"",'P6'!P14)</f>
        <v>161</v>
      </c>
      <c r="K11" s="111">
        <f>IF('P6'!Q14=0,"",'P6'!Q14)</f>
        <v>229.114701241127</v>
      </c>
      <c r="L11" s="77">
        <v>12</v>
      </c>
    </row>
    <row r="12" spans="1:12" ht="15">
      <c r="A12" s="105">
        <v>2</v>
      </c>
      <c r="B12" s="106">
        <f>IF('P6'!A19="","",'P6'!A19)</f>
        <v>58</v>
      </c>
      <c r="C12" s="107">
        <f>IF('P6'!B19="","",'P6'!B19)</f>
        <v>56.54</v>
      </c>
      <c r="D12" s="106" t="str">
        <f>IF('P6'!C19="","",'P6'!C19)</f>
        <v>SK</v>
      </c>
      <c r="E12" s="108">
        <f>IF('P6'!D19="","",'P6'!D19)</f>
        <v>33955</v>
      </c>
      <c r="F12" s="109" t="str">
        <f>IF('P6'!F19="","",'P6'!F19)</f>
        <v>Sandra Trædal</v>
      </c>
      <c r="G12" s="109" t="str">
        <f>IF('P6'!G19="","",'P6'!G19)</f>
        <v>Tambarskjelvar IL</v>
      </c>
      <c r="H12" s="110">
        <f>IF('P6'!N19=0,"",'P6'!N19)</f>
        <v>67</v>
      </c>
      <c r="I12" s="110">
        <f>IF('P6'!O19=0,"",'P6'!O19)</f>
        <v>85</v>
      </c>
      <c r="J12" s="110">
        <f>IF('P6'!P19=0,"",'P6'!P19)</f>
        <v>152</v>
      </c>
      <c r="K12" s="111">
        <f>IF('P6'!Q19=0,"",'P6'!Q19)</f>
        <v>218.07366447091567</v>
      </c>
      <c r="L12" s="77">
        <v>10</v>
      </c>
    </row>
    <row r="13" spans="1:12" ht="15">
      <c r="A13" s="105">
        <v>3</v>
      </c>
      <c r="B13" s="106">
        <f>IF('P6'!A20="","",'P6'!A20)</f>
        <v>58</v>
      </c>
      <c r="C13" s="107">
        <f>IF('P6'!B20="","",'P6'!B20)</f>
        <v>57.78</v>
      </c>
      <c r="D13" s="106" t="str">
        <f>IF('P6'!C20="","",'P6'!C20)</f>
        <v>SK</v>
      </c>
      <c r="E13" s="108">
        <f>IF('P6'!D20="","",'P6'!D20)</f>
        <v>32986</v>
      </c>
      <c r="F13" s="109" t="str">
        <f>IF('P6'!F20="","",'P6'!F20)</f>
        <v>Zekiye C. Nyland</v>
      </c>
      <c r="G13" s="109" t="str">
        <f>IF('P6'!G20="","",'P6'!G20)</f>
        <v>Tysvær VK</v>
      </c>
      <c r="H13" s="110">
        <f>IF('P6'!N20=0,"",'P6'!N20)</f>
        <v>60</v>
      </c>
      <c r="I13" s="110">
        <f>IF('P6'!O20=0,"",'P6'!O20)</f>
        <v>83</v>
      </c>
      <c r="J13" s="110">
        <f>IF('P6'!P20=0,"",'P6'!P20)</f>
        <v>143</v>
      </c>
      <c r="K13" s="111">
        <f>IF('P6'!Q20=0,"",'P6'!Q20)</f>
        <v>201.88696753330672</v>
      </c>
      <c r="L13" s="77">
        <v>9</v>
      </c>
    </row>
    <row r="14" spans="1:12" ht="15">
      <c r="A14" s="105">
        <v>4</v>
      </c>
      <c r="B14" s="106">
        <f>IF('P6'!A17="","",'P6'!A17)</f>
        <v>58</v>
      </c>
      <c r="C14" s="107">
        <f>IF('P6'!B17="","",'P6'!B17)</f>
        <v>57.08</v>
      </c>
      <c r="D14" s="106" t="str">
        <f>IF('P6'!C17="","",'P6'!C17)</f>
        <v>SK</v>
      </c>
      <c r="E14" s="108">
        <f>IF('P6'!D17="","",'P6'!D17)</f>
        <v>33717</v>
      </c>
      <c r="F14" s="109" t="str">
        <f>IF('P6'!F17="","",'P6'!F17)</f>
        <v>Tina Madeleine Larsen</v>
      </c>
      <c r="G14" s="109" t="str">
        <f>IF('P6'!G17="","",'P6'!G17)</f>
        <v>Spydeberg Atletene</v>
      </c>
      <c r="H14" s="110">
        <f>IF('P6'!N17=0,"",'P6'!N17)</f>
        <v>60</v>
      </c>
      <c r="I14" s="110">
        <f>IF('P6'!O17=0,"",'P6'!O17)</f>
        <v>81</v>
      </c>
      <c r="J14" s="110">
        <f>IF('P6'!P17=0,"",'P6'!P17)</f>
        <v>141</v>
      </c>
      <c r="K14" s="111">
        <f>IF('P6'!Q17=0,"",'P6'!Q17)</f>
        <v>200.86191303419236</v>
      </c>
      <c r="L14" s="77">
        <v>8</v>
      </c>
    </row>
    <row r="15" spans="1:12" ht="15">
      <c r="A15" s="105">
        <v>5</v>
      </c>
      <c r="B15" s="106">
        <f>IF('P6'!A15="","",'P6'!A15)</f>
        <v>58</v>
      </c>
      <c r="C15" s="107">
        <f>IF('P6'!B15="","",'P6'!B15)</f>
        <v>57.36</v>
      </c>
      <c r="D15" s="106" t="str">
        <f>IF('P6'!C15="","",'P6'!C15)</f>
        <v>SK</v>
      </c>
      <c r="E15" s="108">
        <f>IF('P6'!D15="","",'P6'!D15)</f>
        <v>32317</v>
      </c>
      <c r="F15" s="109" t="str">
        <f>IF('P6'!F15="","",'P6'!F15)</f>
        <v>Thu Thi Minh Tran</v>
      </c>
      <c r="G15" s="109" t="str">
        <f>IF('P6'!G15="","",'P6'!G15)</f>
        <v>Hillevåg AK</v>
      </c>
      <c r="H15" s="110">
        <f>IF('P6'!N15=0,"",'P6'!N15)</f>
        <v>53</v>
      </c>
      <c r="I15" s="110">
        <f>IF('P6'!O15=0,"",'P6'!O15)</f>
        <v>73</v>
      </c>
      <c r="J15" s="110">
        <f>IF('P6'!P15=0,"",'P6'!P15)</f>
        <v>126</v>
      </c>
      <c r="K15" s="111">
        <f>IF('P6'!Q15=0,"",'P6'!Q15)</f>
        <v>178.84416422077348</v>
      </c>
      <c r="L15" s="77">
        <v>7</v>
      </c>
    </row>
    <row r="16" spans="1:12" ht="15">
      <c r="A16" s="105">
        <v>6</v>
      </c>
      <c r="B16" s="106">
        <f>IF('P6'!A13="","",'P6'!A13)</f>
        <v>58</v>
      </c>
      <c r="C16" s="107">
        <f>IF('P6'!B13="","",'P6'!B13)</f>
        <v>58</v>
      </c>
      <c r="D16" s="106" t="str">
        <f>IF('P6'!C13="","",'P6'!C13)</f>
        <v>JK</v>
      </c>
      <c r="E16" s="108">
        <f>IF('P6'!D13="","",'P6'!D13)</f>
        <v>34746</v>
      </c>
      <c r="F16" s="109" t="str">
        <f>IF('P6'!F13="","",'P6'!F13)</f>
        <v>Helene Angelica Markhus</v>
      </c>
      <c r="G16" s="109" t="str">
        <f>IF('P6'!G13="","",'P6'!G13)</f>
        <v>Flaktveit IK</v>
      </c>
      <c r="H16" s="110">
        <f>IF('P6'!N13=0,"",'P6'!N13)</f>
        <v>50</v>
      </c>
      <c r="I16" s="110">
        <f>IF('P6'!O13=0,"",'P6'!O13)</f>
        <v>68</v>
      </c>
      <c r="J16" s="110">
        <f>IF('P6'!P13=0,"",'P6'!P13)</f>
        <v>118</v>
      </c>
      <c r="K16" s="111">
        <f>IF('P6'!Q13=0,"",'P6'!Q13)</f>
        <v>166.12945217533266</v>
      </c>
      <c r="L16" s="77">
        <v>6</v>
      </c>
    </row>
    <row r="17" spans="1:12" ht="15">
      <c r="A17" s="105">
        <v>7</v>
      </c>
      <c r="B17" s="106">
        <f>IF('P6'!A18="","",'P6'!A18)</f>
        <v>58</v>
      </c>
      <c r="C17" s="107">
        <f>IF('P6'!B18="","",'P6'!B18)</f>
        <v>56.64</v>
      </c>
      <c r="D17" s="106" t="str">
        <f>IF('P6'!C18="","",'P6'!C18)</f>
        <v>JK</v>
      </c>
      <c r="E17" s="108">
        <f>IF('P6'!D18="","",'P6'!D18)</f>
        <v>35232</v>
      </c>
      <c r="F17" s="109" t="str">
        <f>IF('P6'!F18="","",'P6'!F18)</f>
        <v>Kamilla Storstein Grønnestad</v>
      </c>
      <c r="G17" s="109" t="str">
        <f>IF('P6'!G18="","",'P6'!G18)</f>
        <v>Haugesund VK</v>
      </c>
      <c r="H17" s="110">
        <f>IF('P6'!N18=0,"",'P6'!N18)</f>
        <v>47</v>
      </c>
      <c r="I17" s="110">
        <f>IF('P6'!O18=0,"",'P6'!O18)</f>
        <v>68</v>
      </c>
      <c r="J17" s="110">
        <f>IF('P6'!P18=0,"",'P6'!P18)</f>
        <v>115</v>
      </c>
      <c r="K17" s="111">
        <f>IF('P6'!Q18=0,"",'P6'!Q18)</f>
        <v>164.77160118527908</v>
      </c>
      <c r="L17" s="77">
        <v>5</v>
      </c>
    </row>
    <row r="18" spans="1:12" ht="15">
      <c r="A18" s="105">
        <v>8</v>
      </c>
      <c r="B18" s="106">
        <f>IF('P6'!A16="","",'P6'!A16)</f>
        <v>58</v>
      </c>
      <c r="C18" s="107">
        <f>IF('P6'!B16="","",'P6'!B16)</f>
        <v>56.4</v>
      </c>
      <c r="D18" s="106" t="str">
        <f>IF('P6'!C16="","",'P6'!C16)</f>
        <v>SK</v>
      </c>
      <c r="E18" s="108">
        <f>IF('P6'!D16="","",'P6'!D16)</f>
        <v>31978</v>
      </c>
      <c r="F18" s="109" t="str">
        <f>IF('P6'!F16="","",'P6'!F16)</f>
        <v>Alexandra Säldebring</v>
      </c>
      <c r="G18" s="109" t="str">
        <f>IF('P6'!G16="","",'P6'!G16)</f>
        <v>IL Kraftsport</v>
      </c>
      <c r="H18" s="110">
        <f>IF('P6'!N16=0,"",'P6'!N16)</f>
        <v>50</v>
      </c>
      <c r="I18" s="110">
        <f>IF('P6'!O16=0,"",'P6'!O16)</f>
        <v>60</v>
      </c>
      <c r="J18" s="110">
        <f>IF('P6'!P16=0,"",'P6'!P16)</f>
        <v>110</v>
      </c>
      <c r="K18" s="111">
        <f>IF('P6'!Q16=0,"",'P6'!Q16)</f>
        <v>158.11059317267657</v>
      </c>
      <c r="L18" s="77">
        <v>4</v>
      </c>
    </row>
    <row r="19" spans="1:12" ht="15">
      <c r="A19" s="105"/>
      <c r="B19" s="106"/>
      <c r="C19" s="107"/>
      <c r="D19" s="106"/>
      <c r="E19" s="108"/>
      <c r="F19" s="109"/>
      <c r="G19" s="109"/>
      <c r="H19" s="110"/>
      <c r="I19" s="110"/>
      <c r="J19" s="110"/>
      <c r="K19" s="111"/>
      <c r="L19" s="77"/>
    </row>
    <row r="20" spans="1:12" ht="15">
      <c r="A20" s="105">
        <v>1</v>
      </c>
      <c r="B20" s="106">
        <f>IF('P8'!A14="","",'P8'!A14)</f>
        <v>63</v>
      </c>
      <c r="C20" s="107">
        <f>IF('P8'!B14="","",'P8'!B14)</f>
        <v>61.74</v>
      </c>
      <c r="D20" s="106" t="str">
        <f>IF('P8'!C14="","",'P8'!C14)</f>
        <v>SK</v>
      </c>
      <c r="E20" s="108">
        <f>IF('P8'!D14="","",'P8'!D14)</f>
        <v>32737</v>
      </c>
      <c r="F20" s="109" t="str">
        <f>IF('P8'!F14="","",'P8'!F14)</f>
        <v>Ine Andersson</v>
      </c>
      <c r="G20" s="109" t="str">
        <f>IF('P8'!G14="","",'P8'!G14)</f>
        <v>Tambarskjelvar IL</v>
      </c>
      <c r="H20" s="110">
        <f>IF('P8'!N14=0,"",'P8'!N14)</f>
        <v>76</v>
      </c>
      <c r="I20" s="110">
        <f>IF('P8'!O14=0,"",'P8'!O14)</f>
        <v>90</v>
      </c>
      <c r="J20" s="110">
        <f>IF('P8'!P14=0,"",'P8'!P14)</f>
        <v>166</v>
      </c>
      <c r="K20" s="111">
        <f>IF('P8'!Q14=0,"",'P8'!Q14)</f>
        <v>223.62311082494054</v>
      </c>
      <c r="L20" s="77">
        <v>12</v>
      </c>
    </row>
    <row r="21" spans="1:12" ht="15">
      <c r="A21" s="105">
        <v>2</v>
      </c>
      <c r="B21" s="106">
        <f>IF('P8'!A9="","",'P8'!A9)</f>
        <v>63</v>
      </c>
      <c r="C21" s="107">
        <f>IF('P8'!B9="","",'P8'!B9)</f>
        <v>62.3</v>
      </c>
      <c r="D21" s="106" t="str">
        <f>IF('P8'!C9="","",'P8'!C9)</f>
        <v>UK</v>
      </c>
      <c r="E21" s="108">
        <f>IF('P8'!D9="","",'P8'!D9)</f>
        <v>35975</v>
      </c>
      <c r="F21" s="109" t="str">
        <f>IF('P8'!F9="","",'P8'!F9)</f>
        <v>Nora Skuggedal</v>
      </c>
      <c r="G21" s="109" t="str">
        <f>IF('P8'!G9="","",'P8'!G9)</f>
        <v>Larvik AK</v>
      </c>
      <c r="H21" s="110">
        <f>IF('P8'!N9=0,"",'P8'!N9)</f>
        <v>66</v>
      </c>
      <c r="I21" s="110">
        <f>IF('P8'!O9=0,"",'P8'!O9)</f>
        <v>85</v>
      </c>
      <c r="J21" s="110">
        <f>IF('P8'!P9=0,"",'P8'!P9)</f>
        <v>151</v>
      </c>
      <c r="K21" s="111">
        <f>IF('P8'!Q9=0,"",'P8'!Q9)</f>
        <v>202.1747253734916</v>
      </c>
      <c r="L21" s="77">
        <v>10</v>
      </c>
    </row>
    <row r="22" spans="1:12" ht="15">
      <c r="A22" s="105">
        <v>3</v>
      </c>
      <c r="B22" s="106">
        <f>IF('P8'!A10="","",'P8'!A10)</f>
        <v>63</v>
      </c>
      <c r="C22" s="107">
        <f>IF('P8'!B10="","",'P8'!B10)</f>
        <v>62.04</v>
      </c>
      <c r="D22" s="106" t="str">
        <f>IF('P8'!C10="","",'P8'!C10)</f>
        <v>JK</v>
      </c>
      <c r="E22" s="108">
        <f>IF('P8'!D10="","",'P8'!D10)</f>
        <v>35431</v>
      </c>
      <c r="F22" s="109" t="str">
        <f>IF('P8'!F10="","",'P8'!F10)</f>
        <v>Emma Hald</v>
      </c>
      <c r="G22" s="109" t="str">
        <f>IF('P8'!G10="","",'P8'!G10)</f>
        <v>Haugesund VK</v>
      </c>
      <c r="H22" s="110">
        <f>IF('P8'!N10=0,"",'P8'!N10)</f>
        <v>70</v>
      </c>
      <c r="I22" s="110">
        <f>IF('P8'!O10=0,"",'P8'!O10)</f>
        <v>80</v>
      </c>
      <c r="J22" s="110">
        <f>IF('P8'!P10=0,"",'P8'!P10)</f>
        <v>150</v>
      </c>
      <c r="K22" s="111">
        <f>IF('P8'!Q10=0,"",'P8'!Q10)</f>
        <v>201.404489047339</v>
      </c>
      <c r="L22" s="77">
        <v>9</v>
      </c>
    </row>
    <row r="23" spans="1:12" ht="15">
      <c r="A23" s="105">
        <v>4</v>
      </c>
      <c r="B23" s="106">
        <f>IF('P8'!A16="","",'P8'!A16)</f>
        <v>63</v>
      </c>
      <c r="C23" s="107">
        <f>IF('P8'!B16="","",'P8'!B16)</f>
        <v>59.8</v>
      </c>
      <c r="D23" s="106" t="str">
        <f>IF('P8'!C16="","",'P8'!C16)</f>
        <v>SK</v>
      </c>
      <c r="E23" s="108">
        <f>IF('P8'!D16="","",'P8'!D16)</f>
        <v>32946</v>
      </c>
      <c r="F23" s="109" t="str">
        <f>IF('P8'!F16="","",'P8'!F16)</f>
        <v>Mari Rotmo</v>
      </c>
      <c r="G23" s="109" t="str">
        <f>IF('P8'!G16="","",'P8'!G16)</f>
        <v>Trondheim AK</v>
      </c>
      <c r="H23" s="110">
        <f>IF('P8'!N16=0,"",'P8'!N16)</f>
        <v>54</v>
      </c>
      <c r="I23" s="110">
        <f>IF('P8'!O16=0,"",'P8'!O16)</f>
        <v>77</v>
      </c>
      <c r="J23" s="110">
        <f>IF('P8'!P16=0,"",'P8'!P16)</f>
        <v>131</v>
      </c>
      <c r="K23" s="111">
        <f>IF('P8'!Q16=0,"",'P8'!Q16)</f>
        <v>180.42711243085608</v>
      </c>
      <c r="L23" s="77">
        <v>8</v>
      </c>
    </row>
    <row r="24" spans="1:12" ht="15">
      <c r="A24" s="105">
        <v>5</v>
      </c>
      <c r="B24" s="106">
        <f>IF('P8'!A15="","",'P8'!A15)</f>
        <v>63</v>
      </c>
      <c r="C24" s="107">
        <f>IF('P8'!B15="","",'P8'!B15)</f>
        <v>62.52</v>
      </c>
      <c r="D24" s="106" t="str">
        <f>IF('P8'!C15="","",'P8'!C15)</f>
        <v>SK</v>
      </c>
      <c r="E24" s="108">
        <f>IF('P8'!D15="","",'P8'!D15)</f>
        <v>34499</v>
      </c>
      <c r="F24" s="109" t="str">
        <f>IF('P8'!F15="","",'P8'!F15)</f>
        <v>Betina Kingell</v>
      </c>
      <c r="G24" s="109" t="str">
        <f>IF('P8'!G15="","",'P8'!G15)</f>
        <v>Trondheim AK</v>
      </c>
      <c r="H24" s="110">
        <f>IF('P8'!N15=0,"",'P8'!N15)</f>
        <v>56</v>
      </c>
      <c r="I24" s="110">
        <f>IF('P8'!O15=0,"",'P8'!O15)</f>
        <v>72</v>
      </c>
      <c r="J24" s="110">
        <f>IF('P8'!P15=0,"",'P8'!P15)</f>
        <v>128</v>
      </c>
      <c r="K24" s="111">
        <f>IF('P8'!Q15=0,"",'P8'!Q15)</f>
        <v>170.9737449592604</v>
      </c>
      <c r="L24" s="77">
        <v>7</v>
      </c>
    </row>
    <row r="25" spans="1:12" ht="15">
      <c r="A25" s="105">
        <v>6</v>
      </c>
      <c r="B25" s="106">
        <f>IF('P8'!A12="","",'P8'!A12)</f>
        <v>63</v>
      </c>
      <c r="C25" s="107">
        <f>IF('P8'!B12="","",'P8'!B12)</f>
        <v>60.9</v>
      </c>
      <c r="D25" s="106" t="str">
        <f>IF('P8'!C12="","",'P8'!C12)</f>
        <v>SK</v>
      </c>
      <c r="E25" s="108">
        <f>IF('P8'!D12="","",'P8'!D12)</f>
        <v>33596</v>
      </c>
      <c r="F25" s="109" t="str">
        <f>IF('P8'!F12="","",'P8'!F12)</f>
        <v>Lene Christine Telle</v>
      </c>
      <c r="G25" s="109" t="str">
        <f>IF('P8'!G12="","",'P8'!G12)</f>
        <v>Haugesund VK</v>
      </c>
      <c r="H25" s="110">
        <f>IF('P8'!N12=0,"",'P8'!N12)</f>
        <v>52</v>
      </c>
      <c r="I25" s="110">
        <f>IF('P8'!O12=0,"",'P8'!O12)</f>
        <v>67</v>
      </c>
      <c r="J25" s="110">
        <f>IF('P8'!P12=0,"",'P8'!P12)</f>
        <v>119</v>
      </c>
      <c r="K25" s="111">
        <f>IF('P8'!Q12=0,"",'P8'!Q12)</f>
        <v>161.82359060609485</v>
      </c>
      <c r="L25" s="77">
        <v>6</v>
      </c>
    </row>
    <row r="26" spans="1:12" ht="15">
      <c r="A26" s="105">
        <v>7</v>
      </c>
      <c r="B26" s="106">
        <f>IF('P8'!A17="","",'P8'!A17)</f>
        <v>63</v>
      </c>
      <c r="C26" s="107">
        <f>IF('P8'!B17="","",'P8'!B17)</f>
        <v>61.66</v>
      </c>
      <c r="D26" s="106" t="str">
        <f>IF('P8'!C17="","",'P8'!C17)</f>
        <v>K3</v>
      </c>
      <c r="E26" s="108">
        <f>IF('P8'!D17="","",'P8'!D17)</f>
        <v>25930</v>
      </c>
      <c r="F26" s="109" t="str">
        <f>IF('P8'!F17="","",'P8'!F17)</f>
        <v>Line Søfteland</v>
      </c>
      <c r="G26" s="109" t="str">
        <f>IF('P8'!G17="","",'P8'!G17)</f>
        <v>Flaktveit IK</v>
      </c>
      <c r="H26" s="110">
        <f>IF('P8'!N17=0,"",'P8'!N17)</f>
        <v>48</v>
      </c>
      <c r="I26" s="110">
        <f>IF('P8'!O17=0,"",'P8'!O17)</f>
        <v>64</v>
      </c>
      <c r="J26" s="110">
        <f>IF('P8'!P17=0,"",'P8'!P17)</f>
        <v>112</v>
      </c>
      <c r="K26" s="111">
        <f>IF('P8'!Q17=0,"",'P8'!Q17)</f>
        <v>151.0117234754665</v>
      </c>
      <c r="L26" s="77">
        <v>5</v>
      </c>
    </row>
    <row r="27" spans="1:12" ht="15">
      <c r="A27" s="105">
        <v>8</v>
      </c>
      <c r="B27" s="106">
        <f>IF('P8'!A13="","",'P8'!A13)</f>
        <v>63</v>
      </c>
      <c r="C27" s="107">
        <f>IF('P8'!B13="","",'P8'!B13)</f>
        <v>62.16</v>
      </c>
      <c r="D27" s="106" t="str">
        <f>IF('P8'!C13="","",'P8'!C13)</f>
        <v>SK</v>
      </c>
      <c r="E27" s="108">
        <f>IF('P8'!D13="","",'P8'!D13)</f>
        <v>32706</v>
      </c>
      <c r="F27" s="109" t="str">
        <f>IF('P8'!F13="","",'P8'!F13)</f>
        <v>Anita Monsen</v>
      </c>
      <c r="G27" s="109" t="str">
        <f>IF('P8'!G13="","",'P8'!G13)</f>
        <v>Oslo AK</v>
      </c>
      <c r="H27" s="110">
        <f>IF('P8'!N13=0,"",'P8'!N13)</f>
        <v>48</v>
      </c>
      <c r="I27" s="110">
        <f>IF('P8'!O13=0,"",'P8'!O13)</f>
        <v>64</v>
      </c>
      <c r="J27" s="110">
        <f>IF('P8'!P13=0,"",'P8'!P13)</f>
        <v>112</v>
      </c>
      <c r="K27" s="111">
        <f>IF('P8'!Q13=0,"",'P8'!Q13)</f>
        <v>150.1854220442419</v>
      </c>
      <c r="L27" s="77">
        <v>4</v>
      </c>
    </row>
    <row r="28" spans="1:12" ht="15">
      <c r="A28" s="105">
        <v>9</v>
      </c>
      <c r="B28" s="106">
        <f>IF('P8'!A11="","",'P8'!A11)</f>
        <v>63</v>
      </c>
      <c r="C28" s="107">
        <f>IF('P8'!B11="","",'P8'!B11)</f>
        <v>62.56</v>
      </c>
      <c r="D28" s="106" t="str">
        <f>IF('P8'!C11="","",'P8'!C11)</f>
        <v>SK</v>
      </c>
      <c r="E28" s="108">
        <f>IF('P8'!D11="","",'P8'!D11)</f>
        <v>32948</v>
      </c>
      <c r="F28" s="109" t="str">
        <f>IF('P8'!F11="","",'P8'!F11)</f>
        <v>Ingeborg Bern Egeland</v>
      </c>
      <c r="G28" s="109" t="str">
        <f>IF('P8'!G11="","",'P8'!G11)</f>
        <v>AK Bjørgvin</v>
      </c>
      <c r="H28" s="110">
        <f>IF('P8'!N11=0,"",'P8'!N11)</f>
        <v>46</v>
      </c>
      <c r="I28" s="110">
        <f>IF('P8'!O11=0,"",'P8'!O11)</f>
        <v>60</v>
      </c>
      <c r="J28" s="110">
        <f>IF('P8'!P11=0,"",'P8'!P11)</f>
        <v>106</v>
      </c>
      <c r="K28" s="111">
        <f>IF('P8'!Q11=0,"",'P8'!Q11)</f>
        <v>141.5268381412058</v>
      </c>
      <c r="L28" s="77">
        <v>3</v>
      </c>
    </row>
    <row r="29" spans="1:12" ht="15">
      <c r="A29" s="105"/>
      <c r="B29" s="106"/>
      <c r="C29" s="107"/>
      <c r="D29" s="106"/>
      <c r="E29" s="108"/>
      <c r="F29" s="109"/>
      <c r="G29" s="109"/>
      <c r="H29" s="110"/>
      <c r="I29" s="110"/>
      <c r="J29" s="110"/>
      <c r="K29" s="111"/>
      <c r="L29" s="77"/>
    </row>
    <row r="30" spans="1:12" ht="15">
      <c r="A30" s="105">
        <v>1</v>
      </c>
      <c r="B30" s="106">
        <f>IF('P10'!A16="","",'P10'!A16)</f>
        <v>69</v>
      </c>
      <c r="C30" s="107">
        <f>IF('P10'!B16="","",'P10'!B16)</f>
        <v>64.58</v>
      </c>
      <c r="D30" s="106" t="str">
        <f>IF('P10'!C16="","",'P10'!C16)</f>
        <v>SK</v>
      </c>
      <c r="E30" s="108">
        <f>IF('P10'!D16="","",'P10'!D16)</f>
        <v>33735</v>
      </c>
      <c r="F30" s="109" t="str">
        <f>IF('P10'!F16="","",'P10'!F16)</f>
        <v>Marit Årdalsbakke</v>
      </c>
      <c r="G30" s="109" t="str">
        <f>IF('P10'!G16="","",'P10'!G16)</f>
        <v>Tambarskjelvar IL</v>
      </c>
      <c r="H30" s="110">
        <f>IF('P10'!N16=0,"",'P10'!N16)</f>
        <v>80</v>
      </c>
      <c r="I30" s="110">
        <f>IF('P10'!O16=0,"",'P10'!O16)</f>
        <v>90</v>
      </c>
      <c r="J30" s="110">
        <f>IF('P10'!P16=0,"",'P10'!P16)</f>
        <v>170</v>
      </c>
      <c r="K30" s="111">
        <f>IF('P10'!Q16=0,"",'P10'!Q16)</f>
        <v>222.27416513008924</v>
      </c>
      <c r="L30" s="77">
        <v>12</v>
      </c>
    </row>
    <row r="31" spans="1:12" ht="15">
      <c r="A31" s="105">
        <v>2</v>
      </c>
      <c r="B31" s="106">
        <f>IF('P10'!A12="","",'P10'!A12)</f>
        <v>69</v>
      </c>
      <c r="C31" s="107">
        <f>IF('P10'!B12="","",'P10'!B12)</f>
        <v>64.12</v>
      </c>
      <c r="D31" s="106" t="str">
        <f>IF('P10'!C12="","",'P10'!C12)</f>
        <v>SK</v>
      </c>
      <c r="E31" s="108">
        <f>IF('P10'!D12="","",'P10'!D12)</f>
        <v>31365</v>
      </c>
      <c r="F31" s="109" t="str">
        <f>IF('P10'!F12="","",'P10'!F12)</f>
        <v>Marianne Hasfjord</v>
      </c>
      <c r="G31" s="109" t="str">
        <f>IF('P10'!G12="","",'P10'!G12)</f>
        <v>AK Bjørgvin</v>
      </c>
      <c r="H31" s="110">
        <f>IF('P10'!N12=0,"",'P10'!N12)</f>
        <v>60</v>
      </c>
      <c r="I31" s="110">
        <f>IF('P10'!O12=0,"",'P10'!O12)</f>
        <v>86</v>
      </c>
      <c r="J31" s="110">
        <f>IF('P10'!P12=0,"",'P10'!P12)</f>
        <v>146</v>
      </c>
      <c r="K31" s="111">
        <f>IF('P10'!Q12=0,"",'P10'!Q12)</f>
        <v>191.78229764643044</v>
      </c>
      <c r="L31" s="77">
        <v>10</v>
      </c>
    </row>
    <row r="32" spans="1:12" ht="15">
      <c r="A32" s="105">
        <v>3</v>
      </c>
      <c r="B32" s="106">
        <f>IF('P10'!A10="","",'P10'!A10)</f>
        <v>69</v>
      </c>
      <c r="C32" s="107">
        <f>IF('P10'!B10="","",'P10'!B10)</f>
        <v>65.52</v>
      </c>
      <c r="D32" s="106" t="str">
        <f>IF('P10'!C10="","",'P10'!C10)</f>
        <v>SK</v>
      </c>
      <c r="E32" s="108">
        <f>IF('P10'!D10="","",'P10'!D10)</f>
        <v>34325</v>
      </c>
      <c r="F32" s="109" t="str">
        <f>IF('P10'!F10="","",'P10'!F10)</f>
        <v>Anna Tolås Omdal</v>
      </c>
      <c r="G32" s="109" t="str">
        <f>IF('P10'!G10="","",'P10'!G10)</f>
        <v>AK Bjørgvin</v>
      </c>
      <c r="H32" s="110">
        <f>IF('P10'!N10=0,"",'P10'!N10)</f>
        <v>67</v>
      </c>
      <c r="I32" s="110">
        <f>IF('P10'!O10=0,"",'P10'!O10)</f>
        <v>79</v>
      </c>
      <c r="J32" s="110">
        <f>IF('P10'!P10=0,"",'P10'!P10)</f>
        <v>146</v>
      </c>
      <c r="K32" s="111">
        <f>IF('P10'!Q10=0,"",'P10'!Q10)</f>
        <v>189.13468804081785</v>
      </c>
      <c r="L32" s="77">
        <v>9</v>
      </c>
    </row>
    <row r="33" spans="1:12" ht="15">
      <c r="A33" s="105">
        <v>4</v>
      </c>
      <c r="B33" s="106">
        <f>IF('P10'!A11="","",'P10'!A11)</f>
        <v>69</v>
      </c>
      <c r="C33" s="107">
        <f>IF('P10'!B11="","",'P10'!B11)</f>
        <v>67.9</v>
      </c>
      <c r="D33" s="106" t="str">
        <f>IF('P10'!C11="","",'P10'!C11)</f>
        <v>SK</v>
      </c>
      <c r="E33" s="108">
        <f>IF('P10'!D11="","",'P10'!D11)</f>
        <v>34001</v>
      </c>
      <c r="F33" s="109" t="str">
        <f>IF('P10'!F11="","",'P10'!F11)</f>
        <v>Ingvild Prestegård</v>
      </c>
      <c r="G33" s="109" t="str">
        <f>IF('P10'!G11="","",'P10'!G11)</f>
        <v>AK Bjørgvin</v>
      </c>
      <c r="H33" s="110">
        <f>IF('P10'!N11=0,"",'P10'!N11)</f>
        <v>65</v>
      </c>
      <c r="I33" s="110">
        <f>IF('P10'!O11=0,"",'P10'!O11)</f>
        <v>79</v>
      </c>
      <c r="J33" s="110">
        <f>IF('P10'!P11=0,"",'P10'!P11)</f>
        <v>144</v>
      </c>
      <c r="K33" s="111">
        <f>IF('P10'!Q11=0,"",'P10'!Q11)</f>
        <v>182.45398299543498</v>
      </c>
      <c r="L33" s="77">
        <v>8</v>
      </c>
    </row>
    <row r="34" spans="1:12" ht="15">
      <c r="A34" s="105">
        <v>5</v>
      </c>
      <c r="B34" s="106">
        <f>IF('P10'!A17="","",'P10'!A17)</f>
        <v>69</v>
      </c>
      <c r="C34" s="107">
        <f>IF('P10'!B17="","",'P10'!B17)</f>
        <v>68.6</v>
      </c>
      <c r="D34" s="106" t="str">
        <f>IF('P10'!C17="","",'P10'!C17)</f>
        <v>K2</v>
      </c>
      <c r="E34" s="108">
        <f>IF('P10'!D17="","",'P10'!D17)</f>
        <v>26306</v>
      </c>
      <c r="F34" s="109" t="str">
        <f>IF('P10'!F17="","",'P10'!F17)</f>
        <v>Anna Waage</v>
      </c>
      <c r="G34" s="109" t="str">
        <f>IF('P10'!G17="","",'P10'!G17)</f>
        <v>Flaktveit IK</v>
      </c>
      <c r="H34" s="110">
        <f>IF('P10'!N17=0,"",'P10'!N17)</f>
        <v>54</v>
      </c>
      <c r="I34" s="110">
        <f>IF('P10'!O17=0,"",'P10'!O17)</f>
        <v>76</v>
      </c>
      <c r="J34" s="110">
        <f>IF('P10'!P17=0,"",'P10'!P17)</f>
        <v>130</v>
      </c>
      <c r="K34" s="111">
        <f>IF('P10'!Q17=0,"",'P10'!Q17)</f>
        <v>163.6991768594519</v>
      </c>
      <c r="L34" s="77">
        <v>7</v>
      </c>
    </row>
    <row r="35" spans="1:12" ht="15">
      <c r="A35" s="105">
        <v>6</v>
      </c>
      <c r="B35" s="106">
        <f>IF('P10'!A13="","",'P10'!A13)</f>
        <v>69</v>
      </c>
      <c r="C35" s="107">
        <f>IF('P10'!B13="","",'P10'!B13)</f>
        <v>68.6</v>
      </c>
      <c r="D35" s="106" t="str">
        <f>IF('P10'!C13="","",'P10'!C13)</f>
        <v>SK</v>
      </c>
      <c r="E35" s="108">
        <f>IF('P10'!D13="","",'P10'!D13)</f>
        <v>30584</v>
      </c>
      <c r="F35" s="109" t="str">
        <f>IF('P10'!F13="","",'P10'!F13)</f>
        <v>Ingunn Selvåg</v>
      </c>
      <c r="G35" s="109" t="str">
        <f>IF('P10'!G13="","",'P10'!G13)</f>
        <v>Gjøvik AK</v>
      </c>
      <c r="H35" s="110">
        <f>IF('P10'!N13=0,"",'P10'!N13)</f>
        <v>52</v>
      </c>
      <c r="I35" s="110">
        <f>IF('P10'!O13=0,"",'P10'!O13)</f>
        <v>76</v>
      </c>
      <c r="J35" s="110">
        <f>IF('P10'!P13=0,"",'P10'!P13)</f>
        <v>128</v>
      </c>
      <c r="K35" s="111">
        <f>IF('P10'!Q13=0,"",'P10'!Q13)</f>
        <v>161.18072798469112</v>
      </c>
      <c r="L35" s="77">
        <v>6</v>
      </c>
    </row>
    <row r="36" spans="1:12" ht="15">
      <c r="A36" s="105">
        <v>7</v>
      </c>
      <c r="B36" s="106">
        <f>IF('P10'!A9="","",'P10'!A9)</f>
        <v>69</v>
      </c>
      <c r="C36" s="107">
        <f>IF('P10'!B9="","",'P10'!B9)</f>
        <v>68.32</v>
      </c>
      <c r="D36" s="106" t="str">
        <f>IF('P10'!C9="","",'P10'!C9)</f>
        <v>UK</v>
      </c>
      <c r="E36" s="108">
        <f>IF('P10'!D9="","",'P10'!D9)</f>
        <v>36232</v>
      </c>
      <c r="F36" s="109" t="str">
        <f>IF('P10'!F9="","",'P10'!F9)</f>
        <v>Maren Fikse</v>
      </c>
      <c r="G36" s="109" t="str">
        <f>IF('P10'!G9="","",'P10'!G9)</f>
        <v>Gjøvik AK</v>
      </c>
      <c r="H36" s="110">
        <f>IF('P10'!N9=0,"",'P10'!N9)</f>
        <v>53</v>
      </c>
      <c r="I36" s="110">
        <f>IF('P10'!O9=0,"",'P10'!O9)</f>
        <v>74</v>
      </c>
      <c r="J36" s="110">
        <f>IF('P10'!P9=0,"",'P10'!P9)</f>
        <v>127</v>
      </c>
      <c r="K36" s="111">
        <f>IF('P10'!Q9=0,"",'P10'!Q9)</f>
        <v>160.31507980816562</v>
      </c>
      <c r="L36" s="77">
        <v>5</v>
      </c>
    </row>
    <row r="37" spans="1:12" ht="15">
      <c r="A37" s="105">
        <v>8</v>
      </c>
      <c r="B37" s="106">
        <f>IF('P10'!A14="","",'P10'!A14)</f>
        <v>69</v>
      </c>
      <c r="C37" s="107">
        <f>IF('P10'!B14="","",'P10'!B14)</f>
        <v>68.78</v>
      </c>
      <c r="D37" s="106" t="str">
        <f>IF('P10'!C14="","",'P10'!C14)</f>
        <v>SK</v>
      </c>
      <c r="E37" s="108">
        <f>IF('P10'!D14="","",'P10'!D14)</f>
        <v>33182</v>
      </c>
      <c r="F37" s="109" t="str">
        <f>IF('P10'!F14="","",'P10'!F14)</f>
        <v>Sara Stebbings</v>
      </c>
      <c r="G37" s="109" t="str">
        <f>IF('P10'!G14="","",'P10'!G14)</f>
        <v>Lørenskog AK</v>
      </c>
      <c r="H37" s="110">
        <f>IF('P10'!N14=0,"",'P10'!N14)</f>
        <v>56</v>
      </c>
      <c r="I37" s="110">
        <f>IF('P10'!O14=0,"",'P10'!O14)</f>
        <v>65</v>
      </c>
      <c r="J37" s="110">
        <f>IF('P10'!P14=0,"",'P10'!P14)</f>
        <v>121</v>
      </c>
      <c r="K37" s="111">
        <f>IF('P10'!Q14=0,"",'P10'!Q14)</f>
        <v>152.1274307740146</v>
      </c>
      <c r="L37" s="77">
        <v>4</v>
      </c>
    </row>
    <row r="38" spans="1:12" ht="15">
      <c r="A38" s="105">
        <v>9</v>
      </c>
      <c r="B38" s="106">
        <f>IF('P10'!A15="","",'P10'!A15)</f>
        <v>69</v>
      </c>
      <c r="C38" s="107">
        <f>IF('P10'!B15="","",'P10'!B15)</f>
        <v>68.28</v>
      </c>
      <c r="D38" s="106" t="str">
        <f>IF('P10'!C15="","",'P10'!C15)</f>
        <v>SK</v>
      </c>
      <c r="E38" s="108">
        <f>IF('P10'!D15="","",'P10'!D15)</f>
        <v>31684</v>
      </c>
      <c r="F38" s="109" t="str">
        <f>IF('P10'!F15="","",'P10'!F15)</f>
        <v>Christine Arnesen</v>
      </c>
      <c r="G38" s="109" t="str">
        <f>IF('P10'!G15="","",'P10'!G15)</f>
        <v>Spydeberg Atletene</v>
      </c>
      <c r="H38" s="110">
        <f>IF('P10'!N15=0,"",'P10'!N15)</f>
        <v>40</v>
      </c>
      <c r="I38" s="110">
        <f>IF('P10'!O15=0,"",'P10'!O15)</f>
        <v>55</v>
      </c>
      <c r="J38" s="110">
        <f>IF('P10'!P15=0,"",'P10'!P15)</f>
        <v>95</v>
      </c>
      <c r="K38" s="111">
        <f>IF('P10'!Q15=0,"",'P10'!Q15)</f>
        <v>119.9630729316981</v>
      </c>
      <c r="L38" s="77">
        <v>3</v>
      </c>
    </row>
    <row r="39" spans="1:12" ht="15">
      <c r="A39" s="105"/>
      <c r="B39" s="106"/>
      <c r="C39" s="107"/>
      <c r="D39" s="106"/>
      <c r="E39" s="108"/>
      <c r="F39" s="109"/>
      <c r="G39" s="109"/>
      <c r="H39" s="110"/>
      <c r="I39" s="110"/>
      <c r="J39" s="110"/>
      <c r="K39" s="111"/>
      <c r="L39" s="77"/>
    </row>
    <row r="40" spans="1:12" ht="15">
      <c r="A40" s="105">
        <v>1</v>
      </c>
      <c r="B40" s="106">
        <f>IF('P12'!A15="","",'P12'!A15)</f>
        <v>75</v>
      </c>
      <c r="C40" s="107">
        <f>IF('P12'!B15="","",'P12'!B15)</f>
        <v>69.4</v>
      </c>
      <c r="D40" s="106" t="str">
        <f>IF('P12'!C15="","",'P12'!C15)</f>
        <v>SK</v>
      </c>
      <c r="E40" s="108">
        <f>IF('P12'!D15="","",'P12'!D15)</f>
        <v>30112</v>
      </c>
      <c r="F40" s="109" t="str">
        <f>IF('P12'!F15="","",'P12'!F15)</f>
        <v>Ruth Kasirye</v>
      </c>
      <c r="G40" s="109" t="str">
        <f>IF('P12'!G15="","",'P12'!G15)</f>
        <v>Tønsberg-Kam.</v>
      </c>
      <c r="H40" s="110">
        <f>IF('P12'!N15=0,"",'P12'!N15)</f>
        <v>105</v>
      </c>
      <c r="I40" s="110">
        <f>IF('P12'!O15=0,"",'P12'!O15)</f>
        <v>125</v>
      </c>
      <c r="J40" s="110">
        <f>IF('P12'!P15=0,"",'P12'!P15)</f>
        <v>230</v>
      </c>
      <c r="K40" s="112">
        <f>IF('P12'!Q15=0,"",'P12'!Q15)</f>
        <v>287.63091461167204</v>
      </c>
      <c r="L40" s="5">
        <v>12</v>
      </c>
    </row>
    <row r="41" spans="1:12" ht="15">
      <c r="A41" s="105">
        <v>2</v>
      </c>
      <c r="B41" s="106">
        <f>IF('P12'!A11="","",'P12'!A11)</f>
        <v>75</v>
      </c>
      <c r="C41" s="107">
        <f>IF('P12'!B11="","",'P12'!B11)</f>
        <v>72.12</v>
      </c>
      <c r="D41" s="106" t="str">
        <f>IF('P12'!C11="","",'P12'!C11)</f>
        <v>SK</v>
      </c>
      <c r="E41" s="108">
        <f>IF('P12'!D11="","",'P12'!D11)</f>
        <v>33204</v>
      </c>
      <c r="F41" s="109" t="str">
        <f>IF('P12'!F11="","",'P12'!F11)</f>
        <v>Stine Mari Hasfjord</v>
      </c>
      <c r="G41" s="109" t="str">
        <f>IF('P12'!G11="","",'P12'!G11)</f>
        <v>AK Bjørgvin</v>
      </c>
      <c r="H41" s="110">
        <f>IF('P12'!N11=0,"",'P12'!N11)</f>
        <v>63</v>
      </c>
      <c r="I41" s="110">
        <f>IF('P12'!O11=0,"",'P12'!O11)</f>
        <v>91</v>
      </c>
      <c r="J41" s="110">
        <f>IF('P12'!P11=0,"",'P12'!P11)</f>
        <v>154</v>
      </c>
      <c r="K41" s="112">
        <f>IF('P12'!Q11=0,"",'P12'!Q11)</f>
        <v>188.37436047253541</v>
      </c>
      <c r="L41" s="5">
        <v>10</v>
      </c>
    </row>
    <row r="42" spans="1:12" ht="15">
      <c r="A42" s="105">
        <v>3</v>
      </c>
      <c r="B42" s="106">
        <f>IF('P12'!A13="","",'P12'!A13)</f>
        <v>75</v>
      </c>
      <c r="C42" s="107">
        <f>IF('P12'!B13="","",'P12'!B13)</f>
        <v>71.92</v>
      </c>
      <c r="D42" s="106" t="str">
        <f>IF('P12'!C13="","",'P12'!C13)</f>
        <v>SK</v>
      </c>
      <c r="E42" s="108">
        <f>IF('P12'!D13="","",'P12'!D13)</f>
        <v>32978</v>
      </c>
      <c r="F42" s="109" t="str">
        <f>IF('P12'!F13="","",'P12'!F13)</f>
        <v>Asta Rønning Fjærli</v>
      </c>
      <c r="G42" s="109" t="str">
        <f>IF('P12'!G13="","",'P12'!G13)</f>
        <v>Trondheim AK</v>
      </c>
      <c r="H42" s="110">
        <f>IF('P12'!N13=0,"",'P12'!N13)</f>
        <v>68</v>
      </c>
      <c r="I42" s="110">
        <f>IF('P12'!O13=0,"",'P12'!O13)</f>
        <v>85</v>
      </c>
      <c r="J42" s="110">
        <f>IF('P12'!P13=0,"",'P12'!P13)</f>
        <v>153</v>
      </c>
      <c r="K42" s="112">
        <f>IF('P12'!Q13=0,"",'P12'!Q13)</f>
        <v>187.4431901875987</v>
      </c>
      <c r="L42" s="5">
        <v>9</v>
      </c>
    </row>
    <row r="43" spans="1:12" ht="15">
      <c r="A43" s="105">
        <v>4</v>
      </c>
      <c r="B43" s="106">
        <f>IF('P12'!A14="","",'P12'!A14)</f>
        <v>75</v>
      </c>
      <c r="C43" s="107">
        <f>IF('P12'!B14="","",'P12'!B14)</f>
        <v>70.26</v>
      </c>
      <c r="D43" s="106" t="str">
        <f>IF('P12'!C14="","",'P12'!C14)</f>
        <v>SK</v>
      </c>
      <c r="E43" s="108">
        <f>IF('P12'!D14="","",'P12'!D14)</f>
        <v>30837</v>
      </c>
      <c r="F43" s="109" t="str">
        <f>IF('P12'!F14="","",'P12'!F14)</f>
        <v>Ingvild Brynjulfsen</v>
      </c>
      <c r="G43" s="109" t="str">
        <f>IF('P12'!G14="","",'P12'!G14)</f>
        <v>Trondheim AK</v>
      </c>
      <c r="H43" s="110">
        <f>IF('P12'!N14=0,"",'P12'!N14)</f>
        <v>69</v>
      </c>
      <c r="I43" s="110">
        <f>IF('P12'!O14=0,"",'P12'!O14)</f>
        <v>80</v>
      </c>
      <c r="J43" s="110">
        <f>IF('P12'!P14=0,"",'P12'!P14)</f>
        <v>149</v>
      </c>
      <c r="K43" s="112">
        <f>IF('P12'!Q14=0,"",'P12'!Q14)</f>
        <v>184.99586665495673</v>
      </c>
      <c r="L43" s="5">
        <v>8</v>
      </c>
    </row>
    <row r="44" spans="1:12" ht="15">
      <c r="A44" s="105">
        <v>5</v>
      </c>
      <c r="B44" s="106">
        <f>IF('P12'!A10="","",'P12'!A10)</f>
        <v>75</v>
      </c>
      <c r="C44" s="107">
        <f>IF('P12'!B10="","",'P12'!B10)</f>
        <v>69.68</v>
      </c>
      <c r="D44" s="106" t="str">
        <f>IF('P12'!C10="","",'P12'!C10)</f>
        <v>SK</v>
      </c>
      <c r="E44" s="108">
        <f>IF('P12'!D10="","",'P12'!D10)</f>
        <v>32302</v>
      </c>
      <c r="F44" s="109" t="str">
        <f>IF('P12'!F10="","",'P12'!F10)</f>
        <v>Anette Ellingsberg</v>
      </c>
      <c r="G44" s="109" t="str">
        <f>IF('P12'!G10="","",'P12'!G10)</f>
        <v>Trondheim AK</v>
      </c>
      <c r="H44" s="110">
        <f>IF('P12'!N10=0,"",'P12'!N10)</f>
        <v>63</v>
      </c>
      <c r="I44" s="110">
        <f>IF('P12'!O10=0,"",'P12'!O10)</f>
        <v>75</v>
      </c>
      <c r="J44" s="110">
        <f>IF('P12'!P10=0,"",'P12'!P10)</f>
        <v>138</v>
      </c>
      <c r="K44" s="112">
        <f>IF('P12'!Q10=0,"",'P12'!Q10)</f>
        <v>172.16989407153045</v>
      </c>
      <c r="L44" s="5">
        <v>7</v>
      </c>
    </row>
    <row r="45" spans="1:12" ht="15">
      <c r="A45" s="105">
        <v>6</v>
      </c>
      <c r="B45" s="106">
        <f>IF('P12'!A12="","",'P12'!A12)</f>
        <v>75</v>
      </c>
      <c r="C45" s="107">
        <f>IF('P12'!B12="","",'P12'!B12)</f>
        <v>74.16</v>
      </c>
      <c r="D45" s="106" t="str">
        <f>IF('P12'!C12="","",'P12'!C12)</f>
        <v>SK</v>
      </c>
      <c r="E45" s="108">
        <f>IF('P12'!D12="","",'P12'!D12)</f>
        <v>31662</v>
      </c>
      <c r="F45" s="109" t="str">
        <f>IF('P12'!F12="","",'P12'!F12)</f>
        <v>Rebecca Tiffin</v>
      </c>
      <c r="G45" s="109" t="str">
        <f>IF('P12'!G12="","",'P12'!G12)</f>
        <v>Oslo AK</v>
      </c>
      <c r="H45" s="110">
        <f>IF('P12'!N12=0,"",'P12'!N12)</f>
        <v>62</v>
      </c>
      <c r="I45" s="110">
        <f>IF('P12'!O12=0,"",'P12'!O12)</f>
        <v>74</v>
      </c>
      <c r="J45" s="110">
        <f>IF('P12'!P12=0,"",'P12'!P12)</f>
        <v>136</v>
      </c>
      <c r="K45" s="112">
        <f>IF('P12'!Q12=0,"",'P12'!Q12)</f>
        <v>163.82606366796736</v>
      </c>
      <c r="L45" s="5">
        <v>6</v>
      </c>
    </row>
    <row r="46" spans="1:11" ht="15">
      <c r="A46" s="105"/>
      <c r="B46" s="106">
        <f>IF('P12'!A9="","",'P12'!A9)</f>
        <v>75</v>
      </c>
      <c r="C46" s="107">
        <f>IF('P12'!B9="","",'P12'!B9)</f>
        <v>71.4</v>
      </c>
      <c r="D46" s="106" t="str">
        <f>IF('P12'!C9="","",'P12'!C9)</f>
        <v>SK</v>
      </c>
      <c r="E46" s="108">
        <f>IF('P12'!D9="","",'P12'!D9)</f>
        <v>31858</v>
      </c>
      <c r="F46" s="109" t="str">
        <f>IF('P12'!F9="","",'P12'!F9)</f>
        <v>Carolina Roa</v>
      </c>
      <c r="G46" s="109" t="str">
        <f>IF('P12'!G9="","",'P12'!G9)</f>
        <v>AK Bjørgvin</v>
      </c>
      <c r="H46" s="110">
        <f>IF('P12'!N9=0,"",'P12'!N9)</f>
      </c>
      <c r="I46" s="110">
        <f>IF('P12'!O9=0,"",'P12'!O9)</f>
        <v>85</v>
      </c>
      <c r="J46" s="110">
        <f>IF('P12'!P9=0,"",'P12'!P9)</f>
      </c>
      <c r="K46" s="112">
        <f>IF('P12'!Q9=0,"",'P12'!Q9)</f>
      </c>
    </row>
    <row r="47" spans="1:11" ht="15">
      <c r="A47" s="105"/>
      <c r="B47" s="106"/>
      <c r="C47" s="107"/>
      <c r="D47" s="106"/>
      <c r="E47" s="108"/>
      <c r="F47" s="109"/>
      <c r="G47" s="109"/>
      <c r="H47" s="110"/>
      <c r="I47" s="110"/>
      <c r="J47" s="110"/>
      <c r="K47" s="112"/>
    </row>
    <row r="48" spans="1:12" ht="15">
      <c r="A48" s="105">
        <v>1</v>
      </c>
      <c r="B48" s="106" t="str">
        <f>IF('P12'!A16="","",'P12'!A16)</f>
        <v>+75</v>
      </c>
      <c r="C48" s="107">
        <f>IF('P12'!B16="","",'P12'!B16)</f>
        <v>75.38</v>
      </c>
      <c r="D48" s="106" t="str">
        <f>IF('P12'!C16="","",'P12'!C16)</f>
        <v>SK</v>
      </c>
      <c r="E48" s="108">
        <f>IF('P12'!D16="","",'P12'!D16)</f>
        <v>34500</v>
      </c>
      <c r="F48" s="109" t="str">
        <f>IF('P12'!F16="","",'P12'!F16)</f>
        <v>Martine H. Sønju</v>
      </c>
      <c r="G48" s="109" t="str">
        <f>IF('P12'!G16="","",'P12'!G16)</f>
        <v>Gjøvik AK</v>
      </c>
      <c r="H48" s="110">
        <f>IF('P12'!N16=0,"",'P12'!N16)</f>
        <v>60</v>
      </c>
      <c r="I48" s="110">
        <f>IF('P12'!O16=0,"",'P12'!O16)</f>
        <v>70</v>
      </c>
      <c r="J48" s="110">
        <f>IF('P12'!P16=0,"",'P12'!P16)</f>
        <v>130</v>
      </c>
      <c r="K48" s="112">
        <f>IF('P12'!Q16=0,"",'P12'!Q16)</f>
        <v>155.24418534637923</v>
      </c>
      <c r="L48" s="5">
        <v>12</v>
      </c>
    </row>
    <row r="49" spans="1:12" ht="15">
      <c r="A49" s="105">
        <v>2</v>
      </c>
      <c r="B49" s="106" t="str">
        <f>IF('P12'!A17="","",'P12'!A17)</f>
        <v>+75</v>
      </c>
      <c r="C49" s="107">
        <f>IF('P12'!B17="","",'P12'!B17)</f>
        <v>84.3</v>
      </c>
      <c r="D49" s="106" t="str">
        <f>IF('P12'!C17="","",'P12'!C17)</f>
        <v>SK</v>
      </c>
      <c r="E49" s="108">
        <f>IF('P12'!D17="","",'P12'!D17)</f>
        <v>31608</v>
      </c>
      <c r="F49" s="109" t="str">
        <f>IF('P12'!F17="","",'P12'!F17)</f>
        <v>Silje Johansen</v>
      </c>
      <c r="G49" s="109" t="str">
        <f>IF('P12'!G17="","",'P12'!G17)</f>
        <v>Spydeberg Atletene</v>
      </c>
      <c r="H49" s="110">
        <f>IF('P12'!N17=0,"",'P12'!N17)</f>
        <v>56</v>
      </c>
      <c r="I49" s="110">
        <f>IF('P12'!O17=0,"",'P12'!O17)</f>
        <v>65</v>
      </c>
      <c r="J49" s="110">
        <f>IF('P12'!P17=0,"",'P12'!P17)</f>
        <v>121</v>
      </c>
      <c r="K49" s="112">
        <f>IF('P12'!Q17=0,"",'P12'!Q17)</f>
        <v>136.90787120497276</v>
      </c>
      <c r="L49" s="5">
        <v>10</v>
      </c>
    </row>
    <row r="50" ht="12">
      <c r="A50" s="48"/>
    </row>
    <row r="51" spans="1:11" ht="27">
      <c r="A51" s="192" t="s">
        <v>27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</row>
    <row r="52" ht="12">
      <c r="A52" s="48"/>
    </row>
    <row r="53" spans="1:12" ht="15">
      <c r="A53" s="105">
        <v>1</v>
      </c>
      <c r="B53" s="106">
        <f>IF('P7'!A9="","",'P7'!A9)</f>
        <v>62</v>
      </c>
      <c r="C53" s="107">
        <f>IF('P7'!B9="","",'P7'!B9)</f>
        <v>61.38</v>
      </c>
      <c r="D53" s="106" t="str">
        <f>IF('P7'!C9="","",'P7'!C9)</f>
        <v>SM</v>
      </c>
      <c r="E53" s="108">
        <f>IF('P7'!D9="","",'P7'!D9)</f>
        <v>31782</v>
      </c>
      <c r="F53" s="109" t="str">
        <f>IF('P7'!F9="","",'P7'!F9)</f>
        <v>Tor Eric Sivertsen</v>
      </c>
      <c r="G53" s="109" t="str">
        <f>IF('P7'!G9="","",'P7'!G9)</f>
        <v>Gjøvik AK</v>
      </c>
      <c r="H53" s="110">
        <f>IF('P7'!N9=0,"",'P7'!N9)</f>
        <v>73</v>
      </c>
      <c r="I53" s="110">
        <f>IF('P7'!O9=0,"",'P7'!O9)</f>
        <v>92</v>
      </c>
      <c r="J53" s="110">
        <f>IF('P7'!P9=0,"",'P7'!P9)</f>
        <v>165</v>
      </c>
      <c r="K53" s="111">
        <f>IF('P7'!Q9=0,"",'P7'!Q9)</f>
        <v>240.35601022890955</v>
      </c>
      <c r="L53" s="77">
        <v>12</v>
      </c>
    </row>
    <row r="54" spans="1:12" ht="15">
      <c r="A54" s="105"/>
      <c r="B54" s="106"/>
      <c r="C54" s="107"/>
      <c r="D54" s="106"/>
      <c r="E54" s="108"/>
      <c r="F54" s="109"/>
      <c r="G54" s="109"/>
      <c r="H54" s="110"/>
      <c r="I54" s="110"/>
      <c r="J54" s="110"/>
      <c r="K54" s="111"/>
      <c r="L54" s="77"/>
    </row>
    <row r="55" spans="1:12" ht="15">
      <c r="A55" s="105">
        <v>1</v>
      </c>
      <c r="B55" s="106">
        <f>IF('P7'!A15="","",'P7'!A15)</f>
        <v>69</v>
      </c>
      <c r="C55" s="107">
        <f>IF('P7'!B15="","",'P7'!B15)</f>
        <v>68.88</v>
      </c>
      <c r="D55" s="106" t="str">
        <f>IF('P7'!C15="","",'P7'!C15)</f>
        <v>SM</v>
      </c>
      <c r="E55" s="108">
        <f>IF('P7'!D15="","",'P7'!D15)</f>
        <v>34579</v>
      </c>
      <c r="F55" s="109" t="str">
        <f>IF('P7'!F15="","",'P7'!F15)</f>
        <v>Jantsen Øverås</v>
      </c>
      <c r="G55" s="109" t="str">
        <f>IF('P7'!G15="","",'P7'!G15)</f>
        <v>Tambarskjelvar IL</v>
      </c>
      <c r="H55" s="110">
        <f>IF('P7'!N15=0,"",'P7'!N15)</f>
        <v>115</v>
      </c>
      <c r="I55" s="110">
        <f>IF('P7'!O15=0,"",'P7'!O15)</f>
        <v>147</v>
      </c>
      <c r="J55" s="110">
        <f>IF('P7'!P15=0,"",'P7'!P15)</f>
        <v>262</v>
      </c>
      <c r="K55" s="111">
        <f>IF('P7'!Q15=0,"",'P7'!Q15)</f>
        <v>352.8510761268912</v>
      </c>
      <c r="L55" s="77">
        <v>12</v>
      </c>
    </row>
    <row r="56" spans="1:12" ht="15">
      <c r="A56" s="105">
        <v>2</v>
      </c>
      <c r="B56" s="106">
        <f>IF('P7'!A12="","",'P7'!A12)</f>
        <v>69</v>
      </c>
      <c r="C56" s="107">
        <f>IF('P7'!B12="","",'P7'!B12)</f>
        <v>67.46</v>
      </c>
      <c r="D56" s="106" t="str">
        <f>IF('P7'!C12="","",'P7'!C12)</f>
        <v>SM</v>
      </c>
      <c r="E56" s="108">
        <f>IF('P7'!D12="","",'P7'!D12)</f>
        <v>33342</v>
      </c>
      <c r="F56" s="109" t="str">
        <f>IF('P7'!F12="","",'P7'!F12)</f>
        <v>Daniel Roness</v>
      </c>
      <c r="G56" s="109" t="str">
        <f>IF('P7'!G12="","",'P7'!G12)</f>
        <v>Spydeberg Atletene</v>
      </c>
      <c r="H56" s="110">
        <f>IF('P7'!N12=0,"",'P7'!N12)</f>
        <v>110</v>
      </c>
      <c r="I56" s="110">
        <f>IF('P7'!O12=0,"",'P7'!O12)</f>
        <v>133</v>
      </c>
      <c r="J56" s="110">
        <f>IF('P7'!P12=0,"",'P7'!P12)</f>
        <v>243</v>
      </c>
      <c r="K56" s="111">
        <f>IF('P7'!Q12=0,"",'P7'!Q12)</f>
        <v>331.71105574469937</v>
      </c>
      <c r="L56" s="77">
        <v>10</v>
      </c>
    </row>
    <row r="57" spans="1:12" ht="15">
      <c r="A57" s="105">
        <v>3</v>
      </c>
      <c r="B57" s="106">
        <f>IF('P7'!A13="","",'P7'!A13)</f>
        <v>69</v>
      </c>
      <c r="C57" s="107">
        <f>IF('P7'!B13="","",'P7'!B13)</f>
        <v>68.9</v>
      </c>
      <c r="D57" s="106" t="str">
        <f>IF('P7'!C13="","",'P7'!C13)</f>
        <v>SM</v>
      </c>
      <c r="E57" s="108">
        <f>IF('P7'!D13="","",'P7'!D13)</f>
        <v>33679</v>
      </c>
      <c r="F57" s="109" t="str">
        <f>IF('P7'!F13="","",'P7'!F13)</f>
        <v>Thomas Eide</v>
      </c>
      <c r="G57" s="109" t="str">
        <f>IF('P7'!G13="","",'P7'!G13)</f>
        <v>Stavanger VK</v>
      </c>
      <c r="H57" s="110">
        <f>IF('P7'!N13=0,"",'P7'!N13)</f>
        <v>95</v>
      </c>
      <c r="I57" s="110">
        <f>IF('P7'!O13=0,"",'P7'!O13)</f>
        <v>122</v>
      </c>
      <c r="J57" s="110">
        <f>IF('P7'!P13=0,"",'P7'!P13)</f>
        <v>217</v>
      </c>
      <c r="K57" s="111">
        <f>IF('P7'!Q13=0,"",'P7'!Q13)</f>
        <v>292.1925165416264</v>
      </c>
      <c r="L57" s="77">
        <v>9</v>
      </c>
    </row>
    <row r="58" spans="1:12" ht="15">
      <c r="A58" s="105">
        <v>4</v>
      </c>
      <c r="B58" s="106">
        <f>IF('P7'!A10="","",'P7'!A10)</f>
        <v>69</v>
      </c>
      <c r="C58" s="107">
        <f>IF('P7'!B10="","",'P7'!B10)</f>
        <v>69</v>
      </c>
      <c r="D58" s="106" t="str">
        <f>IF('P7'!C10="","",'P7'!C10)</f>
        <v>UM</v>
      </c>
      <c r="E58" s="108">
        <f>IF('P7'!D10="","",'P7'!D10)</f>
        <v>36192</v>
      </c>
      <c r="F58" s="109" t="str">
        <f>IF('P7'!F10="","",'P7'!F10)</f>
        <v>Eskil Andersen</v>
      </c>
      <c r="G58" s="109" t="str">
        <f>IF('P7'!G10="","",'P7'!G10)</f>
        <v>Stavanger VK</v>
      </c>
      <c r="H58" s="110">
        <f>IF('P7'!N10=0,"",'P7'!N10)</f>
        <v>98</v>
      </c>
      <c r="I58" s="110">
        <f>IF('P7'!O10=0,"",'P7'!O10)</f>
        <v>112</v>
      </c>
      <c r="J58" s="110">
        <f>IF('P7'!P10=0,"",'P7'!P10)</f>
        <v>210</v>
      </c>
      <c r="K58" s="111">
        <f>IF('P7'!Q10=0,"",'P7'!Q10)</f>
        <v>282.50450623745917</v>
      </c>
      <c r="L58" s="77">
        <v>8</v>
      </c>
    </row>
    <row r="59" spans="1:12" ht="15">
      <c r="A59" s="105">
        <v>5</v>
      </c>
      <c r="B59" s="106">
        <f>IF('P7'!A14="","",'P7'!A14)</f>
        <v>69</v>
      </c>
      <c r="C59" s="107">
        <f>IF('P7'!B14="","",'P7'!B14)</f>
        <v>67.52</v>
      </c>
      <c r="D59" s="106" t="str">
        <f>IF('P7'!C14="","",'P7'!C14)</f>
        <v>SM</v>
      </c>
      <c r="E59" s="108">
        <f>IF('P7'!D14="","",'P7'!D14)</f>
        <v>32605</v>
      </c>
      <c r="F59" s="109" t="str">
        <f>IF('P7'!F14="","",'P7'!F14)</f>
        <v>Ole Martin Aas</v>
      </c>
      <c r="G59" s="109" t="str">
        <f>IF('P7'!G14="","",'P7'!G14)</f>
        <v>T &amp; IL National</v>
      </c>
      <c r="H59" s="110">
        <f>IF('P7'!N14=0,"",'P7'!N14)</f>
        <v>88</v>
      </c>
      <c r="I59" s="110">
        <f>IF('P7'!O14=0,"",'P7'!O14)</f>
        <v>105</v>
      </c>
      <c r="J59" s="110">
        <f>IF('P7'!P14=0,"",'P7'!P14)</f>
        <v>193</v>
      </c>
      <c r="K59" s="111">
        <f>IF('P7'!Q14=0,"",'P7'!Q14)</f>
        <v>263.3043804105355</v>
      </c>
      <c r="L59" s="77">
        <v>7</v>
      </c>
    </row>
    <row r="60" spans="1:12" ht="15">
      <c r="A60" s="105">
        <v>6</v>
      </c>
      <c r="B60" s="106">
        <f>IF('P7'!A11="","",'P7'!A11)</f>
        <v>69</v>
      </c>
      <c r="C60" s="107">
        <f>IF('P7'!B11="","",'P7'!B11)</f>
        <v>68.58</v>
      </c>
      <c r="D60" s="106" t="str">
        <f>IF('P7'!C11="","",'P7'!C11)</f>
        <v>SM</v>
      </c>
      <c r="E60" s="108">
        <f>IF('P7'!D11="","",'P7'!D11)</f>
        <v>32437</v>
      </c>
      <c r="F60" s="109" t="str">
        <f>IF('P7'!F11="","",'P7'!F11)</f>
        <v>Nicolas Johnsen</v>
      </c>
      <c r="G60" s="109" t="str">
        <f>IF('P7'!G11="","",'P7'!G11)</f>
        <v>Trondheim AK</v>
      </c>
      <c r="H60" s="110">
        <f>IF('P7'!N11=0,"",'P7'!N11)</f>
        <v>84</v>
      </c>
      <c r="I60" s="110">
        <f>IF('P7'!O11=0,"",'P7'!O11)</f>
        <v>105</v>
      </c>
      <c r="J60" s="110">
        <f>IF('P7'!P11=0,"",'P7'!P11)</f>
        <v>189</v>
      </c>
      <c r="K60" s="111">
        <f>IF('P7'!Q11=0,"",'P7'!Q11)</f>
        <v>255.25239538423773</v>
      </c>
      <c r="L60" s="77">
        <v>6</v>
      </c>
    </row>
    <row r="61" spans="1:12" ht="15">
      <c r="A61" s="105"/>
      <c r="B61" s="106"/>
      <c r="C61" s="107"/>
      <c r="D61" s="106"/>
      <c r="E61" s="108"/>
      <c r="F61" s="109"/>
      <c r="G61" s="109"/>
      <c r="H61" s="110"/>
      <c r="I61" s="110"/>
      <c r="J61" s="110"/>
      <c r="K61" s="111"/>
      <c r="L61" s="77"/>
    </row>
    <row r="62" spans="1:12" ht="15">
      <c r="A62" s="105">
        <v>1</v>
      </c>
      <c r="B62" s="106">
        <f>IF('P9'!A17="","",'P9'!A17)</f>
        <v>77</v>
      </c>
      <c r="C62" s="107">
        <f>IF('P9'!B17="","",'P9'!B17)</f>
        <v>76.42</v>
      </c>
      <c r="D62" s="106" t="str">
        <f>IF('P9'!C17="","",'P9'!C17)</f>
        <v>M1</v>
      </c>
      <c r="E62" s="108">
        <f>IF('P9'!D17="","",'P9'!D17)</f>
        <v>28656</v>
      </c>
      <c r="F62" s="109" t="str">
        <f>IF('P9'!F17="","",'P9'!F17)</f>
        <v>Ronny Matnisdal</v>
      </c>
      <c r="G62" s="109" t="str">
        <f>IF('P9'!G17="","",'P9'!G17)</f>
        <v>Vigrestad IK</v>
      </c>
      <c r="H62" s="110">
        <f>IF('P9'!N17=0,"",'P9'!N17)</f>
        <v>130</v>
      </c>
      <c r="I62" s="110">
        <f>IF('P9'!O17=0,"",'P9'!O17)</f>
        <v>148</v>
      </c>
      <c r="J62" s="110">
        <f>IF('P9'!P17=0,"",'P9'!P17)</f>
        <v>278</v>
      </c>
      <c r="K62" s="111">
        <f>IF('P9'!Q17=0,"",'P9'!Q17)</f>
        <v>351.5897007694986</v>
      </c>
      <c r="L62" s="77">
        <v>12</v>
      </c>
    </row>
    <row r="63" spans="1:12" ht="15">
      <c r="A63" s="105">
        <v>2</v>
      </c>
      <c r="B63" s="106">
        <f>IF('P9'!A16="","",'P9'!A16)</f>
        <v>77</v>
      </c>
      <c r="C63" s="107">
        <f>IF('P9'!B16="","",'P9'!B16)</f>
        <v>76.84</v>
      </c>
      <c r="D63" s="106" t="str">
        <f>IF('P9'!C16="","",'P9'!C16)</f>
        <v>SM</v>
      </c>
      <c r="E63" s="108">
        <f>IF('P9'!D16="","",'P9'!D16)</f>
        <v>32655</v>
      </c>
      <c r="F63" s="109" t="str">
        <f>IF('P9'!F16="","",'P9'!F16)</f>
        <v>Alexander Hanssen</v>
      </c>
      <c r="G63" s="109" t="str">
        <f>IF('P9'!G16="","",'P9'!G16)</f>
        <v>Nidelv IL</v>
      </c>
      <c r="H63" s="110">
        <f>IF('P9'!N16=0,"",'P9'!N16)</f>
        <v>117</v>
      </c>
      <c r="I63" s="110">
        <f>IF('P9'!O16=0,"",'P9'!O16)</f>
        <v>141</v>
      </c>
      <c r="J63" s="110">
        <f>IF('P9'!P16=0,"",'P9'!P16)</f>
        <v>258</v>
      </c>
      <c r="K63" s="111">
        <f>IF('P9'!Q16=0,"",'P9'!Q16)</f>
        <v>325.28235407111566</v>
      </c>
      <c r="L63" s="77">
        <v>10</v>
      </c>
    </row>
    <row r="64" spans="1:12" ht="15">
      <c r="A64" s="105">
        <v>3</v>
      </c>
      <c r="B64" s="106">
        <f>IF('P9'!A15="","",'P9'!A15)</f>
        <v>77</v>
      </c>
      <c r="C64" s="107">
        <f>IF('P9'!B15="","",'P9'!B15)</f>
        <v>76.26</v>
      </c>
      <c r="D64" s="106" t="str">
        <f>IF('P9'!C15="","",'P9'!C15)</f>
        <v>SM</v>
      </c>
      <c r="E64" s="108">
        <f>IF('P9'!D15="","",'P9'!D15)</f>
        <v>31220</v>
      </c>
      <c r="F64" s="109" t="str">
        <f>IF('P9'!F15="","",'P9'!F15)</f>
        <v>Tomas Fjeldberg</v>
      </c>
      <c r="G64" s="109" t="str">
        <f>IF('P9'!G15="","",'P9'!G15)</f>
        <v>IL Kraftsport</v>
      </c>
      <c r="H64" s="110">
        <f>IF('P9'!N15=0,"",'P9'!N15)</f>
        <v>117</v>
      </c>
      <c r="I64" s="110">
        <f>IF('P9'!O15=0,"",'P9'!O15)</f>
        <v>135</v>
      </c>
      <c r="J64" s="110">
        <f>IF('P9'!P15=0,"",'P9'!P15)</f>
        <v>252</v>
      </c>
      <c r="K64" s="111">
        <f>IF('P9'!Q15=0,"",'P9'!Q15)</f>
        <v>319.08818045124906</v>
      </c>
      <c r="L64" s="77">
        <v>9</v>
      </c>
    </row>
    <row r="65" spans="1:12" ht="15">
      <c r="A65" s="105">
        <v>4</v>
      </c>
      <c r="B65" s="106">
        <f>IF('P9'!A14="","",'P9'!A14)</f>
        <v>77</v>
      </c>
      <c r="C65" s="107">
        <f>IF('P9'!B14="","",'P9'!B14)</f>
        <v>74.52</v>
      </c>
      <c r="D65" s="106" t="str">
        <f>IF('P9'!C14="","",'P9'!C14)</f>
        <v>SM</v>
      </c>
      <c r="E65" s="108">
        <f>IF('P9'!D14="","",'P9'!D14)</f>
        <v>32995</v>
      </c>
      <c r="F65" s="109" t="str">
        <f>IF('P9'!F14="","",'P9'!F14)</f>
        <v>Fredrik Kvist Gyllensten</v>
      </c>
      <c r="G65" s="109" t="str">
        <f>IF('P9'!G14="","",'P9'!G14)</f>
        <v>IL Kraftsport</v>
      </c>
      <c r="H65" s="110">
        <f>IF('P9'!N14=0,"",'P9'!N14)</f>
        <v>105</v>
      </c>
      <c r="I65" s="110">
        <f>IF('P9'!O14=0,"",'P9'!O14)</f>
        <v>130</v>
      </c>
      <c r="J65" s="110">
        <f>IF('P9'!P14=0,"",'P9'!P14)</f>
        <v>235</v>
      </c>
      <c r="K65" s="111">
        <f>IF('P9'!Q14=0,"",'P9'!Q14)</f>
        <v>301.56345366824144</v>
      </c>
      <c r="L65" s="77">
        <v>8</v>
      </c>
    </row>
    <row r="66" spans="1:12" ht="15">
      <c r="A66" s="105">
        <v>5</v>
      </c>
      <c r="B66" s="106">
        <f>IF('P9'!A12="","",'P9'!A12)</f>
        <v>77</v>
      </c>
      <c r="C66" s="107">
        <f>IF('P9'!B12="","",'P9'!B12)</f>
        <v>76.34</v>
      </c>
      <c r="D66" s="106" t="str">
        <f>IF('P9'!C12="","",'P9'!C12)</f>
        <v>SM</v>
      </c>
      <c r="E66" s="108">
        <f>IF('P9'!D12="","",'P9'!D12)</f>
        <v>34330</v>
      </c>
      <c r="F66" s="109" t="str">
        <f>IF('P9'!F12="","",'P9'!F12)</f>
        <v>Roy Sømme Ommedal</v>
      </c>
      <c r="G66" s="109" t="str">
        <f>IF('P9'!G12="","",'P9'!G12)</f>
        <v>Vigrestad IK</v>
      </c>
      <c r="H66" s="110">
        <f>IF('P9'!N12=0,"",'P9'!N12)</f>
        <v>105</v>
      </c>
      <c r="I66" s="110">
        <f>IF('P9'!O12=0,"",'P9'!O12)</f>
        <v>130</v>
      </c>
      <c r="J66" s="110">
        <f>IF('P9'!P12=0,"",'P9'!P12)</f>
        <v>235</v>
      </c>
      <c r="K66" s="111">
        <f>IF('P9'!Q12=0,"",'P9'!Q12)</f>
        <v>297.3844970324318</v>
      </c>
      <c r="L66" s="77">
        <v>7</v>
      </c>
    </row>
    <row r="67" spans="1:12" ht="15">
      <c r="A67" s="105">
        <v>6</v>
      </c>
      <c r="B67" s="106">
        <f>IF('P5'!A10="","",'P5'!A10)</f>
        <v>77</v>
      </c>
      <c r="C67" s="107">
        <f>IF('P5'!B10="","",'P5'!B10)</f>
        <v>76.64</v>
      </c>
      <c r="D67" s="106" t="str">
        <f>IF('P5'!C10="","",'P5'!C10)</f>
        <v>SM</v>
      </c>
      <c r="E67" s="108">
        <f>IF('P5'!D10="","",'P5'!D10)</f>
        <v>30139</v>
      </c>
      <c r="F67" s="109" t="str">
        <f>IF('P5'!F10="","",'P5'!F10)</f>
        <v>Jostein Frøyd</v>
      </c>
      <c r="G67" s="109" t="str">
        <f>IF('P5'!G10="","",'P5'!G10)</f>
        <v>Larvik AK</v>
      </c>
      <c r="H67" s="110">
        <f>IF('P5'!N10=0,"",'P5'!N10)</f>
        <v>100</v>
      </c>
      <c r="I67" s="110">
        <f>IF('P5'!O10=0,"",'P5'!O10)</f>
        <v>130</v>
      </c>
      <c r="J67" s="110">
        <f>IF('P5'!P10=0,"",'P5'!P10)</f>
        <v>230</v>
      </c>
      <c r="K67" s="111">
        <f>IF('P5'!Q10=0,"",'P5'!Q10)</f>
        <v>290.4087570245249</v>
      </c>
      <c r="L67" s="77">
        <v>6</v>
      </c>
    </row>
    <row r="68" spans="1:12" ht="15">
      <c r="A68" s="105">
        <v>7</v>
      </c>
      <c r="B68" s="106">
        <f>IF('P9'!A13="","",'P9'!A13)</f>
        <v>77</v>
      </c>
      <c r="C68" s="107">
        <f>IF('P9'!B13="","",'P9'!B13)</f>
        <v>76</v>
      </c>
      <c r="D68" s="106" t="str">
        <f>IF('P9'!C13="","",'P9'!C13)</f>
        <v>SM</v>
      </c>
      <c r="E68" s="108">
        <f>IF('P9'!D13="","",'P9'!D13)</f>
        <v>33722</v>
      </c>
      <c r="F68" s="109" t="str">
        <f>IF('P9'!F13="","",'P9'!F13)</f>
        <v>Henrik Walter Pettersen</v>
      </c>
      <c r="G68" s="109" t="str">
        <f>IF('P9'!G13="","",'P9'!G13)</f>
        <v>Spydeberg Atletene</v>
      </c>
      <c r="H68" s="110">
        <f>IF('P9'!N13=0,"",'P9'!N13)</f>
        <v>105</v>
      </c>
      <c r="I68" s="110">
        <f>IF('P9'!O13=0,"",'P9'!O13)</f>
        <v>120</v>
      </c>
      <c r="J68" s="110">
        <f>IF('P9'!P13=0,"",'P9'!P13)</f>
        <v>225</v>
      </c>
      <c r="K68" s="111">
        <f>IF('P9'!Q13=0,"",'P9'!Q13)</f>
        <v>285.4571571819932</v>
      </c>
      <c r="L68" s="77">
        <v>5</v>
      </c>
    </row>
    <row r="69" spans="1:12" ht="15">
      <c r="A69" s="105">
        <v>8</v>
      </c>
      <c r="B69" s="106">
        <f>IF('P9'!A9="","",'P9'!A9)</f>
        <v>77</v>
      </c>
      <c r="C69" s="107">
        <f>IF('P9'!B9="","",'P9'!B9)</f>
        <v>76.12</v>
      </c>
      <c r="D69" s="106" t="str">
        <f>IF('P9'!C9="","",'P9'!C9)</f>
        <v>JM</v>
      </c>
      <c r="E69" s="108">
        <f>IF('P9'!D9="","",'P9'!D9)</f>
        <v>35355</v>
      </c>
      <c r="F69" s="109" t="str">
        <f>IF('P9'!F9="","",'P9'!F9)</f>
        <v>Jo-Magne Rønning Elden</v>
      </c>
      <c r="G69" s="109" t="str">
        <f>IF('P9'!G9="","",'P9'!G9)</f>
        <v>Nidelv IL</v>
      </c>
      <c r="H69" s="110">
        <f>IF('P9'!N9=0,"",'P9'!N9)</f>
        <v>100</v>
      </c>
      <c r="I69" s="110">
        <f>IF('P9'!O9=0,"",'P9'!O9)</f>
        <v>120</v>
      </c>
      <c r="J69" s="110">
        <f>IF('P9'!P9=0,"",'P9'!P9)</f>
        <v>220</v>
      </c>
      <c r="K69" s="111">
        <f>IF('P9'!Q9=0,"",'P9'!Q9)</f>
        <v>278.86166023405457</v>
      </c>
      <c r="L69" s="77">
        <v>4</v>
      </c>
    </row>
    <row r="70" spans="1:12" ht="15">
      <c r="A70" s="105">
        <v>9</v>
      </c>
      <c r="B70" s="106">
        <f>IF('P9'!A11="","",'P9'!A11)</f>
        <v>77</v>
      </c>
      <c r="C70" s="107">
        <f>IF('P9'!B11="","",'P9'!B11)</f>
        <v>75.8</v>
      </c>
      <c r="D70" s="106" t="str">
        <f>IF('P9'!C11="","",'P9'!C11)</f>
        <v>SM</v>
      </c>
      <c r="E70" s="108">
        <f>IF('P9'!D11="","",'P9'!D11)</f>
        <v>33034</v>
      </c>
      <c r="F70" s="109" t="str">
        <f>IF('P9'!F11="","",'P9'!F11)</f>
        <v>Torstein Dæhlin</v>
      </c>
      <c r="G70" s="109" t="str">
        <f>IF('P9'!G11="","",'P9'!G11)</f>
        <v>Gjøvik AK</v>
      </c>
      <c r="H70" s="110">
        <f>IF('P9'!N11=0,"",'P9'!N11)</f>
        <v>95</v>
      </c>
      <c r="I70" s="110">
        <f>IF('P9'!O11=0,"",'P9'!O11)</f>
        <v>120</v>
      </c>
      <c r="J70" s="110">
        <f>IF('P9'!P11=0,"",'P9'!P11)</f>
        <v>215</v>
      </c>
      <c r="K70" s="111">
        <f>IF('P9'!Q11=0,"",'P9'!Q11)</f>
        <v>273.1830423758698</v>
      </c>
      <c r="L70" s="77">
        <v>3</v>
      </c>
    </row>
    <row r="71" spans="1:12" ht="15">
      <c r="A71" s="105">
        <v>10</v>
      </c>
      <c r="B71" s="106">
        <f>IF('P9'!A10="","",'P9'!A10)</f>
        <v>77</v>
      </c>
      <c r="C71" s="107">
        <f>IF('P9'!B10="","",'P9'!B10)</f>
        <v>76.38</v>
      </c>
      <c r="D71" s="106" t="str">
        <f>IF('P9'!C10="","",'P9'!C10)</f>
        <v>SM</v>
      </c>
      <c r="E71" s="108">
        <f>IF('P9'!D10="","",'P9'!D10)</f>
        <v>32155</v>
      </c>
      <c r="F71" s="109" t="str">
        <f>IF('P9'!F10="","",'P9'!F10)</f>
        <v>Erik Carlsen Kjørselvik</v>
      </c>
      <c r="G71" s="109" t="str">
        <f>IF('P9'!G10="","",'P9'!G10)</f>
        <v>Trondheim AK</v>
      </c>
      <c r="H71" s="110">
        <f>IF('P9'!N10=0,"",'P9'!N10)</f>
        <v>94</v>
      </c>
      <c r="I71" s="110">
        <f>IF('P9'!O10=0,"",'P9'!O10)</f>
        <v>115</v>
      </c>
      <c r="J71" s="110">
        <f>IF('P9'!P10=0,"",'P9'!P10)</f>
        <v>209</v>
      </c>
      <c r="K71" s="111">
        <f>IF('P9'!Q10=0,"",'P9'!Q10)</f>
        <v>264.40344937558206</v>
      </c>
      <c r="L71" s="77">
        <v>2</v>
      </c>
    </row>
    <row r="72" spans="1:12" ht="15">
      <c r="A72" s="105">
        <v>11</v>
      </c>
      <c r="B72" s="106">
        <f>IF('P5'!A12="","",'P5'!A12)</f>
        <v>77</v>
      </c>
      <c r="C72" s="107">
        <f>IF('P5'!B12="","",'P5'!B12)</f>
        <v>76.42</v>
      </c>
      <c r="D72" s="106" t="str">
        <f>IF('P5'!C12="","",'P5'!C12)</f>
        <v>SM</v>
      </c>
      <c r="E72" s="108">
        <f>IF('P5'!D12="","",'P5'!D12)</f>
        <v>33053</v>
      </c>
      <c r="F72" s="109" t="str">
        <f>IF('P5'!F12="","",'P5'!F12)</f>
        <v>Marius Eliassen</v>
      </c>
      <c r="G72" s="109" t="str">
        <f>IF('P5'!G12="","",'P5'!G12)</f>
        <v>Spydeberg Atletene</v>
      </c>
      <c r="H72" s="110">
        <f>IF('P5'!N12=0,"",'P5'!N12)</f>
        <v>94</v>
      </c>
      <c r="I72" s="110">
        <f>IF('P5'!O12=0,"",'P5'!O12)</f>
        <v>115</v>
      </c>
      <c r="J72" s="110">
        <f>IF('P5'!P12=0,"",'P5'!P12)</f>
        <v>209</v>
      </c>
      <c r="K72" s="111">
        <f>IF('P5'!Q12=0,"",'P5'!Q12)</f>
        <v>264.32463115404755</v>
      </c>
      <c r="L72" s="77">
        <v>1</v>
      </c>
    </row>
    <row r="73" spans="1:12" ht="15">
      <c r="A73" s="105">
        <v>12</v>
      </c>
      <c r="B73" s="106">
        <f>IF('P5'!A15="","",'P5'!A15)</f>
        <v>77</v>
      </c>
      <c r="C73" s="107">
        <f>IF('P5'!B15="","",'P5'!B15)</f>
        <v>76.56</v>
      </c>
      <c r="D73" s="106" t="str">
        <f>IF('P5'!C15="","",'P5'!C15)</f>
        <v>SM</v>
      </c>
      <c r="E73" s="108">
        <f>IF('P5'!D15="","",'P5'!D15)</f>
        <v>31489</v>
      </c>
      <c r="F73" s="109" t="str">
        <f>IF('P5'!F15="","",'P5'!F15)</f>
        <v>Torje Bragstad Venseth</v>
      </c>
      <c r="G73" s="109" t="str">
        <f>IF('P5'!G15="","",'P5'!G15)</f>
        <v>Nidelv IL</v>
      </c>
      <c r="H73" s="110">
        <f>IF('P5'!N15=0,"",'P5'!N15)</f>
        <v>92</v>
      </c>
      <c r="I73" s="110">
        <f>IF('P5'!O15=0,"",'P5'!O15)</f>
        <v>115</v>
      </c>
      <c r="J73" s="110">
        <f>IF('P5'!P15=0,"",'P5'!P15)</f>
        <v>207</v>
      </c>
      <c r="K73" s="111">
        <f>IF('P5'!Q15=0,"",'P5'!Q15)</f>
        <v>261.5228778569286</v>
      </c>
      <c r="L73" s="77">
        <v>1</v>
      </c>
    </row>
    <row r="74" spans="1:12" ht="15">
      <c r="A74" s="105">
        <v>13</v>
      </c>
      <c r="B74" s="106">
        <f>IF('P5'!A14="","",'P5'!A14)</f>
        <v>77</v>
      </c>
      <c r="C74" s="107">
        <f>IF('P5'!B14="","",'P5'!B14)</f>
        <v>75.74</v>
      </c>
      <c r="D74" s="106" t="str">
        <f>IF('P5'!C14="","",'P5'!C14)</f>
        <v>SM</v>
      </c>
      <c r="E74" s="108">
        <f>IF('P5'!D14="","",'P5'!D14)</f>
        <v>33055</v>
      </c>
      <c r="F74" s="109" t="str">
        <f>IF('P5'!F14="","",'P5'!F14)</f>
        <v>Raymond Toft</v>
      </c>
      <c r="G74" s="109" t="str">
        <f>IF('P5'!G14="","",'P5'!G14)</f>
        <v>Trondheim AK</v>
      </c>
      <c r="H74" s="110">
        <f>IF('P5'!N14=0,"",'P5'!N14)</f>
        <v>90</v>
      </c>
      <c r="I74" s="110">
        <f>IF('P5'!O14=0,"",'P5'!O14)</f>
        <v>115</v>
      </c>
      <c r="J74" s="110">
        <f>IF('P5'!P14=0,"",'P5'!P14)</f>
        <v>205</v>
      </c>
      <c r="K74" s="111">
        <f>IF('P5'!Q14=0,"",'P5'!Q14)</f>
        <v>260.5955172944578</v>
      </c>
      <c r="L74" s="77">
        <v>1</v>
      </c>
    </row>
    <row r="75" spans="1:12" ht="15">
      <c r="A75" s="105">
        <v>14</v>
      </c>
      <c r="B75" s="106">
        <f>IF('P5'!A11="","",'P5'!A11)</f>
        <v>77</v>
      </c>
      <c r="C75" s="107">
        <f>IF('P5'!B11="","",'P5'!B11)</f>
        <v>76.5</v>
      </c>
      <c r="D75" s="106" t="str">
        <f>IF('P5'!C11="","",'P5'!C11)</f>
        <v>SM</v>
      </c>
      <c r="E75" s="108">
        <f>IF('P5'!D11="","",'P5'!D11)</f>
        <v>32778</v>
      </c>
      <c r="F75" s="109" t="str">
        <f>IF('P5'!F11="","",'P5'!F11)</f>
        <v>Jonas Andre Grønnhaug</v>
      </c>
      <c r="G75" s="109" t="str">
        <f>IF('P5'!G11="","",'P5'!G11)</f>
        <v>Trondheim AK</v>
      </c>
      <c r="H75" s="110">
        <f>IF('P5'!N11=0,"",'P5'!N11)</f>
        <v>90</v>
      </c>
      <c r="I75" s="110">
        <f>IF('P5'!O11=0,"",'P5'!O11)</f>
        <v>112</v>
      </c>
      <c r="J75" s="110">
        <f>IF('P5'!P11=0,"",'P5'!P11)</f>
        <v>202</v>
      </c>
      <c r="K75" s="111">
        <f>IF('P5'!Q11=0,"",'P5'!Q11)</f>
        <v>255.31962857879324</v>
      </c>
      <c r="L75" s="77">
        <v>1</v>
      </c>
    </row>
    <row r="76" spans="1:12" ht="15">
      <c r="A76" s="105">
        <v>15</v>
      </c>
      <c r="B76" s="106">
        <f>IF('P5'!A9="","",'P5'!A9)</f>
        <v>77</v>
      </c>
      <c r="C76" s="107">
        <f>IF('P5'!B9="","",'P5'!B9)</f>
        <v>70.54</v>
      </c>
      <c r="D76" s="106" t="str">
        <f>IF('P5'!C9="","",'P5'!C9)</f>
        <v>SM</v>
      </c>
      <c r="E76" s="108">
        <f>IF('P5'!D9="","",'P5'!D9)</f>
        <v>33697</v>
      </c>
      <c r="F76" s="109" t="str">
        <f>IF('P5'!F9="","",'P5'!F9)</f>
        <v>Krister Thonerud</v>
      </c>
      <c r="G76" s="109" t="str">
        <f>IF('P5'!G9="","",'P5'!G9)</f>
        <v>Spydeberg Atletene</v>
      </c>
      <c r="H76" s="110">
        <f>IF('P5'!N9=0,"",'P5'!N9)</f>
        <v>83</v>
      </c>
      <c r="I76" s="110">
        <f>IF('P5'!O9=0,"",'P5'!O9)</f>
        <v>100</v>
      </c>
      <c r="J76" s="110">
        <f>IF('P5'!P9=0,"",'P5'!P9)</f>
        <v>183</v>
      </c>
      <c r="K76" s="111">
        <f>IF('P5'!Q9=0,"",'P5'!Q9)</f>
        <v>242.77130546631523</v>
      </c>
      <c r="L76" s="77">
        <v>1</v>
      </c>
    </row>
    <row r="77" spans="1:12" ht="15">
      <c r="A77" s="105"/>
      <c r="B77" s="106">
        <f>IF('P5'!A13="","",'P5'!A13)</f>
        <v>77</v>
      </c>
      <c r="C77" s="107">
        <f>IF('P5'!B13="","",'P5'!B13)</f>
        <v>77</v>
      </c>
      <c r="D77" s="106" t="str">
        <f>IF('P5'!C13="","",'P5'!C13)</f>
        <v>SM</v>
      </c>
      <c r="E77" s="108">
        <f>IF('P5'!D13="","",'P5'!D13)</f>
        <v>34357</v>
      </c>
      <c r="F77" s="109" t="str">
        <f>IF('P5'!F13="","",'P5'!F13)</f>
        <v>Trygve Nilsen</v>
      </c>
      <c r="G77" s="109" t="str">
        <f>IF('P5'!G13="","",'P5'!G13)</f>
        <v>Spydeberg Atletene</v>
      </c>
      <c r="H77" s="110">
        <f>IF('P5'!N13=0,"",'P5'!N13)</f>
        <v>85</v>
      </c>
      <c r="I77" s="110">
        <f>IF('P5'!O13=0,"",'P5'!O13)</f>
      </c>
      <c r="J77" s="110">
        <f>IF('P5'!P13=0,"",'P5'!P13)</f>
      </c>
      <c r="K77" s="111">
        <f>IF('P5'!Q13=0,"",'P5'!Q13)</f>
      </c>
      <c r="L77" s="77"/>
    </row>
    <row r="78" spans="1:12" ht="15">
      <c r="A78" s="105"/>
      <c r="B78" s="106"/>
      <c r="C78" s="107"/>
      <c r="D78" s="106"/>
      <c r="E78" s="108"/>
      <c r="F78" s="109"/>
      <c r="G78" s="109"/>
      <c r="H78" s="110"/>
      <c r="I78" s="110"/>
      <c r="J78" s="110"/>
      <c r="K78" s="111"/>
      <c r="L78" s="77"/>
    </row>
    <row r="79" spans="1:12" ht="15">
      <c r="A79" s="105">
        <v>1</v>
      </c>
      <c r="B79" s="106">
        <f>IF('P11'!A15="","",'P11'!A15)</f>
        <v>85</v>
      </c>
      <c r="C79" s="107">
        <f>IF('P11'!B15="","",'P11'!B15)</f>
        <v>84.36</v>
      </c>
      <c r="D79" s="106" t="str">
        <f>IF('P11'!C15="","",'P11'!C15)</f>
        <v>SM</v>
      </c>
      <c r="E79" s="108">
        <f>IF('P11'!D15="","",'P11'!D15)</f>
        <v>32519</v>
      </c>
      <c r="F79" s="109" t="str">
        <f>IF('P11'!F15="","",'P11'!F15)</f>
        <v>Leik Simon Aas</v>
      </c>
      <c r="G79" s="109" t="str">
        <f>IF('P11'!G15="","",'P11'!G15)</f>
        <v>T &amp; IL National</v>
      </c>
      <c r="H79" s="110">
        <f>IF('P11'!N15=0,"",'P11'!N15)</f>
        <v>120</v>
      </c>
      <c r="I79" s="110">
        <f>IF('P11'!O15=0,"",'P11'!O15)</f>
        <v>144</v>
      </c>
      <c r="J79" s="110">
        <f>IF('P11'!P15=0,"",'P11'!P15)</f>
        <v>264</v>
      </c>
      <c r="K79" s="112">
        <f>IF('P11'!Q15=0,"",'P11'!Q15)</f>
        <v>316.68000964086315</v>
      </c>
      <c r="L79" s="5">
        <v>12</v>
      </c>
    </row>
    <row r="80" spans="1:12" ht="15">
      <c r="A80" s="105">
        <v>2</v>
      </c>
      <c r="B80" s="106">
        <f>IF('P11'!A10="","",'P11'!A10)</f>
        <v>85</v>
      </c>
      <c r="C80" s="107">
        <f>IF('P11'!B10="","",'P11'!B10)</f>
        <v>83.06</v>
      </c>
      <c r="D80" s="106" t="str">
        <f>IF('P11'!C10="","",'P11'!C10)</f>
        <v>SM</v>
      </c>
      <c r="E80" s="108">
        <f>IF('P11'!D10="","",'P11'!D10)</f>
        <v>30929</v>
      </c>
      <c r="F80" s="109" t="str">
        <f>IF('P11'!F10="","",'P11'!F10)</f>
        <v>Pål Bjørhusdal</v>
      </c>
      <c r="G80" s="109" t="str">
        <f>IF('P11'!G10="","",'P11'!G10)</f>
        <v>AK Bjørgvin</v>
      </c>
      <c r="H80" s="110">
        <f>IF('P11'!N10=0,"",'P11'!N10)</f>
        <v>110</v>
      </c>
      <c r="I80" s="110">
        <f>IF('P11'!O10=0,"",'P11'!O10)</f>
        <v>150</v>
      </c>
      <c r="J80" s="110">
        <f>IF('P11'!P10=0,"",'P11'!P10)</f>
        <v>260</v>
      </c>
      <c r="K80" s="112">
        <f>IF('P11'!Q10=0,"",'P11'!Q10)</f>
        <v>314.34440835332526</v>
      </c>
      <c r="L80" s="5">
        <v>10</v>
      </c>
    </row>
    <row r="81" spans="1:12" ht="15">
      <c r="A81" s="105">
        <v>3</v>
      </c>
      <c r="B81" s="106">
        <f>IF('P11'!A14="","",'P11'!A14)</f>
        <v>85</v>
      </c>
      <c r="C81" s="107">
        <f>IF('P11'!B14="","",'P11'!B14)</f>
        <v>83.14</v>
      </c>
      <c r="D81" s="106" t="str">
        <f>IF('P11'!C14="","",'P11'!C14)</f>
        <v>SM</v>
      </c>
      <c r="E81" s="108">
        <f>IF('P11'!D14="","",'P11'!D14)</f>
        <v>33128</v>
      </c>
      <c r="F81" s="109" t="str">
        <f>IF('P11'!F14="","",'P11'!F14)</f>
        <v>Robin Andresen</v>
      </c>
      <c r="G81" s="109" t="str">
        <f>IF('P11'!G14="","",'P11'!G14)</f>
        <v>Spydeberg Atletene</v>
      </c>
      <c r="H81" s="110">
        <f>IF('P11'!N14=0,"",'P11'!N14)</f>
        <v>112</v>
      </c>
      <c r="I81" s="110">
        <f>IF('P11'!O14=0,"",'P11'!O14)</f>
        <v>130</v>
      </c>
      <c r="J81" s="110">
        <f>IF('P11'!P14=0,"",'P11'!P14)</f>
        <v>242</v>
      </c>
      <c r="K81" s="112">
        <f>IF('P11'!Q14=0,"",'P11'!Q14)</f>
        <v>292.43807910256544</v>
      </c>
      <c r="L81" s="5">
        <v>9</v>
      </c>
    </row>
    <row r="82" spans="1:12" ht="15">
      <c r="A82" s="105">
        <v>4</v>
      </c>
      <c r="B82" s="106">
        <f>IF('P11'!A20="","",'P11'!A20)</f>
        <v>85</v>
      </c>
      <c r="C82" s="107">
        <f>IF('P11'!B20="","",'P11'!B20)</f>
        <v>83.7</v>
      </c>
      <c r="D82" s="106" t="str">
        <f>IF('P11'!C20="","",'P11'!C20)</f>
        <v>SM</v>
      </c>
      <c r="E82" s="108">
        <f>IF('P11'!D20="","",'P11'!D20)</f>
        <v>32098</v>
      </c>
      <c r="F82" s="109" t="str">
        <f>IF('P11'!F20="","",'P11'!F20)</f>
        <v>Fabian Fosse</v>
      </c>
      <c r="G82" s="109" t="str">
        <f>IF('P11'!G20="","",'P11'!G20)</f>
        <v>AK Bjørgvin</v>
      </c>
      <c r="H82" s="110">
        <f>IF('P11'!N20=0,"",'P11'!N20)</f>
        <v>110</v>
      </c>
      <c r="I82" s="110">
        <f>IF('P11'!O20=0,"",'P11'!O20)</f>
        <v>132</v>
      </c>
      <c r="J82" s="110">
        <f>IF('P11'!P20=0,"",'P11'!P20)</f>
        <v>242</v>
      </c>
      <c r="K82" s="112">
        <f>IF('P11'!Q20=0,"",'P11'!Q20)</f>
        <v>291.44092395836833</v>
      </c>
      <c r="L82" s="5">
        <v>8</v>
      </c>
    </row>
    <row r="83" spans="1:12" ht="15">
      <c r="A83" s="105">
        <v>5</v>
      </c>
      <c r="B83" s="106">
        <f>IF('P11'!A19="","",'P11'!A19)</f>
        <v>85</v>
      </c>
      <c r="C83" s="107">
        <f>IF('P11'!B19="","",'P11'!B19)</f>
        <v>84.28</v>
      </c>
      <c r="D83" s="106" t="str">
        <f>IF('P11'!C19="","",'P11'!C19)</f>
        <v>SM</v>
      </c>
      <c r="E83" s="108">
        <f>IF('P11'!D19="","",'P11'!D19)</f>
        <v>33792</v>
      </c>
      <c r="F83" s="109" t="str">
        <f>IF('P11'!F19="","",'P11'!F19)</f>
        <v>Jonas Hetland Mong</v>
      </c>
      <c r="G83" s="109" t="str">
        <f>IF('P11'!G19="","",'P11'!G19)</f>
        <v>Vigrestad IK</v>
      </c>
      <c r="H83" s="110">
        <f>IF('P11'!N19=0,"",'P11'!N19)</f>
        <v>112</v>
      </c>
      <c r="I83" s="110">
        <f>IF('P11'!O19=0,"",'P11'!O19)</f>
        <v>130</v>
      </c>
      <c r="J83" s="110">
        <f>IF('P11'!P19=0,"",'P11'!P19)</f>
        <v>242</v>
      </c>
      <c r="K83" s="112">
        <f>IF('P11'!Q19=0,"",'P11'!Q19)</f>
        <v>290.4281350455653</v>
      </c>
      <c r="L83" s="5">
        <v>7</v>
      </c>
    </row>
    <row r="84" spans="1:12" ht="15">
      <c r="A84" s="105">
        <v>6</v>
      </c>
      <c r="B84" s="106">
        <f>IF('P11'!A11="","",'P11'!A11)</f>
        <v>85</v>
      </c>
      <c r="C84" s="107">
        <f>IF('P11'!B11="","",'P11'!B11)</f>
        <v>84.52</v>
      </c>
      <c r="D84" s="106" t="str">
        <f>IF('P11'!C11="","",'P11'!C11)</f>
        <v>SM</v>
      </c>
      <c r="E84" s="108">
        <f>IF('P11'!D11="","",'P11'!D11)</f>
        <v>34077</v>
      </c>
      <c r="F84" s="109" t="str">
        <f>IF('P11'!F11="","",'P11'!F11)</f>
        <v>Kevin Lund</v>
      </c>
      <c r="G84" s="109" t="str">
        <f>IF('P11'!G11="","",'P11'!G11)</f>
        <v>Hitra VK</v>
      </c>
      <c r="H84" s="110">
        <f>IF('P11'!N11=0,"",'P11'!N11)</f>
        <v>110</v>
      </c>
      <c r="I84" s="110">
        <f>IF('P11'!O11=0,"",'P11'!O11)</f>
        <v>130</v>
      </c>
      <c r="J84" s="110">
        <f>IF('P11'!P11=0,"",'P11'!P11)</f>
        <v>240</v>
      </c>
      <c r="K84" s="112">
        <f>IF('P11'!Q11=0,"",'P11'!Q11)</f>
        <v>287.6180673902696</v>
      </c>
      <c r="L84" s="5">
        <v>6</v>
      </c>
    </row>
    <row r="85" spans="1:12" ht="15">
      <c r="A85" s="105">
        <v>7</v>
      </c>
      <c r="B85" s="106">
        <f>IF('P11'!A18="","",'P11'!A18)</f>
        <v>85</v>
      </c>
      <c r="C85" s="107">
        <f>IF('P11'!B18="","",'P11'!B18)</f>
        <v>81.04</v>
      </c>
      <c r="D85" s="106" t="str">
        <f>IF('P11'!C18="","",'P11'!C18)</f>
        <v>M1</v>
      </c>
      <c r="E85" s="108">
        <f>IF('P11'!D18="","",'P11'!D18)</f>
        <v>28620</v>
      </c>
      <c r="F85" s="109" t="str">
        <f>IF('P11'!F18="","",'P11'!F18)</f>
        <v>Kristian Høyland</v>
      </c>
      <c r="G85" s="109" t="str">
        <f>IF('P11'!G18="","",'P11'!G18)</f>
        <v>Vigrestad IK</v>
      </c>
      <c r="H85" s="110">
        <f>IF('P11'!N18=0,"",'P11'!N18)</f>
        <v>105</v>
      </c>
      <c r="I85" s="110">
        <f>IF('P11'!O18=0,"",'P11'!O18)</f>
        <v>130</v>
      </c>
      <c r="J85" s="110">
        <f>IF('P11'!P18=0,"",'P11'!P18)</f>
        <v>235</v>
      </c>
      <c r="K85" s="112">
        <f>IF('P11'!Q18=0,"",'P11'!Q18)</f>
        <v>287.78180024680626</v>
      </c>
      <c r="L85" s="5">
        <v>5</v>
      </c>
    </row>
    <row r="86" spans="1:12" ht="15">
      <c r="A86" s="105">
        <v>8</v>
      </c>
      <c r="B86" s="106">
        <f>IF('P11'!A13="","",'P11'!A13)</f>
        <v>85</v>
      </c>
      <c r="C86" s="107">
        <f>IF('P11'!B13="","",'P11'!B13)</f>
        <v>83.7</v>
      </c>
      <c r="D86" s="106" t="str">
        <f>IF('P11'!C13="","",'P11'!C13)</f>
        <v>SM</v>
      </c>
      <c r="E86" s="108">
        <f>IF('P11'!D13="","",'P11'!D13)</f>
        <v>31742</v>
      </c>
      <c r="F86" s="109" t="str">
        <f>IF('P11'!F13="","",'P11'!F13)</f>
        <v>Morten Almås</v>
      </c>
      <c r="G86" s="109" t="str">
        <f>IF('P11'!G13="","",'P11'!G13)</f>
        <v>Nidelv IL</v>
      </c>
      <c r="H86" s="110">
        <f>IF('P11'!N13=0,"",'P11'!N13)</f>
        <v>102</v>
      </c>
      <c r="I86" s="110">
        <f>IF('P11'!O13=0,"",'P11'!O13)</f>
        <v>125</v>
      </c>
      <c r="J86" s="110">
        <f>IF('P11'!P13=0,"",'P11'!P13)</f>
        <v>227</v>
      </c>
      <c r="K86" s="112">
        <f>IF('P11'!Q13=0,"",'P11'!Q13)</f>
        <v>273.3764038783042</v>
      </c>
      <c r="L86" s="5">
        <v>4</v>
      </c>
    </row>
    <row r="87" spans="1:12" ht="15">
      <c r="A87" s="105">
        <v>9</v>
      </c>
      <c r="B87" s="106">
        <f>IF('P11'!A12="","",'P11'!A12)</f>
        <v>85</v>
      </c>
      <c r="C87" s="107">
        <f>IF('P11'!B12="","",'P11'!B12)</f>
        <v>82.16</v>
      </c>
      <c r="D87" s="106" t="str">
        <f>IF('P11'!C12="","",'P11'!C12)</f>
        <v>SM</v>
      </c>
      <c r="E87" s="108">
        <f>IF('P11'!D12="","",'P11'!D12)</f>
        <v>32516</v>
      </c>
      <c r="F87" s="109" t="str">
        <f>IF('P11'!F12="","",'P11'!F12)</f>
        <v>Anders Albert</v>
      </c>
      <c r="G87" s="109" t="str">
        <f>IF('P11'!G12="","",'P11'!G12)</f>
        <v>Nidelv IL</v>
      </c>
      <c r="H87" s="110">
        <f>IF('P11'!N12=0,"",'P11'!N12)</f>
        <v>96</v>
      </c>
      <c r="I87" s="110">
        <f>IF('P11'!O12=0,"",'P11'!O12)</f>
        <v>130</v>
      </c>
      <c r="J87" s="110">
        <f>IF('P11'!P12=0,"",'P11'!P12)</f>
        <v>226</v>
      </c>
      <c r="K87" s="112">
        <f>IF('P11'!Q12=0,"",'P11'!Q12)</f>
        <v>274.7768371849296</v>
      </c>
      <c r="L87" s="5">
        <v>3</v>
      </c>
    </row>
    <row r="88" spans="1:12" ht="15">
      <c r="A88" s="105">
        <v>10</v>
      </c>
      <c r="B88" s="106">
        <f>IF('P11'!A9="","",'P11'!A9)</f>
        <v>85</v>
      </c>
      <c r="C88" s="107">
        <f>IF('P11'!B9="","",'P11'!B9)</f>
        <v>83.2</v>
      </c>
      <c r="D88" s="106" t="str">
        <f>IF('P11'!C9="","",'P11'!C9)</f>
        <v>JM</v>
      </c>
      <c r="E88" s="108">
        <f>IF('P11'!D9="","",'P11'!D9)</f>
        <v>34899</v>
      </c>
      <c r="F88" s="109" t="str">
        <f>IF('P11'!F9="","",'P11'!F9)</f>
        <v>Mats Olsen</v>
      </c>
      <c r="G88" s="109" t="str">
        <f>IF('P11'!G9="","",'P11'!G9)</f>
        <v>Grenland AK</v>
      </c>
      <c r="H88" s="110">
        <f>IF('P11'!N9=0,"",'P11'!N9)</f>
        <v>98</v>
      </c>
      <c r="I88" s="110">
        <f>IF('P11'!O9=0,"",'P11'!O9)</f>
        <v>128</v>
      </c>
      <c r="J88" s="110">
        <f>IF('P11'!P9=0,"",'P11'!P9)</f>
        <v>226</v>
      </c>
      <c r="K88" s="112">
        <f>IF('P11'!Q9=0,"",'P11'!Q9)</f>
        <v>273.002696447375</v>
      </c>
      <c r="L88" s="5">
        <v>2</v>
      </c>
    </row>
    <row r="89" spans="1:12" ht="15">
      <c r="A89" s="105">
        <v>11</v>
      </c>
      <c r="B89" s="106">
        <f>IF('P11'!A17="","",'P11'!A17)</f>
        <v>85</v>
      </c>
      <c r="C89" s="107">
        <f>IF('P11'!B17="","",'P11'!B17)</f>
        <v>83.26</v>
      </c>
      <c r="D89" s="106" t="str">
        <f>IF('P11'!C17="","",'P11'!C17)</f>
        <v>M4</v>
      </c>
      <c r="E89" s="108">
        <f>IF('P11'!D17="","",'P11'!D17)</f>
        <v>23084</v>
      </c>
      <c r="F89" s="109" t="str">
        <f>IF('P11'!F17="","",'P11'!F17)</f>
        <v>Bjørnar Olsen</v>
      </c>
      <c r="G89" s="109" t="str">
        <f>IF('P11'!G17="","",'P11'!G17)</f>
        <v>Grenland AK</v>
      </c>
      <c r="H89" s="110">
        <f>IF('P11'!N17=0,"",'P11'!N17)</f>
        <v>98</v>
      </c>
      <c r="I89" s="110">
        <f>IF('P11'!O17=0,"",'P11'!O17)</f>
        <v>117</v>
      </c>
      <c r="J89" s="110">
        <f>IF('P11'!P17=0,"",'P11'!P17)</f>
        <v>215</v>
      </c>
      <c r="K89" s="112">
        <f>IF('P11'!Q17=0,"",'P11'!Q17)</f>
        <v>259.619416437016</v>
      </c>
      <c r="L89" s="77">
        <v>1</v>
      </c>
    </row>
    <row r="90" spans="1:12" ht="15">
      <c r="A90" s="105">
        <v>12</v>
      </c>
      <c r="B90" s="106">
        <f>IF('P4'!A13="","",'P4'!A13)</f>
        <v>85</v>
      </c>
      <c r="C90" s="107">
        <f>IF('P4'!B13="","",'P4'!B13)</f>
        <v>81.98</v>
      </c>
      <c r="D90" s="106" t="str">
        <f>IF('P4'!C13="","",'P4'!C13)</f>
        <v>M1</v>
      </c>
      <c r="E90" s="108">
        <f>IF('P4'!D13="","",'P4'!D13)</f>
        <v>29147</v>
      </c>
      <c r="F90" s="109" t="str">
        <f>IF('P4'!F13="","",'P4'!F13)</f>
        <v>Ole Marius Hovdum</v>
      </c>
      <c r="G90" s="109" t="str">
        <f>IF('P4'!G13="","",'P4'!G13)</f>
        <v>T &amp; IL National</v>
      </c>
      <c r="H90" s="110">
        <f>IF('P4'!N13=0,"",'P4'!N13)</f>
        <v>95</v>
      </c>
      <c r="I90" s="110">
        <f>IF('P4'!O13=0,"",'P4'!O13)</f>
        <v>119</v>
      </c>
      <c r="J90" s="110">
        <f>IF('P4'!P13=0,"",'P4'!P13)</f>
        <v>214</v>
      </c>
      <c r="K90" s="111">
        <f>IF('P4'!Q13=0,"",'P4'!Q13)</f>
        <v>260.4838597687492</v>
      </c>
      <c r="L90" s="5">
        <v>1</v>
      </c>
    </row>
    <row r="91" spans="1:12" ht="15">
      <c r="A91" s="105">
        <v>13</v>
      </c>
      <c r="B91" s="106">
        <f>IF('P11'!A16="","",'P11'!A16)</f>
        <v>85</v>
      </c>
      <c r="C91" s="107">
        <f>IF('P11'!B16="","",'P11'!B16)</f>
        <v>84.1</v>
      </c>
      <c r="D91" s="106" t="str">
        <f>IF('P11'!C16="","",'P11'!C16)</f>
        <v>SM</v>
      </c>
      <c r="E91" s="108">
        <f>IF('P11'!D16="","",'P11'!D16)</f>
        <v>33205</v>
      </c>
      <c r="F91" s="109" t="str">
        <f>IF('P11'!F16="","",'P11'!F16)</f>
        <v>Martin Norum</v>
      </c>
      <c r="G91" s="109" t="str">
        <f>IF('P11'!G16="","",'P11'!G16)</f>
        <v>Tambarskjelvar IL</v>
      </c>
      <c r="H91" s="110">
        <f>IF('P11'!N16=0,"",'P11'!N16)</f>
        <v>97</v>
      </c>
      <c r="I91" s="110">
        <f>IF('P11'!O16=0,"",'P11'!O16)</f>
        <v>113</v>
      </c>
      <c r="J91" s="110">
        <f>IF('P11'!P16=0,"",'P11'!P16)</f>
        <v>210</v>
      </c>
      <c r="K91" s="112">
        <f>IF('P11'!Q16=0,"",'P11'!Q16)</f>
        <v>252.29530332353977</v>
      </c>
      <c r="L91" s="5">
        <v>1</v>
      </c>
    </row>
    <row r="92" spans="1:12" ht="15">
      <c r="A92" s="105"/>
      <c r="B92" s="106"/>
      <c r="C92" s="107"/>
      <c r="D92" s="106"/>
      <c r="E92" s="108"/>
      <c r="F92" s="109"/>
      <c r="G92" s="109"/>
      <c r="H92" s="110"/>
      <c r="I92" s="110"/>
      <c r="J92" s="110"/>
      <c r="K92" s="111"/>
      <c r="L92" s="77"/>
    </row>
    <row r="93" spans="1:12" ht="15">
      <c r="A93" s="105">
        <v>1</v>
      </c>
      <c r="B93" s="106">
        <f>IF('P13'!A16="","",'P13'!A16)</f>
        <v>94</v>
      </c>
      <c r="C93" s="107">
        <f>IF('P13'!B16="","",'P13'!B16)</f>
        <v>92.48</v>
      </c>
      <c r="D93" s="106" t="str">
        <f>IF('P13'!C16="","",'P13'!C16)</f>
        <v>SM</v>
      </c>
      <c r="E93" s="108">
        <f>IF('P13'!D16="","",'P13'!D16)</f>
        <v>33929</v>
      </c>
      <c r="F93" s="109" t="str">
        <f>IF('P13'!F16="","",'P13'!F16)</f>
        <v>Sindre Rørstadbotnen</v>
      </c>
      <c r="G93" s="109" t="str">
        <f>IF('P13'!G16="","",'P13'!G16)</f>
        <v>Tambarskjelvar IL</v>
      </c>
      <c r="H93" s="110">
        <f>IF('P13'!N16=0,"",'P13'!N16)</f>
        <v>139</v>
      </c>
      <c r="I93" s="110">
        <f>IF('P13'!O16=0,"",'P13'!O16)</f>
        <v>179</v>
      </c>
      <c r="J93" s="110">
        <f>IF('P13'!P16=0,"",'P13'!P16)</f>
        <v>318</v>
      </c>
      <c r="K93" s="112">
        <f>IF('P13'!Q16=0,"",'P13'!Q16)</f>
        <v>365.351492016997</v>
      </c>
      <c r="L93" s="5">
        <v>12</v>
      </c>
    </row>
    <row r="94" spans="1:12" ht="15">
      <c r="A94" s="105">
        <v>2</v>
      </c>
      <c r="B94" s="106">
        <f>IF('P13'!A17="","",'P13'!A17)</f>
        <v>94</v>
      </c>
      <c r="C94" s="107">
        <f>IF('P13'!B17="","",'P13'!B17)</f>
        <v>92.45</v>
      </c>
      <c r="D94" s="106" t="str">
        <f>IF('P13'!C17="","",'P13'!C17)</f>
        <v>SM</v>
      </c>
      <c r="E94" s="108">
        <f>IF('P13'!D17="","",'P13'!D17)</f>
        <v>32285</v>
      </c>
      <c r="F94" s="109" t="str">
        <f>IF('P13'!F17="","",'P13'!F17)</f>
        <v>Jarleif Amdal</v>
      </c>
      <c r="G94" s="109" t="str">
        <f>IF('P13'!G17="","",'P13'!G17)</f>
        <v>Tønsberg-Kam.</v>
      </c>
      <c r="H94" s="110">
        <f>IF('P13'!N17=0,"",'P13'!N17)</f>
        <v>134</v>
      </c>
      <c r="I94" s="110">
        <f>IF('P13'!O17=0,"",'P13'!O17)</f>
        <v>168</v>
      </c>
      <c r="J94" s="110">
        <f>IF('P13'!P17=0,"",'P13'!P17)</f>
        <v>302</v>
      </c>
      <c r="K94" s="112">
        <f>IF('P13'!Q17=0,"",'P13'!Q17)</f>
        <v>347.01831201948596</v>
      </c>
      <c r="L94" s="5">
        <v>10</v>
      </c>
    </row>
    <row r="95" spans="1:12" ht="15">
      <c r="A95" s="105">
        <v>3</v>
      </c>
      <c r="B95" s="106">
        <f>IF('P13'!A14="","",'P13'!A14)</f>
        <v>94</v>
      </c>
      <c r="C95" s="107">
        <f>IF('P13'!B14="","",'P13'!B14)</f>
        <v>92.84</v>
      </c>
      <c r="D95" s="106" t="str">
        <f>IF('P13'!C14="","",'P13'!C14)</f>
        <v>SM</v>
      </c>
      <c r="E95" s="108">
        <f>IF('P13'!D14="","",'P13'!D14)</f>
        <v>32393</v>
      </c>
      <c r="F95" s="109" t="str">
        <f>IF('P13'!F14="","",'P13'!F14)</f>
        <v>Håvard Grostad</v>
      </c>
      <c r="G95" s="109" t="str">
        <f>IF('P13'!G14="","",'P13'!G14)</f>
        <v>Nidelv IL</v>
      </c>
      <c r="H95" s="110">
        <f>IF('P13'!N14=0,"",'P13'!N14)</f>
        <v>139</v>
      </c>
      <c r="I95" s="110">
        <f>IF('P13'!O14=0,"",'P13'!O14)</f>
        <v>163</v>
      </c>
      <c r="J95" s="110">
        <f>IF('P13'!P14=0,"",'P13'!P14)</f>
        <v>302</v>
      </c>
      <c r="K95" s="112">
        <f>IF('P13'!Q14=0,"",'P13'!Q14)</f>
        <v>346.3813486424189</v>
      </c>
      <c r="L95" s="77">
        <v>9</v>
      </c>
    </row>
    <row r="96" spans="1:12" ht="15">
      <c r="A96" s="105">
        <v>4</v>
      </c>
      <c r="B96" s="106">
        <f>IF('P13'!A11="","",'P13'!A11)</f>
        <v>94</v>
      </c>
      <c r="C96" s="107">
        <f>IF('P13'!B11="","",'P13'!B11)</f>
        <v>92.61</v>
      </c>
      <c r="D96" s="106" t="str">
        <f>IF('P13'!C11="","",'P13'!C11)</f>
        <v>SM</v>
      </c>
      <c r="E96" s="108">
        <f>IF('P13'!D11="","",'P13'!D11)</f>
        <v>33365</v>
      </c>
      <c r="F96" s="109" t="str">
        <f>IF('P13'!F11="","",'P13'!F11)</f>
        <v>Phillip Houghton</v>
      </c>
      <c r="G96" s="109" t="str">
        <f>IF('P13'!G11="","",'P13'!G11)</f>
        <v>AK Bjørgvin</v>
      </c>
      <c r="H96" s="110">
        <f>IF('P13'!N11=0,"",'P13'!N11)</f>
        <v>115</v>
      </c>
      <c r="I96" s="110">
        <f>IF('P13'!O11=0,"",'P13'!O11)</f>
        <v>150</v>
      </c>
      <c r="J96" s="110">
        <f>IF('P13'!P11=0,"",'P13'!P11)</f>
        <v>265</v>
      </c>
      <c r="K96" s="112">
        <f>IF('P13'!Q11=0,"",'P13'!Q11)</f>
        <v>304.27266176198884</v>
      </c>
      <c r="L96" s="5">
        <v>8</v>
      </c>
    </row>
    <row r="97" spans="1:12" ht="15">
      <c r="A97" s="105">
        <v>5</v>
      </c>
      <c r="B97" s="106">
        <f>IF('P13'!A13="","",'P13'!A13)</f>
        <v>94</v>
      </c>
      <c r="C97" s="107">
        <f>IF('P13'!B13="","",'P13'!B13)</f>
        <v>92.68</v>
      </c>
      <c r="D97" s="106" t="str">
        <f>IF('P13'!C13="","",'P13'!C13)</f>
        <v>SM</v>
      </c>
      <c r="E97" s="108">
        <f>IF('P13'!D13="","",'P13'!D13)</f>
        <v>32848</v>
      </c>
      <c r="F97" s="109" t="str">
        <f>IF('P13'!F13="","",'P13'!F13)</f>
        <v>Jonas Fiskum Pedersen</v>
      </c>
      <c r="G97" s="109" t="str">
        <f>IF('P13'!G13="","",'P13'!G13)</f>
        <v>Grenland AK</v>
      </c>
      <c r="H97" s="110">
        <f>IF('P13'!N13=0,"",'P13'!N13)</f>
        <v>113</v>
      </c>
      <c r="I97" s="110">
        <f>IF('P13'!O13=0,"",'P13'!O13)</f>
        <v>136</v>
      </c>
      <c r="J97" s="110">
        <f>IF('P13'!P13=0,"",'P13'!P13)</f>
        <v>249</v>
      </c>
      <c r="K97" s="112">
        <f>IF('P13'!Q13=0,"",'P13'!Q13)</f>
        <v>285.8072200863656</v>
      </c>
      <c r="L97" s="5">
        <v>7</v>
      </c>
    </row>
    <row r="98" spans="1:12" ht="15">
      <c r="A98" s="105">
        <v>6</v>
      </c>
      <c r="B98" s="106">
        <f>IF('P4'!A16="","",'P4'!A16)</f>
        <v>94</v>
      </c>
      <c r="C98" s="107">
        <f>IF('P4'!B16="","",'P4'!B16)</f>
        <v>93</v>
      </c>
      <c r="D98" s="106" t="str">
        <f>IF('P4'!C16="","",'P4'!C16)</f>
        <v>M2</v>
      </c>
      <c r="E98" s="108">
        <f>IF('P4'!D16="","",'P4'!D16)</f>
        <v>26566</v>
      </c>
      <c r="F98" s="109" t="str">
        <f>IF('P4'!F16="","",'P4'!F16)</f>
        <v>Jarle Hammersvik</v>
      </c>
      <c r="G98" s="109" t="str">
        <f>IF('P4'!G16="","",'P4'!G16)</f>
        <v>Haugesund VK</v>
      </c>
      <c r="H98" s="110">
        <f>IF('P4'!N16=0,"",'P4'!N16)</f>
        <v>105</v>
      </c>
      <c r="I98" s="110">
        <f>IF('P4'!O16=0,"",'P4'!O16)</f>
        <v>140</v>
      </c>
      <c r="J98" s="110">
        <f>IF('P4'!P16=0,"",'P4'!P16)</f>
        <v>245</v>
      </c>
      <c r="K98" s="111">
        <f>IF('P4'!Q16=0,"",'P4'!Q16)</f>
        <v>280.79463033506863</v>
      </c>
      <c r="L98" s="77">
        <v>6</v>
      </c>
    </row>
    <row r="99" spans="1:12" ht="15">
      <c r="A99" s="105">
        <v>7</v>
      </c>
      <c r="B99" s="106">
        <f>IF('P13'!A12="","",'P13'!A12)</f>
        <v>94</v>
      </c>
      <c r="C99" s="107">
        <f>IF('P13'!B12="","",'P13'!B12)</f>
        <v>86.82</v>
      </c>
      <c r="D99" s="106" t="str">
        <f>IF('P13'!C12="","",'P13'!C12)</f>
        <v>SM</v>
      </c>
      <c r="E99" s="108">
        <f>IF('P13'!D12="","",'P13'!D12)</f>
        <v>32990</v>
      </c>
      <c r="F99" s="109" t="str">
        <f>IF('P13'!F12="","",'P13'!F12)</f>
        <v>Dag Aleksander Klethagen</v>
      </c>
      <c r="G99" s="109" t="str">
        <f>IF('P13'!G12="","",'P13'!G12)</f>
        <v>Gjøvik AK</v>
      </c>
      <c r="H99" s="110">
        <f>IF('P13'!N12=0,"",'P13'!N12)</f>
        <v>102</v>
      </c>
      <c r="I99" s="110">
        <f>IF('P13'!O12=0,"",'P13'!O12)</f>
        <v>130</v>
      </c>
      <c r="J99" s="110">
        <f>IF('P13'!P12=0,"",'P13'!P12)</f>
        <v>232</v>
      </c>
      <c r="K99" s="112">
        <f>IF('P13'!Q12=0,"",'P13'!Q12)</f>
        <v>274.39332411762956</v>
      </c>
      <c r="L99" s="5">
        <v>5</v>
      </c>
    </row>
    <row r="100" spans="1:12" ht="15">
      <c r="A100" s="105">
        <v>8</v>
      </c>
      <c r="B100" s="106">
        <f>IF('P13'!A10="","",'P13'!A10)</f>
        <v>94</v>
      </c>
      <c r="C100" s="107">
        <f>IF('P13'!B10="","",'P13'!B10)</f>
        <v>89.35</v>
      </c>
      <c r="D100" s="106" t="str">
        <f>IF('P13'!C10="","",'P13'!C10)</f>
        <v>SM</v>
      </c>
      <c r="E100" s="108">
        <f>IF('P13'!D10="","",'P13'!D10)</f>
        <v>31033</v>
      </c>
      <c r="F100" s="109" t="str">
        <f>IF('P13'!F10="","",'P13'!F10)</f>
        <v>Lubomir Kafonek</v>
      </c>
      <c r="G100" s="109" t="str">
        <f>IF('P13'!G10="","",'P13'!G10)</f>
        <v>Trondheim AK</v>
      </c>
      <c r="H100" s="110">
        <f>IF('P13'!N10=0,"",'P13'!N10)</f>
        <v>105</v>
      </c>
      <c r="I100" s="110">
        <f>IF('P13'!O10=0,"",'P13'!O10)</f>
        <v>125</v>
      </c>
      <c r="J100" s="110">
        <f>IF('P13'!P10=0,"",'P13'!P10)</f>
        <v>230</v>
      </c>
      <c r="K100" s="112">
        <f>IF('P13'!Q10=0,"",'P13'!Q10)</f>
        <v>268.3698281499808</v>
      </c>
      <c r="L100" s="5">
        <v>4</v>
      </c>
    </row>
    <row r="101" spans="1:12" ht="15">
      <c r="A101" s="105">
        <v>9</v>
      </c>
      <c r="B101" s="106">
        <f>IF('P3'!A19="","",'P3'!A19)</f>
        <v>94</v>
      </c>
      <c r="C101" s="107">
        <f>IF('P3'!B19="","",'P3'!B19)</f>
        <v>92.72</v>
      </c>
      <c r="D101" s="106" t="str">
        <f>IF('P3'!C19="","",'P3'!C19)</f>
        <v>M4</v>
      </c>
      <c r="E101" s="108">
        <f>IF('P3'!D19="","",'P3'!D19)</f>
        <v>22864</v>
      </c>
      <c r="F101" s="109" t="str">
        <f>IF('P3'!F19="","",'P3'!F19)</f>
        <v>Petter N. Sæterdal</v>
      </c>
      <c r="G101" s="109" t="str">
        <f>IF('P3'!G19="","",'P3'!G19)</f>
        <v>AK Bjørgvin</v>
      </c>
      <c r="H101" s="110">
        <f>IF('P3'!N19=0,"",'P3'!N19)</f>
        <v>102</v>
      </c>
      <c r="I101" s="110">
        <f>IF('P3'!O19=0,"",'P3'!O19)</f>
        <v>117</v>
      </c>
      <c r="J101" s="110">
        <f>IF('P3'!P19=0,"",'P3'!P19)</f>
        <v>219</v>
      </c>
      <c r="K101" s="111">
        <f>IF('P3'!Q19=0,"",'P3'!Q19)</f>
        <v>251.32532562993563</v>
      </c>
      <c r="L101" s="77">
        <v>3</v>
      </c>
    </row>
    <row r="102" spans="1:12" ht="15">
      <c r="A102" s="105">
        <v>10</v>
      </c>
      <c r="B102" s="106">
        <f>IF('P13'!A15="","",'P13'!A15)</f>
        <v>94</v>
      </c>
      <c r="C102" s="107">
        <f>IF('P13'!B15="","",'P13'!B15)</f>
        <v>87.4</v>
      </c>
      <c r="D102" s="106" t="str">
        <f>IF('P13'!C15="","",'P13'!C15)</f>
        <v>SM</v>
      </c>
      <c r="E102" s="108">
        <f>IF('P13'!D15="","",'P13'!D15)</f>
        <v>32829</v>
      </c>
      <c r="F102" s="109" t="str">
        <f>IF('P13'!F15="","",'P13'!F15)</f>
        <v>Bjørnar Wold</v>
      </c>
      <c r="G102" s="109" t="str">
        <f>IF('P13'!G15="","",'P13'!G15)</f>
        <v>Spydeberg Atletene</v>
      </c>
      <c r="H102" s="110">
        <f>IF('P13'!N15=0,"",'P13'!N15)</f>
        <v>97</v>
      </c>
      <c r="I102" s="110">
        <f>IF('P13'!O15=0,"",'P13'!O15)</f>
        <v>120</v>
      </c>
      <c r="J102" s="110">
        <f>IF('P13'!P15=0,"",'P13'!P15)</f>
        <v>217</v>
      </c>
      <c r="K102" s="112">
        <f>IF('P13'!Q15=0,"",'P13'!Q15)</f>
        <v>255.83523808624489</v>
      </c>
      <c r="L102" s="5">
        <v>2</v>
      </c>
    </row>
    <row r="103" spans="1:11" ht="15">
      <c r="A103" s="105"/>
      <c r="B103" s="106">
        <f>IF('P13'!A9="","",'P13'!A9)</f>
        <v>94</v>
      </c>
      <c r="C103" s="107">
        <f>IF('P13'!B9="","",'P13'!B9)</f>
        <v>92.67</v>
      </c>
      <c r="D103" s="106" t="str">
        <f>IF('P13'!C9="","",'P13'!C9)</f>
        <v>JM</v>
      </c>
      <c r="E103" s="108">
        <f>IF('P13'!D9="","",'P13'!D9)</f>
        <v>34774</v>
      </c>
      <c r="F103" s="109" t="str">
        <f>IF('P13'!F9="","",'P13'!F9)</f>
        <v>Tore Gjøringbø</v>
      </c>
      <c r="G103" s="109" t="str">
        <f>IF('P13'!G9="","",'P13'!G9)</f>
        <v>Tambarskjelvar IL</v>
      </c>
      <c r="H103" s="110">
        <f>IF('P13'!N9=0,"",'P13'!N9)</f>
        <v>127</v>
      </c>
      <c r="I103" s="110">
        <f>IF('P13'!O9=0,"",'P13'!O9)</f>
      </c>
      <c r="J103" s="110">
        <f>IF('P13'!P9=0,"",'P13'!P9)</f>
      </c>
      <c r="K103" s="112">
        <f>IF('P13'!Q9=0,"",'P13'!Q9)</f>
      </c>
    </row>
    <row r="104" spans="1:11" ht="15">
      <c r="A104" s="105"/>
      <c r="B104" s="106"/>
      <c r="C104" s="107"/>
      <c r="D104" s="106"/>
      <c r="E104" s="108"/>
      <c r="F104" s="109"/>
      <c r="G104" s="109"/>
      <c r="H104" s="110"/>
      <c r="I104" s="110"/>
      <c r="J104" s="110"/>
      <c r="K104" s="112"/>
    </row>
    <row r="105" spans="1:12" ht="15">
      <c r="A105" s="105">
        <v>1</v>
      </c>
      <c r="B105" s="106">
        <f>IF('P14'!A10="","",'P14'!A10)</f>
        <v>105</v>
      </c>
      <c r="C105" s="107">
        <f>IF('P14'!B10="","",'P14'!B10)</f>
        <v>98.31</v>
      </c>
      <c r="D105" s="106" t="str">
        <f>IF('P14'!C10="","",'P14'!C10)</f>
        <v>SM</v>
      </c>
      <c r="E105" s="108">
        <f>IF('P14'!D10="","",'P14'!D10)</f>
        <v>29863</v>
      </c>
      <c r="F105" s="109" t="str">
        <f>IF('P14'!F10="","",'P14'!F10)</f>
        <v>Per Hordnes</v>
      </c>
      <c r="G105" s="109" t="str">
        <f>IF('P14'!G10="","",'P14'!G10)</f>
        <v>AK Bjørgvin</v>
      </c>
      <c r="H105" s="110">
        <f>IF('P14'!N10=0,"",'P14'!N10)</f>
        <v>141</v>
      </c>
      <c r="I105" s="110">
        <f>IF('P14'!O10=0,"",'P14'!O10)</f>
        <v>177</v>
      </c>
      <c r="J105" s="110">
        <f>IF('P14'!P10=0,"",'P14'!P10)</f>
        <v>318</v>
      </c>
      <c r="K105" s="112">
        <f>IF('P14'!Q10=0,"",'P14'!Q10)</f>
        <v>356.16477616640884</v>
      </c>
      <c r="L105" s="5">
        <v>12</v>
      </c>
    </row>
    <row r="106" spans="1:12" ht="15">
      <c r="A106" s="105">
        <v>2</v>
      </c>
      <c r="B106" s="106">
        <f>IF('P14'!A15="","",'P14'!A15)</f>
        <v>105</v>
      </c>
      <c r="C106" s="107">
        <f>IF('P14'!B15="","",'P14'!B15)</f>
        <v>104.46</v>
      </c>
      <c r="D106" s="106" t="str">
        <f>IF('P14'!C15="","",'P14'!C15)</f>
        <v>M1</v>
      </c>
      <c r="E106" s="108">
        <f>IF('P14'!D15="","",'P14'!D15)</f>
        <v>27849</v>
      </c>
      <c r="F106" s="109" t="str">
        <f>IF('P14'!F15="","",'P14'!F15)</f>
        <v>Børge Aadland</v>
      </c>
      <c r="G106" s="109" t="str">
        <f>IF('P14'!G15="","",'P14'!G15)</f>
        <v>AK Bjørgvin</v>
      </c>
      <c r="H106" s="110">
        <f>IF('P14'!N15=0,"",'P14'!N15)</f>
        <v>120</v>
      </c>
      <c r="I106" s="110">
        <f>IF('P14'!O15=0,"",'P14'!O15)</f>
        <v>165</v>
      </c>
      <c r="J106" s="110">
        <f>IF('P14'!P15=0,"",'P14'!P15)</f>
        <v>285</v>
      </c>
      <c r="K106" s="112">
        <f>IF('P14'!Q15=0,"",'P14'!Q15)</f>
        <v>312.0315388833473</v>
      </c>
      <c r="L106" s="5">
        <v>10</v>
      </c>
    </row>
    <row r="107" spans="1:12" ht="15">
      <c r="A107" s="105">
        <v>3</v>
      </c>
      <c r="B107" s="106">
        <f>IF('P14'!A18="","",'P14'!A18)</f>
        <v>105</v>
      </c>
      <c r="C107" s="107">
        <f>IF('P14'!B18="","",'P14'!B18)</f>
        <v>95.6</v>
      </c>
      <c r="D107" s="106" t="str">
        <f>IF('P14'!C18="","",'P14'!C18)</f>
        <v>SM</v>
      </c>
      <c r="E107" s="108">
        <f>IF('P14'!D18="","",'P14'!D18)</f>
        <v>31951</v>
      </c>
      <c r="F107" s="109" t="str">
        <f>IF('P14'!F18="","",'P14'!F18)</f>
        <v>Tor Kristoffer Klethagen</v>
      </c>
      <c r="G107" s="109" t="str">
        <f>IF('P14'!G18="","",'P14'!G18)</f>
        <v>Gjøvik AK</v>
      </c>
      <c r="H107" s="110">
        <f>IF('P14'!N18=0,"",'P14'!N18)</f>
        <v>121</v>
      </c>
      <c r="I107" s="110">
        <f>IF('P14'!O18=0,"",'P14'!O18)</f>
        <v>135</v>
      </c>
      <c r="J107" s="110">
        <f>IF('P14'!P18=0,"",'P14'!P18)</f>
        <v>256</v>
      </c>
      <c r="K107" s="112">
        <f>IF('P14'!Q18=0,"",'P14'!Q18)</f>
        <v>289.9892812947968</v>
      </c>
      <c r="L107" s="5">
        <v>9</v>
      </c>
    </row>
    <row r="108" spans="1:12" ht="15">
      <c r="A108" s="105">
        <v>4</v>
      </c>
      <c r="B108" s="106">
        <f>IF('P14'!A17="","",'P14'!A17)</f>
        <v>105</v>
      </c>
      <c r="C108" s="107">
        <f>IF('P14'!B17="","",'P14'!B17)</f>
        <v>97.3</v>
      </c>
      <c r="D108" s="106" t="str">
        <f>IF('P14'!C17="","",'P14'!C17)</f>
        <v>M4</v>
      </c>
      <c r="E108" s="108">
        <f>IF('P14'!D17="","",'P14'!D17)</f>
        <v>24011</v>
      </c>
      <c r="F108" s="109" t="str">
        <f>IF('P14'!F17="","",'P14'!F17)</f>
        <v>Alexander Bahmanyar</v>
      </c>
      <c r="G108" s="109" t="str">
        <f>IF('P14'!G17="","",'P14'!G17)</f>
        <v>Spydeberg Atletene</v>
      </c>
      <c r="H108" s="110">
        <f>IF('P14'!N17=0,"",'P14'!N17)</f>
        <v>105</v>
      </c>
      <c r="I108" s="110">
        <f>IF('P14'!O17=0,"",'P14'!O17)</f>
        <v>141</v>
      </c>
      <c r="J108" s="110">
        <f>IF('P14'!P17=0,"",'P14'!P17)</f>
        <v>246</v>
      </c>
      <c r="K108" s="112">
        <f>IF('P14'!Q17=0,"",'P14'!Q17)</f>
        <v>276.66142399201357</v>
      </c>
      <c r="L108" s="5">
        <v>8</v>
      </c>
    </row>
    <row r="109" spans="1:12" ht="15">
      <c r="A109" s="105">
        <v>5</v>
      </c>
      <c r="B109" s="106">
        <f>IF('P14'!A9="","",'P14'!A9)</f>
        <v>105</v>
      </c>
      <c r="C109" s="107">
        <f>IF('P14'!B9="","",'P14'!B9)</f>
        <v>102.4</v>
      </c>
      <c r="D109" s="106" t="str">
        <f>IF('P14'!C9="","",'P14'!C9)</f>
        <v>JM</v>
      </c>
      <c r="E109" s="108">
        <f>IF('P14'!D9="","",'P14'!D9)</f>
        <v>34852</v>
      </c>
      <c r="F109" s="109" t="str">
        <f>IF('P14'!F9="","",'P14'!F9)</f>
        <v>Hans Magnus Kleven</v>
      </c>
      <c r="G109" s="109" t="str">
        <f>IF('P14'!G9="","",'P14'!G9)</f>
        <v>Spydeberg Atletene</v>
      </c>
      <c r="H109" s="110">
        <f>IF('P14'!N9=0,"",'P14'!N9)</f>
        <v>110</v>
      </c>
      <c r="I109" s="110">
        <f>IF('P14'!O9=0,"",'P14'!O9)</f>
        <v>130</v>
      </c>
      <c r="J109" s="110">
        <f>IF('P14'!P9=0,"",'P14'!P9)</f>
        <v>240</v>
      </c>
      <c r="K109" s="112">
        <f>IF('P14'!Q9=0,"",'P14'!Q9)</f>
        <v>264.6568282578996</v>
      </c>
      <c r="L109" s="77">
        <v>7</v>
      </c>
    </row>
    <row r="110" spans="1:12" ht="15">
      <c r="A110" s="105">
        <v>6</v>
      </c>
      <c r="B110" s="106">
        <f>IF('P14'!A14="","",'P14'!A14)</f>
        <v>105</v>
      </c>
      <c r="C110" s="107">
        <f>IF('P14'!B14="","",'P14'!B14)</f>
        <v>99.9</v>
      </c>
      <c r="D110" s="106" t="str">
        <f>IF('P14'!C14="","",'P14'!C14)</f>
        <v>SM</v>
      </c>
      <c r="E110" s="108">
        <f>IF('P14'!D14="","",'P14'!D14)</f>
        <v>32405</v>
      </c>
      <c r="F110" s="109" t="str">
        <f>IF('P14'!F14="","",'P14'!F14)</f>
        <v>Lars Joachim Nilsen</v>
      </c>
      <c r="G110" s="109" t="str">
        <f>IF('P14'!G14="","",'P14'!G14)</f>
        <v>T &amp; IL National</v>
      </c>
      <c r="H110" s="110">
        <f>IF('P14'!N14=0,"",'P14'!N14)</f>
        <v>106</v>
      </c>
      <c r="I110" s="110">
        <f>IF('P14'!O14=0,"",'P14'!O14)</f>
        <v>133</v>
      </c>
      <c r="J110" s="110">
        <f>IF('P14'!P14=0,"",'P14'!P14)</f>
        <v>239</v>
      </c>
      <c r="K110" s="112">
        <f>IF('P14'!Q14=0,"",'P14'!Q14)</f>
        <v>266.01411555732983</v>
      </c>
      <c r="L110" s="5">
        <v>6</v>
      </c>
    </row>
    <row r="111" spans="1:12" ht="15">
      <c r="A111" s="105">
        <v>7</v>
      </c>
      <c r="B111" s="106">
        <f>IF('P14'!A16="","",'P14'!A16)</f>
        <v>105</v>
      </c>
      <c r="C111" s="107">
        <f>IF('P14'!B16="","",'P14'!B16)</f>
        <v>96.72</v>
      </c>
      <c r="D111" s="106" t="str">
        <f>IF('P14'!C16="","",'P14'!C16)</f>
        <v>M2</v>
      </c>
      <c r="E111" s="108">
        <f>IF('P14'!D16="","",'P14'!D16)</f>
        <v>26790</v>
      </c>
      <c r="F111" s="109" t="str">
        <f>IF('P14'!F16="","",'P14'!F16)</f>
        <v>Ronny Fevåg</v>
      </c>
      <c r="G111" s="109" t="str">
        <f>IF('P14'!G16="","",'P14'!G16)</f>
        <v>Trondheim AK</v>
      </c>
      <c r="H111" s="110">
        <f>IF('P14'!N16=0,"",'P14'!N16)</f>
        <v>105</v>
      </c>
      <c r="I111" s="110">
        <f>IF('P14'!O16=0,"",'P14'!O16)</f>
        <v>130</v>
      </c>
      <c r="J111" s="110">
        <f>IF('P14'!P16=0,"",'P14'!P16)</f>
        <v>235</v>
      </c>
      <c r="K111" s="112">
        <f>IF('P14'!Q16=0,"",'P14'!Q16)</f>
        <v>264.9305905200904</v>
      </c>
      <c r="L111" s="5">
        <v>5</v>
      </c>
    </row>
    <row r="112" spans="1:12" ht="15">
      <c r="A112" s="105">
        <v>8</v>
      </c>
      <c r="B112" s="106">
        <f>IF('P14'!A11="","",'P14'!A11)</f>
        <v>105</v>
      </c>
      <c r="C112" s="107">
        <f>IF('P14'!B11="","",'P14'!B11)</f>
        <v>103.93</v>
      </c>
      <c r="D112" s="106" t="str">
        <f>IF('P14'!C11="","",'P14'!C11)</f>
        <v>JM</v>
      </c>
      <c r="E112" s="108">
        <f>IF('P14'!D11="","",'P14'!D11)</f>
        <v>35434</v>
      </c>
      <c r="F112" s="109" t="str">
        <f>IF('P14'!F11="","",'P14'!F11)</f>
        <v>Ole Magnus Strand</v>
      </c>
      <c r="G112" s="109" t="str">
        <f>IF('P14'!G11="","",'P14'!G11)</f>
        <v>Hitra VK</v>
      </c>
      <c r="H112" s="110">
        <f>IF('P14'!N11=0,"",'P14'!N11)</f>
        <v>105</v>
      </c>
      <c r="I112" s="110">
        <f>IF('P14'!O11=0,"",'P14'!O11)</f>
        <v>130</v>
      </c>
      <c r="J112" s="110">
        <f>IF('P14'!P11=0,"",'P14'!P11)</f>
        <v>235</v>
      </c>
      <c r="K112" s="112">
        <f>IF('P14'!Q11=0,"",'P14'!Q11)</f>
        <v>257.75466874157604</v>
      </c>
      <c r="L112" s="5">
        <v>4</v>
      </c>
    </row>
    <row r="113" spans="1:12" ht="15">
      <c r="A113" s="105">
        <v>9</v>
      </c>
      <c r="B113" s="106">
        <f>IF('P14'!A12="","",'P14'!A12)</f>
        <v>105</v>
      </c>
      <c r="C113" s="107">
        <f>IF('P14'!B12="","",'P14'!B12)</f>
        <v>98.9</v>
      </c>
      <c r="D113" s="106" t="str">
        <f>IF('P14'!C12="","",'P14'!C12)</f>
        <v>SM</v>
      </c>
      <c r="E113" s="108">
        <f>IF('P14'!D12="","",'P14'!D12)</f>
        <v>32943</v>
      </c>
      <c r="F113" s="109" t="str">
        <f>IF('P14'!F12="","",'P14'!F12)</f>
        <v>Bjørn-Arild Masvik</v>
      </c>
      <c r="G113" s="109" t="str">
        <f>IF('P14'!G12="","",'P14'!G12)</f>
        <v>Nidelv IL</v>
      </c>
      <c r="H113" s="110">
        <f>IF('P14'!N12=0,"",'P14'!N12)</f>
        <v>105</v>
      </c>
      <c r="I113" s="110">
        <f>IF('P14'!O12=0,"",'P14'!O12)</f>
        <v>127</v>
      </c>
      <c r="J113" s="110">
        <f>IF('P14'!P12=0,"",'P14'!P12)</f>
        <v>232</v>
      </c>
      <c r="K113" s="112">
        <f>IF('P14'!Q12=0,"",'P14'!Q12)</f>
        <v>259.23253073633407</v>
      </c>
      <c r="L113" s="5">
        <v>3</v>
      </c>
    </row>
    <row r="114" spans="1:11" ht="15">
      <c r="A114" s="105"/>
      <c r="B114" s="106">
        <f>IF('P14'!A13="","",'P14'!A13)</f>
        <v>105</v>
      </c>
      <c r="C114" s="107">
        <f>IF('P14'!B13="","",'P14'!B13)</f>
        <v>104.94</v>
      </c>
      <c r="D114" s="106" t="str">
        <f>IF('P14'!C13="","",'P14'!C13)</f>
        <v>SM</v>
      </c>
      <c r="E114" s="108">
        <f>IF('P14'!D13="","",'P14'!D13)</f>
        <v>30743</v>
      </c>
      <c r="F114" s="109" t="str">
        <f>IF('P14'!F13="","",'P14'!F13)</f>
        <v>Ørjan Hagelund</v>
      </c>
      <c r="G114" s="109" t="str">
        <f>IF('P14'!G13="","",'P14'!G13)</f>
        <v>Stavanger VK</v>
      </c>
      <c r="H114" s="110">
        <f>IF('P14'!N13=0,"",'P14'!N13)</f>
      </c>
      <c r="I114" s="110">
        <f>IF('P14'!O13=0,"",'P14'!O13)</f>
      </c>
      <c r="J114" s="110">
        <f>IF('P14'!P13=0,"",'P14'!P13)</f>
      </c>
      <c r="K114" s="112">
        <f>IF('P14'!Q13=0,"",'P14'!Q13)</f>
      </c>
    </row>
    <row r="115" spans="1:12" ht="15">
      <c r="A115" s="105"/>
      <c r="B115" s="106"/>
      <c r="C115" s="107"/>
      <c r="D115" s="106"/>
      <c r="E115" s="108"/>
      <c r="F115" s="109"/>
      <c r="G115" s="109"/>
      <c r="H115" s="110"/>
      <c r="I115" s="110"/>
      <c r="J115" s="110"/>
      <c r="K115" s="111"/>
      <c r="L115" s="77"/>
    </row>
    <row r="116" spans="1:12" ht="15">
      <c r="A116" s="105">
        <v>1</v>
      </c>
      <c r="B116" s="106" t="str">
        <f>IF('P14'!A21="","",'P14'!A21)</f>
        <v>+105</v>
      </c>
      <c r="C116" s="107">
        <f>IF('P14'!B21="","",'P14'!B21)</f>
        <v>112.96</v>
      </c>
      <c r="D116" s="106" t="str">
        <f>IF('P14'!C21="","",'P14'!C21)</f>
        <v>SM</v>
      </c>
      <c r="E116" s="108">
        <f>IF('P14'!D21="","",'P14'!D21)</f>
        <v>32866</v>
      </c>
      <c r="F116" s="109" t="str">
        <f>IF('P14'!F21="","",'P14'!F21)</f>
        <v>Kim Eirik Tollefsen</v>
      </c>
      <c r="G116" s="109" t="str">
        <f>IF('P14'!G21="","",'P14'!G21)</f>
        <v>Tønsberg-Kam.</v>
      </c>
      <c r="H116" s="110">
        <f>IF('P14'!N21=0,"",'P14'!N21)</f>
        <v>155</v>
      </c>
      <c r="I116" s="110">
        <f>IF('P14'!O21=0,"",'P14'!O21)</f>
        <v>188</v>
      </c>
      <c r="J116" s="110">
        <f>IF('P14'!P21=0,"",'P14'!P21)</f>
        <v>343</v>
      </c>
      <c r="K116" s="112">
        <f>IF('P14'!Q21=0,"",'P14'!Q21)</f>
        <v>366.0586849970283</v>
      </c>
      <c r="L116" s="5">
        <v>12</v>
      </c>
    </row>
    <row r="117" spans="1:12" ht="15">
      <c r="A117" s="105">
        <v>2</v>
      </c>
      <c r="B117" s="106" t="str">
        <f>IF('P14'!A20="","",'P14'!A20)</f>
        <v>+105</v>
      </c>
      <c r="C117" s="107">
        <f>IF('P14'!B20="","",'P14'!B20)</f>
        <v>129.52</v>
      </c>
      <c r="D117" s="106" t="str">
        <f>IF('P14'!C20="","",'P14'!C20)</f>
        <v>SM</v>
      </c>
      <c r="E117" s="108">
        <f>IF('P14'!D20="","",'P14'!D20)</f>
        <v>33062</v>
      </c>
      <c r="F117" s="109" t="str">
        <f>IF('P14'!F20="","",'P14'!F20)</f>
        <v>Vebjørn Varlid</v>
      </c>
      <c r="G117" s="109" t="str">
        <f>IF('P14'!G20="","",'P14'!G20)</f>
        <v>Tambarskjelvar IL</v>
      </c>
      <c r="H117" s="110">
        <f>IF('P14'!N20=0,"",'P14'!N20)</f>
        <v>156</v>
      </c>
      <c r="I117" s="110">
        <f>IF('P14'!O20=0,"",'P14'!O20)</f>
        <v>175</v>
      </c>
      <c r="J117" s="110">
        <f>IF('P14'!P20=0,"",'P14'!P20)</f>
        <v>331</v>
      </c>
      <c r="K117" s="112">
        <f>IF('P14'!Q20=0,"",'P14'!Q20)</f>
        <v>341.2607413662802</v>
      </c>
      <c r="L117" s="5">
        <v>10</v>
      </c>
    </row>
    <row r="118" spans="1:12" ht="15">
      <c r="A118" s="105">
        <v>3</v>
      </c>
      <c r="B118" s="106" t="str">
        <f>IF('P14'!A19="","",'P14'!A19)</f>
        <v>+105</v>
      </c>
      <c r="C118" s="107">
        <f>IF('P14'!B19="","",'P14'!B19)</f>
        <v>131.86</v>
      </c>
      <c r="D118" s="106" t="str">
        <f>IF('P14'!C19="","",'P14'!C19)</f>
        <v>SM</v>
      </c>
      <c r="E118" s="108">
        <f>IF('P14'!D19="","",'P14'!D19)</f>
        <v>29981</v>
      </c>
      <c r="F118" s="109" t="str">
        <f>IF('P14'!F19="","",'P14'!F19)</f>
        <v>Kenneth Heidenberg</v>
      </c>
      <c r="G118" s="109" t="str">
        <f>IF('P14'!G19="","",'P14'!G19)</f>
        <v>T &amp; IL National</v>
      </c>
      <c r="H118" s="110">
        <f>IF('P14'!N19=0,"",'P14'!N19)</f>
        <v>132</v>
      </c>
      <c r="I118" s="110">
        <f>IF('P14'!O19=0,"",'P14'!O19)</f>
        <v>165</v>
      </c>
      <c r="J118" s="110">
        <f>IF('P14'!P19=0,"",'P14'!P19)</f>
        <v>297</v>
      </c>
      <c r="K118" s="112">
        <f>IF('P14'!Q19=0,"",'P14'!Q19)</f>
        <v>305.1172416512244</v>
      </c>
      <c r="L118" s="5">
        <v>9</v>
      </c>
    </row>
    <row r="119" spans="1:12" ht="15">
      <c r="A119" s="105">
        <v>4</v>
      </c>
      <c r="B119" s="106" t="str">
        <f>IF('P14'!A22="","",'P14'!A22)</f>
        <v>+105</v>
      </c>
      <c r="C119" s="107">
        <f>IF('P14'!B22="","",'P14'!B22)</f>
        <v>119.04</v>
      </c>
      <c r="D119" s="106" t="str">
        <f>IF('P14'!C22="","",'P14'!C22)</f>
        <v>SM</v>
      </c>
      <c r="E119" s="108">
        <f>IF('P14'!D22="","",'P14'!D22)</f>
        <v>32442</v>
      </c>
      <c r="F119" s="109" t="str">
        <f>IF('P14'!F22="","",'P14'!F22)</f>
        <v>Jon Peter Ueland</v>
      </c>
      <c r="G119" s="109" t="str">
        <f>IF('P14'!G22="","",'P14'!G22)</f>
        <v>Vigrestad IK</v>
      </c>
      <c r="H119" s="110">
        <f>IF('P14'!N22=0,"",'P14'!N22)</f>
        <v>121</v>
      </c>
      <c r="I119" s="110">
        <f>IF('P14'!O22=0,"",'P14'!O22)</f>
        <v>150</v>
      </c>
      <c r="J119" s="110">
        <f>IF('P14'!P22=0,"",'P14'!P22)</f>
        <v>271</v>
      </c>
      <c r="K119" s="112">
        <f>IF('P14'!Q22=0,"",'P14'!Q22)</f>
        <v>284.9806865140377</v>
      </c>
      <c r="L119" s="77">
        <v>8</v>
      </c>
    </row>
    <row r="120" spans="1:12" ht="15">
      <c r="A120" s="105">
        <v>5</v>
      </c>
      <c r="B120" s="106" t="str">
        <f>IF('P4'!A18="","",'P4'!A18)</f>
        <v>+105</v>
      </c>
      <c r="C120" s="107">
        <f>IF('P4'!B18="","",'P4'!B18)</f>
        <v>115.96</v>
      </c>
      <c r="D120" s="106" t="str">
        <f>IF('P4'!C18="","",'P4'!C18)</f>
        <v>M2</v>
      </c>
      <c r="E120" s="108">
        <f>IF('P4'!D18="","",'P4'!D18)</f>
        <v>26048</v>
      </c>
      <c r="F120" s="109" t="str">
        <f>IF('P4'!F18="","",'P4'!F18)</f>
        <v>Geir Johansen</v>
      </c>
      <c r="G120" s="109" t="str">
        <f>IF('P4'!G18="","",'P4'!G18)</f>
        <v>Lenja AK</v>
      </c>
      <c r="H120" s="110">
        <f>IF('P4'!N18=0,"",'P4'!N18)</f>
        <v>116</v>
      </c>
      <c r="I120" s="110">
        <f>IF('P4'!O18=0,"",'P4'!O18)</f>
        <v>151</v>
      </c>
      <c r="J120" s="110">
        <f>IF('P4'!P18=0,"",'P4'!P18)</f>
        <v>267</v>
      </c>
      <c r="K120" s="111">
        <f>IF('P4'!Q18=0,"",'P4'!Q18)</f>
        <v>282.7872650549261</v>
      </c>
      <c r="L120" s="5">
        <v>7</v>
      </c>
    </row>
    <row r="121" spans="1:12" ht="15">
      <c r="A121" s="105"/>
      <c r="B121" s="106">
        <f>IF('P12'!A24="","",'P12'!A24)</f>
      </c>
      <c r="C121" s="107">
        <f>IF('P12'!B24="","",'P12'!B24)</f>
      </c>
      <c r="D121" s="106">
        <f>IF('P12'!C24="","",'P12'!C24)</f>
      </c>
      <c r="E121" s="108">
        <f>IF('P12'!D24="","",'P12'!D24)</f>
      </c>
      <c r="F121" s="109">
        <f>IF('P12'!F24="","",'P12'!F24)</f>
      </c>
      <c r="G121" s="109">
        <f>IF('P12'!G24="","",'P12'!G24)</f>
      </c>
      <c r="H121" s="110">
        <f>IF('P12'!N24=0,"",'P12'!N24)</f>
      </c>
      <c r="I121" s="110">
        <f>IF('P12'!O24=0,"",'P12'!O24)</f>
      </c>
      <c r="J121" s="110">
        <f>IF('P12'!P24=0,"",'P12'!P24)</f>
      </c>
      <c r="K121" s="112">
        <f>IF('P12'!Q24=0,"",'P12'!Q24)</f>
      </c>
      <c r="L121">
        <f>SUM(L5:L120)</f>
        <v>686</v>
      </c>
    </row>
    <row r="122" spans="3:11" ht="17.25">
      <c r="C122" s="72"/>
      <c r="E122" s="191" t="s">
        <v>140</v>
      </c>
      <c r="F122" s="191"/>
      <c r="G122" s="191"/>
      <c r="K122"/>
    </row>
    <row r="123" spans="3:11" ht="17.25">
      <c r="C123" s="72"/>
      <c r="E123" s="165">
        <v>1</v>
      </c>
      <c r="F123" s="166" t="s">
        <v>110</v>
      </c>
      <c r="G123" s="167">
        <f>SUM(L5,L28,L31,L32,L33,L41,L80,L82,L96,L101,L105,L106)</f>
        <v>103</v>
      </c>
      <c r="K123" s="168"/>
    </row>
    <row r="124" spans="3:11" ht="17.25">
      <c r="C124" s="72"/>
      <c r="E124" s="165">
        <v>2</v>
      </c>
      <c r="F124" s="166" t="s">
        <v>136</v>
      </c>
      <c r="G124" s="167">
        <f>SUM(L12,L20,L30,L55,L91,L93,L117)</f>
        <v>69</v>
      </c>
      <c r="J124" s="169"/>
      <c r="K124" s="168"/>
    </row>
    <row r="125" spans="3:11" ht="17.25">
      <c r="C125" s="72"/>
      <c r="E125" s="165">
        <v>3</v>
      </c>
      <c r="F125" s="166" t="s">
        <v>50</v>
      </c>
      <c r="G125" s="167">
        <f>SUM(L14,L38,L49,L56,L68,L72,L76,L81,L102,L108,L109)</f>
        <v>64</v>
      </c>
      <c r="K125" s="168"/>
    </row>
    <row r="126" spans="3:11" ht="17.25">
      <c r="C126" s="72"/>
      <c r="E126" s="165">
        <v>3</v>
      </c>
      <c r="F126" s="166" t="s">
        <v>134</v>
      </c>
      <c r="G126" s="167">
        <f>SUM(L11,L35,L36,L48,L53,L70,L99,L107)</f>
        <v>64</v>
      </c>
      <c r="J126" s="169"/>
      <c r="K126" s="168"/>
    </row>
    <row r="127" spans="3:11" ht="17.25">
      <c r="C127" s="72"/>
      <c r="E127" s="165">
        <v>5</v>
      </c>
      <c r="F127" s="166" t="s">
        <v>57</v>
      </c>
      <c r="G127" s="167">
        <f>SUM(L23,L24,L42,L43,L44,L60,L71,L74,L75,L100,L111)</f>
        <v>58</v>
      </c>
      <c r="K127" s="168"/>
    </row>
    <row r="128" spans="3:11" ht="17.25">
      <c r="C128" s="72"/>
      <c r="E128" s="165">
        <v>6</v>
      </c>
      <c r="F128" s="166" t="s">
        <v>59</v>
      </c>
      <c r="G128" s="167">
        <f>SUM(L62,L66,L83,L85,L119)</f>
        <v>39</v>
      </c>
      <c r="J128" s="169"/>
      <c r="K128" s="168"/>
    </row>
    <row r="129" spans="3:11" ht="17.25">
      <c r="C129" s="72"/>
      <c r="E129" s="165">
        <v>7</v>
      </c>
      <c r="F129" s="166" t="s">
        <v>108</v>
      </c>
      <c r="G129" s="167">
        <f>SUM(L59,L79,L90,L110,L118)</f>
        <v>35</v>
      </c>
      <c r="J129" s="169"/>
      <c r="K129" s="168"/>
    </row>
    <row r="130" spans="3:11" ht="17.25">
      <c r="C130" s="72"/>
      <c r="E130" s="165">
        <v>8</v>
      </c>
      <c r="F130" s="166" t="s">
        <v>61</v>
      </c>
      <c r="G130" s="167">
        <f>SUM(L63,L69,L73,L86,L87,L95,L113)</f>
        <v>34</v>
      </c>
      <c r="J130" s="169"/>
      <c r="K130" s="168"/>
    </row>
    <row r="131" spans="3:11" ht="17.25">
      <c r="C131" s="72"/>
      <c r="E131" s="165">
        <v>8</v>
      </c>
      <c r="F131" s="166" t="s">
        <v>91</v>
      </c>
      <c r="G131" s="167">
        <f>SUM(L40,L94,L116)</f>
        <v>34</v>
      </c>
      <c r="K131" s="168"/>
    </row>
    <row r="132" spans="3:11" ht="17.25">
      <c r="C132" s="72"/>
      <c r="E132" s="165">
        <v>10</v>
      </c>
      <c r="F132" s="166" t="s">
        <v>133</v>
      </c>
      <c r="G132" s="167">
        <f>SUM(L7,L16,L26,L34)</f>
        <v>30</v>
      </c>
      <c r="K132" s="168"/>
    </row>
    <row r="133" spans="3:11" ht="17.25">
      <c r="C133" s="72"/>
      <c r="E133" s="165">
        <v>11</v>
      </c>
      <c r="F133" s="166" t="s">
        <v>94</v>
      </c>
      <c r="G133" s="167">
        <f>SUM(L17,L22,L25,L98)</f>
        <v>26</v>
      </c>
      <c r="K133" s="168"/>
    </row>
    <row r="134" spans="3:11" ht="17.25">
      <c r="C134" s="72"/>
      <c r="E134" s="165">
        <v>11</v>
      </c>
      <c r="F134" s="166" t="s">
        <v>70</v>
      </c>
      <c r="G134" s="167">
        <f>SUM(L8,L21,L67)</f>
        <v>26</v>
      </c>
      <c r="J134" s="169"/>
      <c r="K134" s="168"/>
    </row>
    <row r="135" spans="3:11" ht="17.25">
      <c r="C135" s="72"/>
      <c r="E135" s="165">
        <v>13</v>
      </c>
      <c r="F135" s="166" t="s">
        <v>87</v>
      </c>
      <c r="G135" s="167">
        <f>SUM(L18,L64,L65)</f>
        <v>21</v>
      </c>
      <c r="I135" s="178"/>
      <c r="K135" s="168"/>
    </row>
    <row r="136" spans="3:11" ht="17.25">
      <c r="C136" s="72"/>
      <c r="E136" s="165">
        <v>14</v>
      </c>
      <c r="F136" s="166" t="s">
        <v>135</v>
      </c>
      <c r="G136" s="167">
        <f>SUM(L9,L15)</f>
        <v>16</v>
      </c>
      <c r="K136" s="168"/>
    </row>
    <row r="137" spans="3:11" ht="17.25">
      <c r="C137" s="72"/>
      <c r="E137" s="165">
        <v>15</v>
      </c>
      <c r="F137" s="166" t="s">
        <v>64</v>
      </c>
      <c r="G137" s="167">
        <f>SUM(L57,L58)</f>
        <v>17</v>
      </c>
      <c r="K137" s="168"/>
    </row>
    <row r="138" spans="3:11" ht="17.25">
      <c r="C138" s="72"/>
      <c r="E138" s="165">
        <v>16</v>
      </c>
      <c r="F138" s="166" t="s">
        <v>137</v>
      </c>
      <c r="G138" s="167">
        <f>SUM(L84,L112)</f>
        <v>10</v>
      </c>
      <c r="K138" s="168"/>
    </row>
    <row r="139" spans="3:11" ht="17.25">
      <c r="C139" s="72"/>
      <c r="E139" s="165">
        <v>16</v>
      </c>
      <c r="F139" s="166" t="s">
        <v>67</v>
      </c>
      <c r="G139" s="167">
        <f>SUM(L88,L89,L97)</f>
        <v>10</v>
      </c>
      <c r="K139" s="168"/>
    </row>
    <row r="140" spans="3:11" ht="17.25">
      <c r="C140" s="72"/>
      <c r="E140" s="165">
        <v>16</v>
      </c>
      <c r="F140" s="166" t="s">
        <v>63</v>
      </c>
      <c r="G140" s="167">
        <f>SUM(L27,L45)</f>
        <v>10</v>
      </c>
      <c r="J140" s="169"/>
      <c r="K140" s="168"/>
    </row>
    <row r="141" spans="3:11" ht="17.25">
      <c r="C141" s="72"/>
      <c r="E141" s="165">
        <v>19</v>
      </c>
      <c r="F141" s="166" t="s">
        <v>103</v>
      </c>
      <c r="G141" s="167">
        <f>SUM(L13)</f>
        <v>9</v>
      </c>
      <c r="K141" s="168"/>
    </row>
    <row r="142" spans="3:11" ht="17.25">
      <c r="C142" s="72"/>
      <c r="E142" s="165">
        <v>20</v>
      </c>
      <c r="F142" s="166" t="s">
        <v>55</v>
      </c>
      <c r="G142" s="167">
        <f>SUM(L120)</f>
        <v>7</v>
      </c>
      <c r="K142" s="168"/>
    </row>
    <row r="143" spans="3:11" ht="17.25">
      <c r="C143" s="72"/>
      <c r="E143" s="165">
        <v>21</v>
      </c>
      <c r="F143" s="166" t="s">
        <v>114</v>
      </c>
      <c r="G143" s="167">
        <f>SUM(L37)</f>
        <v>4</v>
      </c>
      <c r="K143" s="168"/>
    </row>
    <row r="144" ht="12">
      <c r="G144" s="170">
        <f>SUM(G123:G143)</f>
        <v>686</v>
      </c>
    </row>
  </sheetData>
  <sheetProtection/>
  <mergeCells count="7">
    <mergeCell ref="E122:G122"/>
    <mergeCell ref="A51:K51"/>
    <mergeCell ref="A1:K1"/>
    <mergeCell ref="A2:E2"/>
    <mergeCell ref="F2:G2"/>
    <mergeCell ref="A3:K3"/>
    <mergeCell ref="H2:K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  <rowBreaks count="2" manualBreakCount="2">
    <brk id="50" max="10" man="1"/>
    <brk id="12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39"/>
  <sheetViews>
    <sheetView showGridLines="0"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:J2"/>
    </sheetView>
  </sheetViews>
  <sheetFormatPr defaultColWidth="8.8515625" defaultRowHeight="12.75"/>
  <cols>
    <col min="1" max="1" width="4.00390625" style="196" customWidth="1"/>
    <col min="2" max="2" width="5.8515625" style="196" customWidth="1"/>
    <col min="3" max="3" width="8.57421875" style="196" customWidth="1"/>
    <col min="4" max="4" width="5.421875" style="196" customWidth="1"/>
    <col min="5" max="5" width="24.421875" style="197" customWidth="1"/>
    <col min="6" max="6" width="18.57421875" style="197" customWidth="1"/>
    <col min="7" max="9" width="6.28125" style="196" customWidth="1"/>
    <col min="10" max="10" width="8.7109375" style="198" customWidth="1"/>
    <col min="11" max="16384" width="8.8515625" style="196" customWidth="1"/>
  </cols>
  <sheetData>
    <row r="1" ht="12">
      <c r="A1" s="195"/>
    </row>
    <row r="2" spans="1:10" ht="15">
      <c r="A2" s="199">
        <v>1</v>
      </c>
      <c r="B2" s="200">
        <f>IF('P6'!A9="","",'P6'!A9)</f>
        <v>48</v>
      </c>
      <c r="C2" s="201">
        <f>IF('P6'!B9="","",'P6'!B9)</f>
        <v>46.96</v>
      </c>
      <c r="D2" s="200" t="str">
        <f>IF('P6'!C9="","",'P6'!C9)</f>
        <v>UK</v>
      </c>
      <c r="E2" s="202" t="str">
        <f>IF('P6'!F9="","",'P6'!F9)</f>
        <v>Bettine Carlsen</v>
      </c>
      <c r="F2" s="202" t="str">
        <f>IF('P6'!G9="","",'P6'!G9)</f>
        <v>AK Bjørgvin</v>
      </c>
      <c r="G2" s="203">
        <f>IF('P6'!N9=0,"",'P6'!N9)</f>
        <v>40</v>
      </c>
      <c r="H2" s="203">
        <f>IF('P6'!O9=0,"",'P6'!O9)</f>
        <v>62</v>
      </c>
      <c r="I2" s="203">
        <f>IF('P6'!P9=0,"",'P6'!P9)</f>
        <v>102</v>
      </c>
      <c r="J2" s="204">
        <f>IF('P6'!Q9=0,"",'P6'!Q9)</f>
        <v>170.47858117476633</v>
      </c>
    </row>
    <row r="3" spans="1:10" ht="15">
      <c r="A3" s="199"/>
      <c r="B3" s="200"/>
      <c r="C3" s="201"/>
      <c r="D3" s="200"/>
      <c r="E3" s="202"/>
      <c r="F3" s="202"/>
      <c r="G3" s="203"/>
      <c r="H3" s="203"/>
      <c r="I3" s="203"/>
      <c r="J3" s="204"/>
    </row>
    <row r="4" spans="1:10" ht="15">
      <c r="A4" s="199">
        <v>1</v>
      </c>
      <c r="B4" s="200">
        <f>IF('P6'!A11="","",'P6'!A11)</f>
        <v>53</v>
      </c>
      <c r="C4" s="201">
        <f>IF('P6'!B11="","",'P6'!B11)</f>
        <v>50.94</v>
      </c>
      <c r="D4" s="200" t="str">
        <f>IF('P6'!C11="","",'P6'!C11)</f>
        <v>SK</v>
      </c>
      <c r="E4" s="202" t="str">
        <f>IF('P6'!F11="","",'P6'!F11)</f>
        <v>Sarah Hovden Øvsthus</v>
      </c>
      <c r="F4" s="202" t="str">
        <f>IF('P6'!G11="","",'P6'!G11)</f>
        <v>Flaktveit IK</v>
      </c>
      <c r="G4" s="203">
        <f>IF('P6'!N11=0,"",'P6'!N11)</f>
        <v>70</v>
      </c>
      <c r="H4" s="203">
        <f>IF('P6'!O11=0,"",'P6'!O11)</f>
        <v>88</v>
      </c>
      <c r="I4" s="203">
        <f>IF('P6'!P11=0,"",'P6'!P11)</f>
        <v>158</v>
      </c>
      <c r="J4" s="204">
        <f>IF('P6'!Q11=0,"",'P6'!Q11)</f>
        <v>246.16930962271607</v>
      </c>
    </row>
    <row r="5" spans="1:10" ht="15">
      <c r="A5" s="199">
        <v>2</v>
      </c>
      <c r="B5" s="200">
        <f>IF('P6'!A10="","",'P6'!A10)</f>
        <v>53</v>
      </c>
      <c r="C5" s="201">
        <f>IF('P6'!B10="","",'P6'!B10)</f>
        <v>52.74</v>
      </c>
      <c r="D5" s="200" t="str">
        <f>IF('P6'!C10="","",'P6'!C10)</f>
        <v>JK</v>
      </c>
      <c r="E5" s="202" t="str">
        <f>IF('P6'!F10="","",'P6'!F10)</f>
        <v>Rebekka Tao Jacobsen</v>
      </c>
      <c r="F5" s="202" t="str">
        <f>IF('P6'!G10="","",'P6'!G10)</f>
        <v>Larvik AK</v>
      </c>
      <c r="G5" s="203">
        <f>IF('P6'!N10=0,"",'P6'!N10)</f>
        <v>59</v>
      </c>
      <c r="H5" s="203">
        <f>IF('P6'!O10=0,"",'P6'!O10)</f>
        <v>71</v>
      </c>
      <c r="I5" s="203">
        <f>IF('P6'!P10=0,"",'P6'!P10)</f>
        <v>130</v>
      </c>
      <c r="J5" s="204">
        <f>IF('P6'!Q10=0,"",'P6'!Q10)</f>
        <v>196.87305942685558</v>
      </c>
    </row>
    <row r="6" spans="1:10" ht="15">
      <c r="A6" s="199">
        <v>3</v>
      </c>
      <c r="B6" s="200">
        <f>IF('P6'!A12="","",'P6'!A12)</f>
        <v>53</v>
      </c>
      <c r="C6" s="201">
        <f>IF('P6'!B12="","",'P6'!B12)</f>
        <v>51.8</v>
      </c>
      <c r="D6" s="200" t="str">
        <f>IF('P6'!C12="","",'P6'!C12)</f>
        <v>SK</v>
      </c>
      <c r="E6" s="202" t="str">
        <f>IF('P6'!F12="","",'P6'!F12)</f>
        <v>Hege Torsvik</v>
      </c>
      <c r="F6" s="202" t="str">
        <f>IF('P6'!G12="","",'P6'!G12)</f>
        <v>Hillevåg AK</v>
      </c>
      <c r="G6" s="203">
        <f>IF('P6'!N12=0,"",'P6'!N12)</f>
        <v>50</v>
      </c>
      <c r="H6" s="203">
        <f>IF('P6'!O12=0,"",'P6'!O12)</f>
        <v>68</v>
      </c>
      <c r="I6" s="203">
        <f>IF('P6'!P12=0,"",'P6'!P12)</f>
        <v>118</v>
      </c>
      <c r="J6" s="204">
        <f>IF('P6'!Q12=0,"",'P6'!Q12)</f>
        <v>181.32661850266163</v>
      </c>
    </row>
    <row r="7" spans="1:10" ht="15">
      <c r="A7" s="199"/>
      <c r="B7" s="200"/>
      <c r="C7" s="201"/>
      <c r="D7" s="200"/>
      <c r="E7" s="202"/>
      <c r="F7" s="202"/>
      <c r="G7" s="203"/>
      <c r="H7" s="203"/>
      <c r="I7" s="203"/>
      <c r="J7" s="204"/>
    </row>
    <row r="8" spans="1:10" ht="15">
      <c r="A8" s="199">
        <v>1</v>
      </c>
      <c r="B8" s="200">
        <f>IF('P6'!A14="","",'P6'!A14)</f>
        <v>58</v>
      </c>
      <c r="C8" s="201">
        <f>IF('P6'!B14="","",'P6'!B14)</f>
        <v>57.16</v>
      </c>
      <c r="D8" s="200" t="str">
        <f>IF('P6'!C14="","",'P6'!C14)</f>
        <v>SK</v>
      </c>
      <c r="E8" s="202" t="str">
        <f>IF('P6'!F14="","",'P6'!F14)</f>
        <v>Kristin Holte</v>
      </c>
      <c r="F8" s="202" t="str">
        <f>IF('P6'!G14="","",'P6'!G14)</f>
        <v>Gjøvik AK</v>
      </c>
      <c r="G8" s="203">
        <f>IF('P6'!N14=0,"",'P6'!N14)</f>
        <v>71</v>
      </c>
      <c r="H8" s="203">
        <f>IF('P6'!O14=0,"",'P6'!O14)</f>
        <v>90</v>
      </c>
      <c r="I8" s="203">
        <f>IF('P6'!P14=0,"",'P6'!P14)</f>
        <v>161</v>
      </c>
      <c r="J8" s="204">
        <f>IF('P6'!Q14=0,"",'P6'!Q14)</f>
        <v>229.114701241127</v>
      </c>
    </row>
    <row r="9" spans="1:10" ht="15">
      <c r="A9" s="199">
        <v>2</v>
      </c>
      <c r="B9" s="200">
        <f>IF('P6'!A19="","",'P6'!A19)</f>
        <v>58</v>
      </c>
      <c r="C9" s="201">
        <f>IF('P6'!B19="","",'P6'!B19)</f>
        <v>56.54</v>
      </c>
      <c r="D9" s="200" t="str">
        <f>IF('P6'!C19="","",'P6'!C19)</f>
        <v>SK</v>
      </c>
      <c r="E9" s="202" t="str">
        <f>IF('P6'!F19="","",'P6'!F19)</f>
        <v>Sandra Trædal</v>
      </c>
      <c r="F9" s="202" t="str">
        <f>IF('P6'!G19="","",'P6'!G19)</f>
        <v>Tambarskjelvar IL</v>
      </c>
      <c r="G9" s="203">
        <f>IF('P6'!N19=0,"",'P6'!N19)</f>
        <v>67</v>
      </c>
      <c r="H9" s="203">
        <f>IF('P6'!O19=0,"",'P6'!O19)</f>
        <v>85</v>
      </c>
      <c r="I9" s="203">
        <f>IF('P6'!P19=0,"",'P6'!P19)</f>
        <v>152</v>
      </c>
      <c r="J9" s="204">
        <f>IF('P6'!Q19=0,"",'P6'!Q19)</f>
        <v>218.07366447091567</v>
      </c>
    </row>
    <row r="10" spans="1:10" ht="15">
      <c r="A10" s="199">
        <v>3</v>
      </c>
      <c r="B10" s="200">
        <f>IF('P6'!A20="","",'P6'!A20)</f>
        <v>58</v>
      </c>
      <c r="C10" s="201">
        <f>IF('P6'!B20="","",'P6'!B20)</f>
        <v>57.78</v>
      </c>
      <c r="D10" s="200" t="str">
        <f>IF('P6'!C20="","",'P6'!C20)</f>
        <v>SK</v>
      </c>
      <c r="E10" s="202" t="str">
        <f>IF('P6'!F20="","",'P6'!F20)</f>
        <v>Zekiye C. Nyland</v>
      </c>
      <c r="F10" s="202" t="str">
        <f>IF('P6'!G20="","",'P6'!G20)</f>
        <v>Tysvær VK</v>
      </c>
      <c r="G10" s="203">
        <f>IF('P6'!N20=0,"",'P6'!N20)</f>
        <v>60</v>
      </c>
      <c r="H10" s="203">
        <f>IF('P6'!O20=0,"",'P6'!O20)</f>
        <v>83</v>
      </c>
      <c r="I10" s="203">
        <f>IF('P6'!P20=0,"",'P6'!P20)</f>
        <v>143</v>
      </c>
      <c r="J10" s="204">
        <f>IF('P6'!Q20=0,"",'P6'!Q20)</f>
        <v>201.88696753330672</v>
      </c>
    </row>
    <row r="11" spans="1:10" ht="15">
      <c r="A11" s="199">
        <v>4</v>
      </c>
      <c r="B11" s="200">
        <f>IF('P6'!A17="","",'P6'!A17)</f>
        <v>58</v>
      </c>
      <c r="C11" s="201">
        <f>IF('P6'!B17="","",'P6'!B17)</f>
        <v>57.08</v>
      </c>
      <c r="D11" s="200" t="str">
        <f>IF('P6'!C17="","",'P6'!C17)</f>
        <v>SK</v>
      </c>
      <c r="E11" s="202" t="str">
        <f>IF('P6'!F17="","",'P6'!F17)</f>
        <v>Tina Madeleine Larsen</v>
      </c>
      <c r="F11" s="202" t="str">
        <f>IF('P6'!G17="","",'P6'!G17)</f>
        <v>Spydeberg Atletene</v>
      </c>
      <c r="G11" s="203">
        <f>IF('P6'!N17=0,"",'P6'!N17)</f>
        <v>60</v>
      </c>
      <c r="H11" s="203">
        <f>IF('P6'!O17=0,"",'P6'!O17)</f>
        <v>81</v>
      </c>
      <c r="I11" s="203">
        <f>IF('P6'!P17=0,"",'P6'!P17)</f>
        <v>141</v>
      </c>
      <c r="J11" s="204">
        <f>IF('P6'!Q17=0,"",'P6'!Q17)</f>
        <v>200.86191303419236</v>
      </c>
    </row>
    <row r="12" spans="1:10" ht="15">
      <c r="A12" s="199">
        <v>5</v>
      </c>
      <c r="B12" s="200">
        <f>IF('P6'!A15="","",'P6'!A15)</f>
        <v>58</v>
      </c>
      <c r="C12" s="201">
        <f>IF('P6'!B15="","",'P6'!B15)</f>
        <v>57.36</v>
      </c>
      <c r="D12" s="200" t="str">
        <f>IF('P6'!C15="","",'P6'!C15)</f>
        <v>SK</v>
      </c>
      <c r="E12" s="202" t="str">
        <f>IF('P6'!F15="","",'P6'!F15)</f>
        <v>Thu Thi Minh Tran</v>
      </c>
      <c r="F12" s="202" t="str">
        <f>IF('P6'!G15="","",'P6'!G15)</f>
        <v>Hillevåg AK</v>
      </c>
      <c r="G12" s="203">
        <f>IF('P6'!N15=0,"",'P6'!N15)</f>
        <v>53</v>
      </c>
      <c r="H12" s="203">
        <f>IF('P6'!O15=0,"",'P6'!O15)</f>
        <v>73</v>
      </c>
      <c r="I12" s="203">
        <f>IF('P6'!P15=0,"",'P6'!P15)</f>
        <v>126</v>
      </c>
      <c r="J12" s="204">
        <f>IF('P6'!Q15=0,"",'P6'!Q15)</f>
        <v>178.84416422077348</v>
      </c>
    </row>
    <row r="13" spans="1:10" ht="15">
      <c r="A13" s="199">
        <v>6</v>
      </c>
      <c r="B13" s="200">
        <f>IF('P6'!A13="","",'P6'!A13)</f>
        <v>58</v>
      </c>
      <c r="C13" s="201">
        <f>IF('P6'!B13="","",'P6'!B13)</f>
        <v>58</v>
      </c>
      <c r="D13" s="200" t="str">
        <f>IF('P6'!C13="","",'P6'!C13)</f>
        <v>JK</v>
      </c>
      <c r="E13" s="202" t="str">
        <f>IF('P6'!F13="","",'P6'!F13)</f>
        <v>Helene Angelica Markhus</v>
      </c>
      <c r="F13" s="202" t="str">
        <f>IF('P6'!G13="","",'P6'!G13)</f>
        <v>Flaktveit IK</v>
      </c>
      <c r="G13" s="203">
        <f>IF('P6'!N13=0,"",'P6'!N13)</f>
        <v>50</v>
      </c>
      <c r="H13" s="203">
        <f>IF('P6'!O13=0,"",'P6'!O13)</f>
        <v>68</v>
      </c>
      <c r="I13" s="203">
        <f>IF('P6'!P13=0,"",'P6'!P13)</f>
        <v>118</v>
      </c>
      <c r="J13" s="204">
        <f>IF('P6'!Q13=0,"",'P6'!Q13)</f>
        <v>166.12945217533266</v>
      </c>
    </row>
    <row r="14" spans="1:10" ht="15">
      <c r="A14" s="199">
        <v>7</v>
      </c>
      <c r="B14" s="200">
        <f>IF('P6'!A18="","",'P6'!A18)</f>
        <v>58</v>
      </c>
      <c r="C14" s="201">
        <f>IF('P6'!B18="","",'P6'!B18)</f>
        <v>56.64</v>
      </c>
      <c r="D14" s="200" t="str">
        <f>IF('P6'!C18="","",'P6'!C18)</f>
        <v>JK</v>
      </c>
      <c r="E14" s="212" t="str">
        <f>IF('P6'!F18="","",'P6'!F18)</f>
        <v>Kamilla Storstein Grønnestad</v>
      </c>
      <c r="F14" s="202" t="str">
        <f>IF('P6'!G18="","",'P6'!G18)</f>
        <v>Haugesund VK</v>
      </c>
      <c r="G14" s="203">
        <f>IF('P6'!N18=0,"",'P6'!N18)</f>
        <v>47</v>
      </c>
      <c r="H14" s="203">
        <f>IF('P6'!O18=0,"",'P6'!O18)</f>
        <v>68</v>
      </c>
      <c r="I14" s="203">
        <f>IF('P6'!P18=0,"",'P6'!P18)</f>
        <v>115</v>
      </c>
      <c r="J14" s="204">
        <f>IF('P6'!Q18=0,"",'P6'!Q18)</f>
        <v>164.77160118527908</v>
      </c>
    </row>
    <row r="15" spans="1:10" ht="15">
      <c r="A15" s="199">
        <v>8</v>
      </c>
      <c r="B15" s="200">
        <f>IF('P6'!A16="","",'P6'!A16)</f>
        <v>58</v>
      </c>
      <c r="C15" s="201">
        <f>IF('P6'!B16="","",'P6'!B16)</f>
        <v>56.4</v>
      </c>
      <c r="D15" s="200" t="str">
        <f>IF('P6'!C16="","",'P6'!C16)</f>
        <v>SK</v>
      </c>
      <c r="E15" s="202" t="str">
        <f>IF('P6'!F16="","",'P6'!F16)</f>
        <v>Alexandra Säldebring</v>
      </c>
      <c r="F15" s="202" t="str">
        <f>IF('P6'!G16="","",'P6'!G16)</f>
        <v>IL Kraftsport</v>
      </c>
      <c r="G15" s="203">
        <f>IF('P6'!N16=0,"",'P6'!N16)</f>
        <v>50</v>
      </c>
      <c r="H15" s="203">
        <f>IF('P6'!O16=0,"",'P6'!O16)</f>
        <v>60</v>
      </c>
      <c r="I15" s="203">
        <f>IF('P6'!P16=0,"",'P6'!P16)</f>
        <v>110</v>
      </c>
      <c r="J15" s="204">
        <f>IF('P6'!Q16=0,"",'P6'!Q16)</f>
        <v>158.11059317267657</v>
      </c>
    </row>
    <row r="16" spans="1:10" ht="15">
      <c r="A16" s="199"/>
      <c r="B16" s="200"/>
      <c r="C16" s="201"/>
      <c r="D16" s="200"/>
      <c r="E16" s="202"/>
      <c r="F16" s="202"/>
      <c r="G16" s="203"/>
      <c r="H16" s="203"/>
      <c r="I16" s="203"/>
      <c r="J16" s="204"/>
    </row>
    <row r="17" spans="1:10" ht="15">
      <c r="A17" s="199">
        <v>1</v>
      </c>
      <c r="B17" s="200">
        <f>IF('P8'!A14="","",'P8'!A14)</f>
        <v>63</v>
      </c>
      <c r="C17" s="201">
        <f>IF('P8'!B14="","",'P8'!B14)</f>
        <v>61.74</v>
      </c>
      <c r="D17" s="200" t="str">
        <f>IF('P8'!C14="","",'P8'!C14)</f>
        <v>SK</v>
      </c>
      <c r="E17" s="202" t="str">
        <f>IF('P8'!F14="","",'P8'!F14)</f>
        <v>Ine Andersson</v>
      </c>
      <c r="F17" s="202" t="str">
        <f>IF('P8'!G14="","",'P8'!G14)</f>
        <v>Tambarskjelvar IL</v>
      </c>
      <c r="G17" s="203">
        <f>IF('P8'!N14=0,"",'P8'!N14)</f>
        <v>76</v>
      </c>
      <c r="H17" s="203">
        <f>IF('P8'!O14=0,"",'P8'!O14)</f>
        <v>90</v>
      </c>
      <c r="I17" s="203">
        <f>IF('P8'!P14=0,"",'P8'!P14)</f>
        <v>166</v>
      </c>
      <c r="J17" s="204">
        <f>IF('P8'!Q14=0,"",'P8'!Q14)</f>
        <v>223.62311082494054</v>
      </c>
    </row>
    <row r="18" spans="1:10" ht="15">
      <c r="A18" s="199">
        <v>2</v>
      </c>
      <c r="B18" s="200">
        <f>IF('P8'!A9="","",'P8'!A9)</f>
        <v>63</v>
      </c>
      <c r="C18" s="201">
        <f>IF('P8'!B9="","",'P8'!B9)</f>
        <v>62.3</v>
      </c>
      <c r="D18" s="200" t="str">
        <f>IF('P8'!C9="","",'P8'!C9)</f>
        <v>UK</v>
      </c>
      <c r="E18" s="202" t="str">
        <f>IF('P8'!F9="","",'P8'!F9)</f>
        <v>Nora Skuggedal</v>
      </c>
      <c r="F18" s="202" t="str">
        <f>IF('P8'!G9="","",'P8'!G9)</f>
        <v>Larvik AK</v>
      </c>
      <c r="G18" s="203">
        <f>IF('P8'!N9=0,"",'P8'!N9)</f>
        <v>66</v>
      </c>
      <c r="H18" s="203">
        <f>IF('P8'!O9=0,"",'P8'!O9)</f>
        <v>85</v>
      </c>
      <c r="I18" s="203">
        <f>IF('P8'!P9=0,"",'P8'!P9)</f>
        <v>151</v>
      </c>
      <c r="J18" s="204">
        <f>IF('P8'!Q9=0,"",'P8'!Q9)</f>
        <v>202.1747253734916</v>
      </c>
    </row>
    <row r="19" spans="1:10" ht="15">
      <c r="A19" s="199">
        <v>3</v>
      </c>
      <c r="B19" s="200">
        <f>IF('P8'!A10="","",'P8'!A10)</f>
        <v>63</v>
      </c>
      <c r="C19" s="201">
        <f>IF('P8'!B10="","",'P8'!B10)</f>
        <v>62.04</v>
      </c>
      <c r="D19" s="200" t="str">
        <f>IF('P8'!C10="","",'P8'!C10)</f>
        <v>JK</v>
      </c>
      <c r="E19" s="202" t="str">
        <f>IF('P8'!F10="","",'P8'!F10)</f>
        <v>Emma Hald</v>
      </c>
      <c r="F19" s="202" t="str">
        <f>IF('P8'!G10="","",'P8'!G10)</f>
        <v>Haugesund VK</v>
      </c>
      <c r="G19" s="203">
        <f>IF('P8'!N10=0,"",'P8'!N10)</f>
        <v>70</v>
      </c>
      <c r="H19" s="203">
        <f>IF('P8'!O10=0,"",'P8'!O10)</f>
        <v>80</v>
      </c>
      <c r="I19" s="203">
        <f>IF('P8'!P10=0,"",'P8'!P10)</f>
        <v>150</v>
      </c>
      <c r="J19" s="204">
        <f>IF('P8'!Q10=0,"",'P8'!Q10)</f>
        <v>201.404489047339</v>
      </c>
    </row>
    <row r="20" spans="1:10" ht="15">
      <c r="A20" s="199">
        <v>4</v>
      </c>
      <c r="B20" s="200">
        <f>IF('P8'!A16="","",'P8'!A16)</f>
        <v>63</v>
      </c>
      <c r="C20" s="201">
        <f>IF('P8'!B16="","",'P8'!B16)</f>
        <v>59.8</v>
      </c>
      <c r="D20" s="200" t="str">
        <f>IF('P8'!C16="","",'P8'!C16)</f>
        <v>SK</v>
      </c>
      <c r="E20" s="202" t="str">
        <f>IF('P8'!F16="","",'P8'!F16)</f>
        <v>Mari Rotmo</v>
      </c>
      <c r="F20" s="202" t="str">
        <f>IF('P8'!G16="","",'P8'!G16)</f>
        <v>Trondheim AK</v>
      </c>
      <c r="G20" s="203">
        <f>IF('P8'!N16=0,"",'P8'!N16)</f>
        <v>54</v>
      </c>
      <c r="H20" s="203">
        <f>IF('P8'!O16=0,"",'P8'!O16)</f>
        <v>77</v>
      </c>
      <c r="I20" s="203">
        <f>IF('P8'!P16=0,"",'P8'!P16)</f>
        <v>131</v>
      </c>
      <c r="J20" s="204">
        <f>IF('P8'!Q16=0,"",'P8'!Q16)</f>
        <v>180.42711243085608</v>
      </c>
    </row>
    <row r="21" spans="1:10" ht="15">
      <c r="A21" s="199">
        <v>5</v>
      </c>
      <c r="B21" s="200">
        <f>IF('P8'!A15="","",'P8'!A15)</f>
        <v>63</v>
      </c>
      <c r="C21" s="201">
        <f>IF('P8'!B15="","",'P8'!B15)</f>
        <v>62.52</v>
      </c>
      <c r="D21" s="200" t="str">
        <f>IF('P8'!C15="","",'P8'!C15)</f>
        <v>SK</v>
      </c>
      <c r="E21" s="202" t="str">
        <f>IF('P8'!F15="","",'P8'!F15)</f>
        <v>Betina Kingell</v>
      </c>
      <c r="F21" s="202" t="str">
        <f>IF('P8'!G15="","",'P8'!G15)</f>
        <v>Trondheim AK</v>
      </c>
      <c r="G21" s="203">
        <f>IF('P8'!N15=0,"",'P8'!N15)</f>
        <v>56</v>
      </c>
      <c r="H21" s="203">
        <f>IF('P8'!O15=0,"",'P8'!O15)</f>
        <v>72</v>
      </c>
      <c r="I21" s="203">
        <f>IF('P8'!P15=0,"",'P8'!P15)</f>
        <v>128</v>
      </c>
      <c r="J21" s="204">
        <f>IF('P8'!Q15=0,"",'P8'!Q15)</f>
        <v>170.9737449592604</v>
      </c>
    </row>
    <row r="22" spans="1:10" ht="15">
      <c r="A22" s="199">
        <v>6</v>
      </c>
      <c r="B22" s="200">
        <f>IF('P8'!A12="","",'P8'!A12)</f>
        <v>63</v>
      </c>
      <c r="C22" s="201">
        <f>IF('P8'!B12="","",'P8'!B12)</f>
        <v>60.9</v>
      </c>
      <c r="D22" s="200" t="str">
        <f>IF('P8'!C12="","",'P8'!C12)</f>
        <v>SK</v>
      </c>
      <c r="E22" s="202" t="str">
        <f>IF('P8'!F12="","",'P8'!F12)</f>
        <v>Lene Christine Telle</v>
      </c>
      <c r="F22" s="202" t="str">
        <f>IF('P8'!G12="","",'P8'!G12)</f>
        <v>Haugesund VK</v>
      </c>
      <c r="G22" s="203">
        <f>IF('P8'!N12=0,"",'P8'!N12)</f>
        <v>52</v>
      </c>
      <c r="H22" s="203">
        <f>IF('P8'!O12=0,"",'P8'!O12)</f>
        <v>67</v>
      </c>
      <c r="I22" s="203">
        <f>IF('P8'!P12=0,"",'P8'!P12)</f>
        <v>119</v>
      </c>
      <c r="J22" s="204">
        <f>IF('P8'!Q12=0,"",'P8'!Q12)</f>
        <v>161.82359060609485</v>
      </c>
    </row>
    <row r="23" spans="1:10" ht="15">
      <c r="A23" s="199">
        <v>7</v>
      </c>
      <c r="B23" s="200">
        <f>IF('P8'!A17="","",'P8'!A17)</f>
        <v>63</v>
      </c>
      <c r="C23" s="201">
        <f>IF('P8'!B17="","",'P8'!B17)</f>
        <v>61.66</v>
      </c>
      <c r="D23" s="200" t="str">
        <f>IF('P8'!C17="","",'P8'!C17)</f>
        <v>K3</v>
      </c>
      <c r="E23" s="202" t="str">
        <f>IF('P8'!F17="","",'P8'!F17)</f>
        <v>Line Søfteland</v>
      </c>
      <c r="F23" s="202" t="str">
        <f>IF('P8'!G17="","",'P8'!G17)</f>
        <v>Flaktveit IK</v>
      </c>
      <c r="G23" s="203">
        <f>IF('P8'!N17=0,"",'P8'!N17)</f>
        <v>48</v>
      </c>
      <c r="H23" s="203">
        <f>IF('P8'!O17=0,"",'P8'!O17)</f>
        <v>64</v>
      </c>
      <c r="I23" s="203">
        <f>IF('P8'!P17=0,"",'P8'!P17)</f>
        <v>112</v>
      </c>
      <c r="J23" s="204">
        <f>IF('P8'!Q17=0,"",'P8'!Q17)</f>
        <v>151.0117234754665</v>
      </c>
    </row>
    <row r="24" spans="1:10" ht="15">
      <c r="A24" s="199">
        <v>8</v>
      </c>
      <c r="B24" s="200">
        <f>IF('P8'!A13="","",'P8'!A13)</f>
        <v>63</v>
      </c>
      <c r="C24" s="201">
        <f>IF('P8'!B13="","",'P8'!B13)</f>
        <v>62.16</v>
      </c>
      <c r="D24" s="200" t="str">
        <f>IF('P8'!C13="","",'P8'!C13)</f>
        <v>SK</v>
      </c>
      <c r="E24" s="202" t="str">
        <f>IF('P8'!F13="","",'P8'!F13)</f>
        <v>Anita Monsen</v>
      </c>
      <c r="F24" s="202" t="str">
        <f>IF('P8'!G13="","",'P8'!G13)</f>
        <v>Oslo AK</v>
      </c>
      <c r="G24" s="203">
        <f>IF('P8'!N13=0,"",'P8'!N13)</f>
        <v>48</v>
      </c>
      <c r="H24" s="203">
        <f>IF('P8'!O13=0,"",'P8'!O13)</f>
        <v>64</v>
      </c>
      <c r="I24" s="203">
        <f>IF('P8'!P13=0,"",'P8'!P13)</f>
        <v>112</v>
      </c>
      <c r="J24" s="204">
        <f>IF('P8'!Q13=0,"",'P8'!Q13)</f>
        <v>150.1854220442419</v>
      </c>
    </row>
    <row r="25" spans="1:10" ht="15">
      <c r="A25" s="199">
        <v>9</v>
      </c>
      <c r="B25" s="200">
        <f>IF('P8'!A11="","",'P8'!A11)</f>
        <v>63</v>
      </c>
      <c r="C25" s="201">
        <f>IF('P8'!B11="","",'P8'!B11)</f>
        <v>62.56</v>
      </c>
      <c r="D25" s="200" t="str">
        <f>IF('P8'!C11="","",'P8'!C11)</f>
        <v>SK</v>
      </c>
      <c r="E25" s="202" t="str">
        <f>IF('P8'!F11="","",'P8'!F11)</f>
        <v>Ingeborg Bern Egeland</v>
      </c>
      <c r="F25" s="202" t="str">
        <f>IF('P8'!G11="","",'P8'!G11)</f>
        <v>AK Bjørgvin</v>
      </c>
      <c r="G25" s="203">
        <f>IF('P8'!N11=0,"",'P8'!N11)</f>
        <v>46</v>
      </c>
      <c r="H25" s="203">
        <f>IF('P8'!O11=0,"",'P8'!O11)</f>
        <v>60</v>
      </c>
      <c r="I25" s="203">
        <f>IF('P8'!P11=0,"",'P8'!P11)</f>
        <v>106</v>
      </c>
      <c r="J25" s="204">
        <f>IF('P8'!Q11=0,"",'P8'!Q11)</f>
        <v>141.5268381412058</v>
      </c>
    </row>
    <row r="26" spans="1:10" ht="15">
      <c r="A26" s="199"/>
      <c r="B26" s="200"/>
      <c r="C26" s="201"/>
      <c r="D26" s="200"/>
      <c r="E26" s="202"/>
      <c r="F26" s="202"/>
      <c r="G26" s="203"/>
      <c r="H26" s="203"/>
      <c r="I26" s="203"/>
      <c r="J26" s="204"/>
    </row>
    <row r="27" spans="1:10" ht="15">
      <c r="A27" s="199">
        <v>1</v>
      </c>
      <c r="B27" s="200">
        <f>IF('P10'!A16="","",'P10'!A16)</f>
        <v>69</v>
      </c>
      <c r="C27" s="201">
        <f>IF('P10'!B16="","",'P10'!B16)</f>
        <v>64.58</v>
      </c>
      <c r="D27" s="200" t="str">
        <f>IF('P10'!C16="","",'P10'!C16)</f>
        <v>SK</v>
      </c>
      <c r="E27" s="202" t="str">
        <f>IF('P10'!F16="","",'P10'!F16)</f>
        <v>Marit Årdalsbakke</v>
      </c>
      <c r="F27" s="202" t="str">
        <f>IF('P10'!G16="","",'P10'!G16)</f>
        <v>Tambarskjelvar IL</v>
      </c>
      <c r="G27" s="203">
        <f>IF('P10'!N16=0,"",'P10'!N16)</f>
        <v>80</v>
      </c>
      <c r="H27" s="203">
        <f>IF('P10'!O16=0,"",'P10'!O16)</f>
        <v>90</v>
      </c>
      <c r="I27" s="203">
        <f>IF('P10'!P16=0,"",'P10'!P16)</f>
        <v>170</v>
      </c>
      <c r="J27" s="204">
        <f>IF('P10'!Q16=0,"",'P10'!Q16)</f>
        <v>222.27416513008924</v>
      </c>
    </row>
    <row r="28" spans="1:10" ht="15">
      <c r="A28" s="199">
        <v>2</v>
      </c>
      <c r="B28" s="200">
        <f>IF('P10'!A12="","",'P10'!A12)</f>
        <v>69</v>
      </c>
      <c r="C28" s="201">
        <f>IF('P10'!B12="","",'P10'!B12)</f>
        <v>64.12</v>
      </c>
      <c r="D28" s="200" t="str">
        <f>IF('P10'!C12="","",'P10'!C12)</f>
        <v>SK</v>
      </c>
      <c r="E28" s="202" t="str">
        <f>IF('P10'!F12="","",'P10'!F12)</f>
        <v>Marianne Hasfjord</v>
      </c>
      <c r="F28" s="202" t="str">
        <f>IF('P10'!G12="","",'P10'!G12)</f>
        <v>AK Bjørgvin</v>
      </c>
      <c r="G28" s="203">
        <f>IF('P10'!N12=0,"",'P10'!N12)</f>
        <v>60</v>
      </c>
      <c r="H28" s="203">
        <f>IF('P10'!O12=0,"",'P10'!O12)</f>
        <v>86</v>
      </c>
      <c r="I28" s="203">
        <f>IF('P10'!P12=0,"",'P10'!P12)</f>
        <v>146</v>
      </c>
      <c r="J28" s="204">
        <f>IF('P10'!Q12=0,"",'P10'!Q12)</f>
        <v>191.78229764643044</v>
      </c>
    </row>
    <row r="29" spans="1:10" ht="15">
      <c r="A29" s="199">
        <v>3</v>
      </c>
      <c r="B29" s="200">
        <f>IF('P10'!A10="","",'P10'!A10)</f>
        <v>69</v>
      </c>
      <c r="C29" s="201">
        <f>IF('P10'!B10="","",'P10'!B10)</f>
        <v>65.52</v>
      </c>
      <c r="D29" s="200" t="str">
        <f>IF('P10'!C10="","",'P10'!C10)</f>
        <v>SK</v>
      </c>
      <c r="E29" s="202" t="str">
        <f>IF('P10'!F10="","",'P10'!F10)</f>
        <v>Anna Tolås Omdal</v>
      </c>
      <c r="F29" s="202" t="str">
        <f>IF('P10'!G10="","",'P10'!G10)</f>
        <v>AK Bjørgvin</v>
      </c>
      <c r="G29" s="203">
        <f>IF('P10'!N10=0,"",'P10'!N10)</f>
        <v>67</v>
      </c>
      <c r="H29" s="203">
        <f>IF('P10'!O10=0,"",'P10'!O10)</f>
        <v>79</v>
      </c>
      <c r="I29" s="203">
        <f>IF('P10'!P10=0,"",'P10'!P10)</f>
        <v>146</v>
      </c>
      <c r="J29" s="204">
        <f>IF('P10'!Q10=0,"",'P10'!Q10)</f>
        <v>189.13468804081785</v>
      </c>
    </row>
    <row r="30" spans="1:10" ht="15">
      <c r="A30" s="199">
        <v>4</v>
      </c>
      <c r="B30" s="200">
        <f>IF('P10'!A11="","",'P10'!A11)</f>
        <v>69</v>
      </c>
      <c r="C30" s="201">
        <f>IF('P10'!B11="","",'P10'!B11)</f>
        <v>67.9</v>
      </c>
      <c r="D30" s="200" t="str">
        <f>IF('P10'!C11="","",'P10'!C11)</f>
        <v>SK</v>
      </c>
      <c r="E30" s="202" t="str">
        <f>IF('P10'!F11="","",'P10'!F11)</f>
        <v>Ingvild Prestegård</v>
      </c>
      <c r="F30" s="202" t="str">
        <f>IF('P10'!G11="","",'P10'!G11)</f>
        <v>AK Bjørgvin</v>
      </c>
      <c r="G30" s="203">
        <f>IF('P10'!N11=0,"",'P10'!N11)</f>
        <v>65</v>
      </c>
      <c r="H30" s="203">
        <f>IF('P10'!O11=0,"",'P10'!O11)</f>
        <v>79</v>
      </c>
      <c r="I30" s="203">
        <f>IF('P10'!P11=0,"",'P10'!P11)</f>
        <v>144</v>
      </c>
      <c r="J30" s="204">
        <f>IF('P10'!Q11=0,"",'P10'!Q11)</f>
        <v>182.45398299543498</v>
      </c>
    </row>
    <row r="31" spans="1:10" ht="15">
      <c r="A31" s="199">
        <v>5</v>
      </c>
      <c r="B31" s="200">
        <f>IF('P10'!A17="","",'P10'!A17)</f>
        <v>69</v>
      </c>
      <c r="C31" s="201">
        <f>IF('P10'!B17="","",'P10'!B17)</f>
        <v>68.6</v>
      </c>
      <c r="D31" s="200" t="str">
        <f>IF('P10'!C17="","",'P10'!C17)</f>
        <v>K2</v>
      </c>
      <c r="E31" s="202" t="str">
        <f>IF('P10'!F17="","",'P10'!F17)</f>
        <v>Anna Waage</v>
      </c>
      <c r="F31" s="202" t="str">
        <f>IF('P10'!G17="","",'P10'!G17)</f>
        <v>Flaktveit IK</v>
      </c>
      <c r="G31" s="203">
        <f>IF('P10'!N17=0,"",'P10'!N17)</f>
        <v>54</v>
      </c>
      <c r="H31" s="203">
        <f>IF('P10'!O17=0,"",'P10'!O17)</f>
        <v>76</v>
      </c>
      <c r="I31" s="203">
        <f>IF('P10'!P17=0,"",'P10'!P17)</f>
        <v>130</v>
      </c>
      <c r="J31" s="204">
        <f>IF('P10'!Q17=0,"",'P10'!Q17)</f>
        <v>163.6991768594519</v>
      </c>
    </row>
    <row r="32" spans="1:10" ht="15">
      <c r="A32" s="199">
        <v>6</v>
      </c>
      <c r="B32" s="200">
        <f>IF('P10'!A13="","",'P10'!A13)</f>
        <v>69</v>
      </c>
      <c r="C32" s="201">
        <f>IF('P10'!B13="","",'P10'!B13)</f>
        <v>68.6</v>
      </c>
      <c r="D32" s="200" t="str">
        <f>IF('P10'!C13="","",'P10'!C13)</f>
        <v>SK</v>
      </c>
      <c r="E32" s="202" t="str">
        <f>IF('P10'!F13="","",'P10'!F13)</f>
        <v>Ingunn Selvåg</v>
      </c>
      <c r="F32" s="202" t="str">
        <f>IF('P10'!G13="","",'P10'!G13)</f>
        <v>Gjøvik AK</v>
      </c>
      <c r="G32" s="203">
        <f>IF('P10'!N13=0,"",'P10'!N13)</f>
        <v>52</v>
      </c>
      <c r="H32" s="203">
        <f>IF('P10'!O13=0,"",'P10'!O13)</f>
        <v>76</v>
      </c>
      <c r="I32" s="203">
        <f>IF('P10'!P13=0,"",'P10'!P13)</f>
        <v>128</v>
      </c>
      <c r="J32" s="204">
        <f>IF('P10'!Q13=0,"",'P10'!Q13)</f>
        <v>161.18072798469112</v>
      </c>
    </row>
    <row r="33" spans="1:10" ht="15">
      <c r="A33" s="199">
        <v>7</v>
      </c>
      <c r="B33" s="200">
        <f>IF('P10'!A9="","",'P10'!A9)</f>
        <v>69</v>
      </c>
      <c r="C33" s="201">
        <f>IF('P10'!B9="","",'P10'!B9)</f>
        <v>68.32</v>
      </c>
      <c r="D33" s="200" t="str">
        <f>IF('P10'!C9="","",'P10'!C9)</f>
        <v>UK</v>
      </c>
      <c r="E33" s="202" t="str">
        <f>IF('P10'!F9="","",'P10'!F9)</f>
        <v>Maren Fikse</v>
      </c>
      <c r="F33" s="202" t="str">
        <f>IF('P10'!G9="","",'P10'!G9)</f>
        <v>Gjøvik AK</v>
      </c>
      <c r="G33" s="203">
        <f>IF('P10'!N9=0,"",'P10'!N9)</f>
        <v>53</v>
      </c>
      <c r="H33" s="203">
        <f>IF('P10'!O9=0,"",'P10'!O9)</f>
        <v>74</v>
      </c>
      <c r="I33" s="203">
        <f>IF('P10'!P9=0,"",'P10'!P9)</f>
        <v>127</v>
      </c>
      <c r="J33" s="204">
        <f>IF('P10'!Q9=0,"",'P10'!Q9)</f>
        <v>160.31507980816562</v>
      </c>
    </row>
    <row r="34" spans="1:10" ht="15">
      <c r="A34" s="199">
        <v>8</v>
      </c>
      <c r="B34" s="200">
        <f>IF('P10'!A14="","",'P10'!A14)</f>
        <v>69</v>
      </c>
      <c r="C34" s="201">
        <f>IF('P10'!B14="","",'P10'!B14)</f>
        <v>68.78</v>
      </c>
      <c r="D34" s="200" t="str">
        <f>IF('P10'!C14="","",'P10'!C14)</f>
        <v>SK</v>
      </c>
      <c r="E34" s="202" t="str">
        <f>IF('P10'!F14="","",'P10'!F14)</f>
        <v>Sara Stebbings</v>
      </c>
      <c r="F34" s="202" t="str">
        <f>IF('P10'!G14="","",'P10'!G14)</f>
        <v>Lørenskog AK</v>
      </c>
      <c r="G34" s="203">
        <f>IF('P10'!N14=0,"",'P10'!N14)</f>
        <v>56</v>
      </c>
      <c r="H34" s="203">
        <f>IF('P10'!O14=0,"",'P10'!O14)</f>
        <v>65</v>
      </c>
      <c r="I34" s="203">
        <f>IF('P10'!P14=0,"",'P10'!P14)</f>
        <v>121</v>
      </c>
      <c r="J34" s="204">
        <f>IF('P10'!Q14=0,"",'P10'!Q14)</f>
        <v>152.1274307740146</v>
      </c>
    </row>
    <row r="35" spans="1:10" ht="15">
      <c r="A35" s="199">
        <v>9</v>
      </c>
      <c r="B35" s="200">
        <f>IF('P10'!A15="","",'P10'!A15)</f>
        <v>69</v>
      </c>
      <c r="C35" s="201">
        <f>IF('P10'!B15="","",'P10'!B15)</f>
        <v>68.28</v>
      </c>
      <c r="D35" s="200" t="str">
        <f>IF('P10'!C15="","",'P10'!C15)</f>
        <v>SK</v>
      </c>
      <c r="E35" s="202" t="str">
        <f>IF('P10'!F15="","",'P10'!F15)</f>
        <v>Christine Arnesen</v>
      </c>
      <c r="F35" s="202" t="str">
        <f>IF('P10'!G15="","",'P10'!G15)</f>
        <v>Spydeberg Atletene</v>
      </c>
      <c r="G35" s="203">
        <f>IF('P10'!N15=0,"",'P10'!N15)</f>
        <v>40</v>
      </c>
      <c r="H35" s="203">
        <f>IF('P10'!O15=0,"",'P10'!O15)</f>
        <v>55</v>
      </c>
      <c r="I35" s="203">
        <f>IF('P10'!P15=0,"",'P10'!P15)</f>
        <v>95</v>
      </c>
      <c r="J35" s="204">
        <f>IF('P10'!Q15=0,"",'P10'!Q15)</f>
        <v>119.9630729316981</v>
      </c>
    </row>
    <row r="36" spans="1:10" ht="15">
      <c r="A36" s="199"/>
      <c r="B36" s="200"/>
      <c r="C36" s="201"/>
      <c r="D36" s="200"/>
      <c r="E36" s="202"/>
      <c r="F36" s="202"/>
      <c r="G36" s="203"/>
      <c r="H36" s="203"/>
      <c r="I36" s="203"/>
      <c r="J36" s="204"/>
    </row>
    <row r="37" spans="1:10" ht="15">
      <c r="A37" s="199">
        <v>1</v>
      </c>
      <c r="B37" s="200">
        <f>IF('P12'!A15="","",'P12'!A15)</f>
        <v>75</v>
      </c>
      <c r="C37" s="201">
        <f>IF('P12'!B15="","",'P12'!B15)</f>
        <v>69.4</v>
      </c>
      <c r="D37" s="200" t="str">
        <f>IF('P12'!C15="","",'P12'!C15)</f>
        <v>SK</v>
      </c>
      <c r="E37" s="202" t="str">
        <f>IF('P12'!F15="","",'P12'!F15)</f>
        <v>Ruth Kasirye</v>
      </c>
      <c r="F37" s="202" t="str">
        <f>IF('P12'!G15="","",'P12'!G15)</f>
        <v>Tønsberg-Kam.</v>
      </c>
      <c r="G37" s="203">
        <f>IF('P12'!N15=0,"",'P12'!N15)</f>
        <v>105</v>
      </c>
      <c r="H37" s="203">
        <f>IF('P12'!O15=0,"",'P12'!O15)</f>
        <v>125</v>
      </c>
      <c r="I37" s="203">
        <f>IF('P12'!P15=0,"",'P12'!P15)</f>
        <v>230</v>
      </c>
      <c r="J37" s="205">
        <f>IF('P12'!Q15=0,"",'P12'!Q15)</f>
        <v>287.63091461167204</v>
      </c>
    </row>
    <row r="38" spans="1:10" ht="15">
      <c r="A38" s="199">
        <v>2</v>
      </c>
      <c r="B38" s="200">
        <f>IF('P12'!A11="","",'P12'!A11)</f>
        <v>75</v>
      </c>
      <c r="C38" s="201">
        <f>IF('P12'!B11="","",'P12'!B11)</f>
        <v>72.12</v>
      </c>
      <c r="D38" s="200" t="str">
        <f>IF('P12'!C11="","",'P12'!C11)</f>
        <v>SK</v>
      </c>
      <c r="E38" s="202" t="str">
        <f>IF('P12'!F11="","",'P12'!F11)</f>
        <v>Stine Mari Hasfjord</v>
      </c>
      <c r="F38" s="202" t="str">
        <f>IF('P12'!G11="","",'P12'!G11)</f>
        <v>AK Bjørgvin</v>
      </c>
      <c r="G38" s="203">
        <f>IF('P12'!N11=0,"",'P12'!N11)</f>
        <v>63</v>
      </c>
      <c r="H38" s="203">
        <f>IF('P12'!O11=0,"",'P12'!O11)</f>
        <v>91</v>
      </c>
      <c r="I38" s="203">
        <f>IF('P12'!P11=0,"",'P12'!P11)</f>
        <v>154</v>
      </c>
      <c r="J38" s="205">
        <f>IF('P12'!Q11=0,"",'P12'!Q11)</f>
        <v>188.37436047253541</v>
      </c>
    </row>
    <row r="39" spans="1:10" ht="15">
      <c r="A39" s="199">
        <v>3</v>
      </c>
      <c r="B39" s="200">
        <f>IF('P12'!A13="","",'P12'!A13)</f>
        <v>75</v>
      </c>
      <c r="C39" s="201">
        <f>IF('P12'!B13="","",'P12'!B13)</f>
        <v>71.92</v>
      </c>
      <c r="D39" s="200" t="str">
        <f>IF('P12'!C13="","",'P12'!C13)</f>
        <v>SK</v>
      </c>
      <c r="E39" s="202" t="str">
        <f>IF('P12'!F13="","",'P12'!F13)</f>
        <v>Asta Rønning Fjærli</v>
      </c>
      <c r="F39" s="202" t="str">
        <f>IF('P12'!G13="","",'P12'!G13)</f>
        <v>Trondheim AK</v>
      </c>
      <c r="G39" s="203">
        <f>IF('P12'!N13=0,"",'P12'!N13)</f>
        <v>68</v>
      </c>
      <c r="H39" s="203">
        <f>IF('P12'!O13=0,"",'P12'!O13)</f>
        <v>85</v>
      </c>
      <c r="I39" s="203">
        <f>IF('P12'!P13=0,"",'P12'!P13)</f>
        <v>153</v>
      </c>
      <c r="J39" s="205">
        <f>IF('P12'!Q13=0,"",'P12'!Q13)</f>
        <v>187.4431901875987</v>
      </c>
    </row>
    <row r="40" spans="1:10" ht="15">
      <c r="A40" s="199">
        <v>4</v>
      </c>
      <c r="B40" s="200">
        <f>IF('P12'!A14="","",'P12'!A14)</f>
        <v>75</v>
      </c>
      <c r="C40" s="201">
        <f>IF('P12'!B14="","",'P12'!B14)</f>
        <v>70.26</v>
      </c>
      <c r="D40" s="200" t="str">
        <f>IF('P12'!C14="","",'P12'!C14)</f>
        <v>SK</v>
      </c>
      <c r="E40" s="202" t="str">
        <f>IF('P12'!F14="","",'P12'!F14)</f>
        <v>Ingvild Brynjulfsen</v>
      </c>
      <c r="F40" s="202" t="str">
        <f>IF('P12'!G14="","",'P12'!G14)</f>
        <v>Trondheim AK</v>
      </c>
      <c r="G40" s="203">
        <f>IF('P12'!N14=0,"",'P12'!N14)</f>
        <v>69</v>
      </c>
      <c r="H40" s="203">
        <f>IF('P12'!O14=0,"",'P12'!O14)</f>
        <v>80</v>
      </c>
      <c r="I40" s="203">
        <f>IF('P12'!P14=0,"",'P12'!P14)</f>
        <v>149</v>
      </c>
      <c r="J40" s="205">
        <f>IF('P12'!Q14=0,"",'P12'!Q14)</f>
        <v>184.99586665495673</v>
      </c>
    </row>
    <row r="41" spans="1:10" ht="15">
      <c r="A41" s="199">
        <v>5</v>
      </c>
      <c r="B41" s="200">
        <f>IF('P12'!A10="","",'P12'!A10)</f>
        <v>75</v>
      </c>
      <c r="C41" s="201">
        <f>IF('P12'!B10="","",'P12'!B10)</f>
        <v>69.68</v>
      </c>
      <c r="D41" s="200" t="str">
        <f>IF('P12'!C10="","",'P12'!C10)</f>
        <v>SK</v>
      </c>
      <c r="E41" s="202" t="str">
        <f>IF('P12'!F10="","",'P12'!F10)</f>
        <v>Anette Ellingsberg</v>
      </c>
      <c r="F41" s="202" t="str">
        <f>IF('P12'!G10="","",'P12'!G10)</f>
        <v>Trondheim AK</v>
      </c>
      <c r="G41" s="203">
        <f>IF('P12'!N10=0,"",'P12'!N10)</f>
        <v>63</v>
      </c>
      <c r="H41" s="203">
        <f>IF('P12'!O10=0,"",'P12'!O10)</f>
        <v>75</v>
      </c>
      <c r="I41" s="203">
        <f>IF('P12'!P10=0,"",'P12'!P10)</f>
        <v>138</v>
      </c>
      <c r="J41" s="205">
        <f>IF('P12'!Q10=0,"",'P12'!Q10)</f>
        <v>172.16989407153045</v>
      </c>
    </row>
    <row r="42" spans="1:10" ht="15">
      <c r="A42" s="199">
        <v>6</v>
      </c>
      <c r="B42" s="200">
        <f>IF('P12'!A12="","",'P12'!A12)</f>
        <v>75</v>
      </c>
      <c r="C42" s="201">
        <f>IF('P12'!B12="","",'P12'!B12)</f>
        <v>74.16</v>
      </c>
      <c r="D42" s="200" t="str">
        <f>IF('P12'!C12="","",'P12'!C12)</f>
        <v>SK</v>
      </c>
      <c r="E42" s="202" t="str">
        <f>IF('P12'!F12="","",'P12'!F12)</f>
        <v>Rebecca Tiffin</v>
      </c>
      <c r="F42" s="202" t="str">
        <f>IF('P12'!G12="","",'P12'!G12)</f>
        <v>Oslo AK</v>
      </c>
      <c r="G42" s="203">
        <f>IF('P12'!N12=0,"",'P12'!N12)</f>
        <v>62</v>
      </c>
      <c r="H42" s="203">
        <f>IF('P12'!O12=0,"",'P12'!O12)</f>
        <v>74</v>
      </c>
      <c r="I42" s="203">
        <f>IF('P12'!P12=0,"",'P12'!P12)</f>
        <v>136</v>
      </c>
      <c r="J42" s="205">
        <f>IF('P12'!Q12=0,"",'P12'!Q12)</f>
        <v>163.82606366796736</v>
      </c>
    </row>
    <row r="43" spans="1:10" ht="15">
      <c r="A43" s="199"/>
      <c r="B43" s="200">
        <f>IF('P12'!A9="","",'P12'!A9)</f>
        <v>75</v>
      </c>
      <c r="C43" s="201">
        <f>IF('P12'!B9="","",'P12'!B9)</f>
        <v>71.4</v>
      </c>
      <c r="D43" s="200" t="str">
        <f>IF('P12'!C9="","",'P12'!C9)</f>
        <v>SK</v>
      </c>
      <c r="E43" s="202" t="str">
        <f>IF('P12'!F9="","",'P12'!F9)</f>
        <v>Carolina Roa</v>
      </c>
      <c r="F43" s="202" t="str">
        <f>IF('P12'!G9="","",'P12'!G9)</f>
        <v>AK Bjørgvin</v>
      </c>
      <c r="G43" s="203">
        <f>IF('P12'!N9=0,"",'P12'!N9)</f>
      </c>
      <c r="H43" s="203">
        <f>IF('P12'!O9=0,"",'P12'!O9)</f>
        <v>85</v>
      </c>
      <c r="I43" s="203">
        <f>IF('P12'!P9=0,"",'P12'!P9)</f>
      </c>
      <c r="J43" s="205">
        <f>IF('P12'!Q9=0,"",'P12'!Q9)</f>
      </c>
    </row>
    <row r="44" spans="1:10" ht="15">
      <c r="A44" s="199"/>
      <c r="B44" s="200"/>
      <c r="C44" s="201"/>
      <c r="D44" s="200"/>
      <c r="E44" s="202"/>
      <c r="F44" s="202"/>
      <c r="G44" s="203"/>
      <c r="H44" s="203"/>
      <c r="I44" s="203"/>
      <c r="J44" s="205"/>
    </row>
    <row r="45" spans="1:10" ht="15">
      <c r="A45" s="199">
        <v>1</v>
      </c>
      <c r="B45" s="200" t="str">
        <f>IF('P12'!A16="","",'P12'!A16)</f>
        <v>+75</v>
      </c>
      <c r="C45" s="201">
        <f>IF('P12'!B16="","",'P12'!B16)</f>
        <v>75.38</v>
      </c>
      <c r="D45" s="200" t="str">
        <f>IF('P12'!C16="","",'P12'!C16)</f>
        <v>SK</v>
      </c>
      <c r="E45" s="202" t="str">
        <f>IF('P12'!F16="","",'P12'!F16)</f>
        <v>Martine H. Sønju</v>
      </c>
      <c r="F45" s="202" t="str">
        <f>IF('P12'!G16="","",'P12'!G16)</f>
        <v>Gjøvik AK</v>
      </c>
      <c r="G45" s="203">
        <f>IF('P12'!N16=0,"",'P12'!N16)</f>
        <v>60</v>
      </c>
      <c r="H45" s="203">
        <f>IF('P12'!O16=0,"",'P12'!O16)</f>
        <v>70</v>
      </c>
      <c r="I45" s="203">
        <f>IF('P12'!P16=0,"",'P12'!P16)</f>
        <v>130</v>
      </c>
      <c r="J45" s="205">
        <f>IF('P12'!Q16=0,"",'P12'!Q16)</f>
        <v>155.24418534637923</v>
      </c>
    </row>
    <row r="46" spans="1:10" ht="15">
      <c r="A46" s="199">
        <v>2</v>
      </c>
      <c r="B46" s="200" t="str">
        <f>IF('P12'!A17="","",'P12'!A17)</f>
        <v>+75</v>
      </c>
      <c r="C46" s="201">
        <f>IF('P12'!B17="","",'P12'!B17)</f>
        <v>84.3</v>
      </c>
      <c r="D46" s="200" t="str">
        <f>IF('P12'!C17="","",'P12'!C17)</f>
        <v>SK</v>
      </c>
      <c r="E46" s="202" t="str">
        <f>IF('P12'!F17="","",'P12'!F17)</f>
        <v>Silje Johansen</v>
      </c>
      <c r="F46" s="202" t="str">
        <f>IF('P12'!G17="","",'P12'!G17)</f>
        <v>Spydeberg Atletene</v>
      </c>
      <c r="G46" s="203">
        <f>IF('P12'!N17=0,"",'P12'!N17)</f>
        <v>56</v>
      </c>
      <c r="H46" s="203">
        <f>IF('P12'!O17=0,"",'P12'!O17)</f>
        <v>65</v>
      </c>
      <c r="I46" s="203">
        <f>IF('P12'!P17=0,"",'P12'!P17)</f>
        <v>121</v>
      </c>
      <c r="J46" s="205">
        <f>IF('P12'!Q17=0,"",'P12'!Q17)</f>
        <v>136.90787120497276</v>
      </c>
    </row>
    <row r="47" ht="12">
      <c r="A47" s="195"/>
    </row>
    <row r="48" spans="1:10" ht="15">
      <c r="A48" s="199">
        <v>1</v>
      </c>
      <c r="B48" s="200">
        <f>IF('P7'!A9="","",'P7'!A9)</f>
        <v>62</v>
      </c>
      <c r="C48" s="201">
        <f>IF('P7'!B9="","",'P7'!B9)</f>
        <v>61.38</v>
      </c>
      <c r="D48" s="200" t="str">
        <f>IF('P7'!C9="","",'P7'!C9)</f>
        <v>SM</v>
      </c>
      <c r="E48" s="202" t="str">
        <f>IF('P7'!F9="","",'P7'!F9)</f>
        <v>Tor Eric Sivertsen</v>
      </c>
      <c r="F48" s="202" t="str">
        <f>IF('P7'!G9="","",'P7'!G9)</f>
        <v>Gjøvik AK</v>
      </c>
      <c r="G48" s="203">
        <f>IF('P7'!N9=0,"",'P7'!N9)</f>
        <v>73</v>
      </c>
      <c r="H48" s="203">
        <f>IF('P7'!O9=0,"",'P7'!O9)</f>
        <v>92</v>
      </c>
      <c r="I48" s="203">
        <f>IF('P7'!P9=0,"",'P7'!P9)</f>
        <v>165</v>
      </c>
      <c r="J48" s="204">
        <f>IF('P7'!Q9=0,"",'P7'!Q9)</f>
        <v>240.35601022890955</v>
      </c>
    </row>
    <row r="49" spans="1:10" ht="15">
      <c r="A49" s="199"/>
      <c r="B49" s="200"/>
      <c r="C49" s="201"/>
      <c r="D49" s="200"/>
      <c r="E49" s="202"/>
      <c r="F49" s="202"/>
      <c r="G49" s="203"/>
      <c r="H49" s="203"/>
      <c r="I49" s="203"/>
      <c r="J49" s="204"/>
    </row>
    <row r="50" spans="1:10" ht="15">
      <c r="A50" s="199">
        <v>1</v>
      </c>
      <c r="B50" s="200">
        <f>IF('P7'!A15="","",'P7'!A15)</f>
        <v>69</v>
      </c>
      <c r="C50" s="201">
        <f>IF('P7'!B15="","",'P7'!B15)</f>
        <v>68.88</v>
      </c>
      <c r="D50" s="200" t="str">
        <f>IF('P7'!C15="","",'P7'!C15)</f>
        <v>SM</v>
      </c>
      <c r="E50" s="202" t="str">
        <f>IF('P7'!F15="","",'P7'!F15)</f>
        <v>Jantsen Øverås</v>
      </c>
      <c r="F50" s="202" t="str">
        <f>IF('P7'!G15="","",'P7'!G15)</f>
        <v>Tambarskjelvar IL</v>
      </c>
      <c r="G50" s="203">
        <f>IF('P7'!N15=0,"",'P7'!N15)</f>
        <v>115</v>
      </c>
      <c r="H50" s="203">
        <f>IF('P7'!O15=0,"",'P7'!O15)</f>
        <v>147</v>
      </c>
      <c r="I50" s="203">
        <f>IF('P7'!P15=0,"",'P7'!P15)</f>
        <v>262</v>
      </c>
      <c r="J50" s="204">
        <f>IF('P7'!Q15=0,"",'P7'!Q15)</f>
        <v>352.8510761268912</v>
      </c>
    </row>
    <row r="51" spans="1:10" ht="15">
      <c r="A51" s="199">
        <v>2</v>
      </c>
      <c r="B51" s="200">
        <f>IF('P7'!A12="","",'P7'!A12)</f>
        <v>69</v>
      </c>
      <c r="C51" s="201">
        <f>IF('P7'!B12="","",'P7'!B12)</f>
        <v>67.46</v>
      </c>
      <c r="D51" s="200" t="str">
        <f>IF('P7'!C12="","",'P7'!C12)</f>
        <v>SM</v>
      </c>
      <c r="E51" s="202" t="str">
        <f>IF('P7'!F12="","",'P7'!F12)</f>
        <v>Daniel Roness</v>
      </c>
      <c r="F51" s="202" t="str">
        <f>IF('P7'!G12="","",'P7'!G12)</f>
        <v>Spydeberg Atletene</v>
      </c>
      <c r="G51" s="203">
        <f>IF('P7'!N12=0,"",'P7'!N12)</f>
        <v>110</v>
      </c>
      <c r="H51" s="203">
        <f>IF('P7'!O12=0,"",'P7'!O12)</f>
        <v>133</v>
      </c>
      <c r="I51" s="203">
        <f>IF('P7'!P12=0,"",'P7'!P12)</f>
        <v>243</v>
      </c>
      <c r="J51" s="204">
        <f>IF('P7'!Q12=0,"",'P7'!Q12)</f>
        <v>331.71105574469937</v>
      </c>
    </row>
    <row r="52" spans="1:10" ht="15">
      <c r="A52" s="199">
        <v>3</v>
      </c>
      <c r="B52" s="200">
        <f>IF('P7'!A13="","",'P7'!A13)</f>
        <v>69</v>
      </c>
      <c r="C52" s="201">
        <f>IF('P7'!B13="","",'P7'!B13)</f>
        <v>68.9</v>
      </c>
      <c r="D52" s="200" t="str">
        <f>IF('P7'!C13="","",'P7'!C13)</f>
        <v>SM</v>
      </c>
      <c r="E52" s="202" t="str">
        <f>IF('P7'!F13="","",'P7'!F13)</f>
        <v>Thomas Eide</v>
      </c>
      <c r="F52" s="202" t="str">
        <f>IF('P7'!G13="","",'P7'!G13)</f>
        <v>Stavanger VK</v>
      </c>
      <c r="G52" s="203">
        <f>IF('P7'!N13=0,"",'P7'!N13)</f>
        <v>95</v>
      </c>
      <c r="H52" s="203">
        <f>IF('P7'!O13=0,"",'P7'!O13)</f>
        <v>122</v>
      </c>
      <c r="I52" s="203">
        <f>IF('P7'!P13=0,"",'P7'!P13)</f>
        <v>217</v>
      </c>
      <c r="J52" s="204">
        <f>IF('P7'!Q13=0,"",'P7'!Q13)</f>
        <v>292.1925165416264</v>
      </c>
    </row>
    <row r="53" spans="1:10" ht="15">
      <c r="A53" s="199">
        <v>4</v>
      </c>
      <c r="B53" s="200">
        <f>IF('P7'!A10="","",'P7'!A10)</f>
        <v>69</v>
      </c>
      <c r="C53" s="201">
        <f>IF('P7'!B10="","",'P7'!B10)</f>
        <v>69</v>
      </c>
      <c r="D53" s="200" t="str">
        <f>IF('P7'!C10="","",'P7'!C10)</f>
        <v>UM</v>
      </c>
      <c r="E53" s="202" t="str">
        <f>IF('P7'!F10="","",'P7'!F10)</f>
        <v>Eskil Andersen</v>
      </c>
      <c r="F53" s="202" t="str">
        <f>IF('P7'!G10="","",'P7'!G10)</f>
        <v>Stavanger VK</v>
      </c>
      <c r="G53" s="203">
        <f>IF('P7'!N10=0,"",'P7'!N10)</f>
        <v>98</v>
      </c>
      <c r="H53" s="203">
        <f>IF('P7'!O10=0,"",'P7'!O10)</f>
        <v>112</v>
      </c>
      <c r="I53" s="203">
        <f>IF('P7'!P10=0,"",'P7'!P10)</f>
        <v>210</v>
      </c>
      <c r="J53" s="204">
        <f>IF('P7'!Q10=0,"",'P7'!Q10)</f>
        <v>282.50450623745917</v>
      </c>
    </row>
    <row r="54" spans="1:10" ht="15">
      <c r="A54" s="199">
        <v>5</v>
      </c>
      <c r="B54" s="200">
        <f>IF('P7'!A14="","",'P7'!A14)</f>
        <v>69</v>
      </c>
      <c r="C54" s="201">
        <f>IF('P7'!B14="","",'P7'!B14)</f>
        <v>67.52</v>
      </c>
      <c r="D54" s="200" t="str">
        <f>IF('P7'!C14="","",'P7'!C14)</f>
        <v>SM</v>
      </c>
      <c r="E54" s="202" t="str">
        <f>IF('P7'!F14="","",'P7'!F14)</f>
        <v>Ole Martin Aas</v>
      </c>
      <c r="F54" s="202" t="str">
        <f>IF('P7'!G14="","",'P7'!G14)</f>
        <v>T &amp; IL National</v>
      </c>
      <c r="G54" s="203">
        <f>IF('P7'!N14=0,"",'P7'!N14)</f>
        <v>88</v>
      </c>
      <c r="H54" s="203">
        <f>IF('P7'!O14=0,"",'P7'!O14)</f>
        <v>105</v>
      </c>
      <c r="I54" s="203">
        <f>IF('P7'!P14=0,"",'P7'!P14)</f>
        <v>193</v>
      </c>
      <c r="J54" s="204">
        <f>IF('P7'!Q14=0,"",'P7'!Q14)</f>
        <v>263.3043804105355</v>
      </c>
    </row>
    <row r="55" spans="1:10" ht="15">
      <c r="A55" s="199">
        <v>6</v>
      </c>
      <c r="B55" s="200">
        <f>IF('P7'!A11="","",'P7'!A11)</f>
        <v>69</v>
      </c>
      <c r="C55" s="201">
        <f>IF('P7'!B11="","",'P7'!B11)</f>
        <v>68.58</v>
      </c>
      <c r="D55" s="200" t="str">
        <f>IF('P7'!C11="","",'P7'!C11)</f>
        <v>SM</v>
      </c>
      <c r="E55" s="202" t="str">
        <f>IF('P7'!F11="","",'P7'!F11)</f>
        <v>Nicolas Johnsen</v>
      </c>
      <c r="F55" s="202" t="str">
        <f>IF('P7'!G11="","",'P7'!G11)</f>
        <v>Trondheim AK</v>
      </c>
      <c r="G55" s="203">
        <f>IF('P7'!N11=0,"",'P7'!N11)</f>
        <v>84</v>
      </c>
      <c r="H55" s="203">
        <f>IF('P7'!O11=0,"",'P7'!O11)</f>
        <v>105</v>
      </c>
      <c r="I55" s="203">
        <f>IF('P7'!P11=0,"",'P7'!P11)</f>
        <v>189</v>
      </c>
      <c r="J55" s="204">
        <f>IF('P7'!Q11=0,"",'P7'!Q11)</f>
        <v>255.25239538423773</v>
      </c>
    </row>
    <row r="56" spans="1:10" ht="15">
      <c r="A56" s="199"/>
      <c r="B56" s="200"/>
      <c r="C56" s="201"/>
      <c r="D56" s="200"/>
      <c r="E56" s="202"/>
      <c r="F56" s="202"/>
      <c r="G56" s="203"/>
      <c r="H56" s="203"/>
      <c r="I56" s="203"/>
      <c r="J56" s="204"/>
    </row>
    <row r="57" spans="1:10" ht="15">
      <c r="A57" s="199">
        <v>1</v>
      </c>
      <c r="B57" s="200">
        <f>IF('P9'!A17="","",'P9'!A17)</f>
        <v>77</v>
      </c>
      <c r="C57" s="201">
        <f>IF('P9'!B17="","",'P9'!B17)</f>
        <v>76.42</v>
      </c>
      <c r="D57" s="200" t="str">
        <f>IF('P9'!C17="","",'P9'!C17)</f>
        <v>M1</v>
      </c>
      <c r="E57" s="202" t="str">
        <f>IF('P9'!F17="","",'P9'!F17)</f>
        <v>Ronny Matnisdal</v>
      </c>
      <c r="F57" s="202" t="str">
        <f>IF('P9'!G17="","",'P9'!G17)</f>
        <v>Vigrestad IK</v>
      </c>
      <c r="G57" s="203">
        <f>IF('P9'!N17=0,"",'P9'!N17)</f>
        <v>130</v>
      </c>
      <c r="H57" s="203">
        <f>IF('P9'!O17=0,"",'P9'!O17)</f>
        <v>148</v>
      </c>
      <c r="I57" s="203">
        <f>IF('P9'!P17=0,"",'P9'!P17)</f>
        <v>278</v>
      </c>
      <c r="J57" s="204">
        <f>IF('P9'!Q17=0,"",'P9'!Q17)</f>
        <v>351.5897007694986</v>
      </c>
    </row>
    <row r="58" spans="1:10" ht="15">
      <c r="A58" s="199">
        <v>2</v>
      </c>
      <c r="B58" s="200">
        <f>IF('P9'!A16="","",'P9'!A16)</f>
        <v>77</v>
      </c>
      <c r="C58" s="201">
        <f>IF('P9'!B16="","",'P9'!B16)</f>
        <v>76.84</v>
      </c>
      <c r="D58" s="200" t="str">
        <f>IF('P9'!C16="","",'P9'!C16)</f>
        <v>SM</v>
      </c>
      <c r="E58" s="202" t="str">
        <f>IF('P9'!F16="","",'P9'!F16)</f>
        <v>Alexander Hanssen</v>
      </c>
      <c r="F58" s="202" t="str">
        <f>IF('P9'!G16="","",'P9'!G16)</f>
        <v>Nidelv IL</v>
      </c>
      <c r="G58" s="203">
        <f>IF('P9'!N16=0,"",'P9'!N16)</f>
        <v>117</v>
      </c>
      <c r="H58" s="203">
        <f>IF('P9'!O16=0,"",'P9'!O16)</f>
        <v>141</v>
      </c>
      <c r="I58" s="203">
        <f>IF('P9'!P16=0,"",'P9'!P16)</f>
        <v>258</v>
      </c>
      <c r="J58" s="204">
        <f>IF('P9'!Q16=0,"",'P9'!Q16)</f>
        <v>325.28235407111566</v>
      </c>
    </row>
    <row r="59" spans="1:10" ht="15">
      <c r="A59" s="199">
        <v>3</v>
      </c>
      <c r="B59" s="200">
        <f>IF('P9'!A15="","",'P9'!A15)</f>
        <v>77</v>
      </c>
      <c r="C59" s="201">
        <f>IF('P9'!B15="","",'P9'!B15)</f>
        <v>76.26</v>
      </c>
      <c r="D59" s="200" t="str">
        <f>IF('P9'!C15="","",'P9'!C15)</f>
        <v>SM</v>
      </c>
      <c r="E59" s="202" t="str">
        <f>IF('P9'!F15="","",'P9'!F15)</f>
        <v>Tomas Fjeldberg</v>
      </c>
      <c r="F59" s="202" t="str">
        <f>IF('P9'!G15="","",'P9'!G15)</f>
        <v>IL Kraftsport</v>
      </c>
      <c r="G59" s="203">
        <f>IF('P9'!N15=0,"",'P9'!N15)</f>
        <v>117</v>
      </c>
      <c r="H59" s="203">
        <f>IF('P9'!O15=0,"",'P9'!O15)</f>
        <v>135</v>
      </c>
      <c r="I59" s="203">
        <f>IF('P9'!P15=0,"",'P9'!P15)</f>
        <v>252</v>
      </c>
      <c r="J59" s="204">
        <f>IF('P9'!Q15=0,"",'P9'!Q15)</f>
        <v>319.08818045124906</v>
      </c>
    </row>
    <row r="60" spans="1:10" ht="15">
      <c r="A60" s="199">
        <v>4</v>
      </c>
      <c r="B60" s="200">
        <f>IF('P9'!A14="","",'P9'!A14)</f>
        <v>77</v>
      </c>
      <c r="C60" s="201">
        <f>IF('P9'!B14="","",'P9'!B14)</f>
        <v>74.52</v>
      </c>
      <c r="D60" s="200" t="str">
        <f>IF('P9'!C14="","",'P9'!C14)</f>
        <v>SM</v>
      </c>
      <c r="E60" s="202" t="str">
        <f>IF('P9'!F14="","",'P9'!F14)</f>
        <v>Fredrik Kvist Gyllensten</v>
      </c>
      <c r="F60" s="202" t="str">
        <f>IF('P9'!G14="","",'P9'!G14)</f>
        <v>IL Kraftsport</v>
      </c>
      <c r="G60" s="203">
        <f>IF('P9'!N14=0,"",'P9'!N14)</f>
        <v>105</v>
      </c>
      <c r="H60" s="203">
        <f>IF('P9'!O14=0,"",'P9'!O14)</f>
        <v>130</v>
      </c>
      <c r="I60" s="203">
        <f>IF('P9'!P14=0,"",'P9'!P14)</f>
        <v>235</v>
      </c>
      <c r="J60" s="204">
        <f>IF('P9'!Q14=0,"",'P9'!Q14)</f>
        <v>301.56345366824144</v>
      </c>
    </row>
    <row r="61" spans="1:10" ht="15">
      <c r="A61" s="199">
        <v>5</v>
      </c>
      <c r="B61" s="200">
        <f>IF('P9'!A12="","",'P9'!A12)</f>
        <v>77</v>
      </c>
      <c r="C61" s="201">
        <f>IF('P9'!B12="","",'P9'!B12)</f>
        <v>76.34</v>
      </c>
      <c r="D61" s="200" t="str">
        <f>IF('P9'!C12="","",'P9'!C12)</f>
        <v>SM</v>
      </c>
      <c r="E61" s="202" t="str">
        <f>IF('P9'!F12="","",'P9'!F12)</f>
        <v>Roy Sømme Ommedal</v>
      </c>
      <c r="F61" s="202" t="str">
        <f>IF('P9'!G12="","",'P9'!G12)</f>
        <v>Vigrestad IK</v>
      </c>
      <c r="G61" s="203">
        <f>IF('P9'!N12=0,"",'P9'!N12)</f>
        <v>105</v>
      </c>
      <c r="H61" s="203">
        <f>IF('P9'!O12=0,"",'P9'!O12)</f>
        <v>130</v>
      </c>
      <c r="I61" s="203">
        <f>IF('P9'!P12=0,"",'P9'!P12)</f>
        <v>235</v>
      </c>
      <c r="J61" s="204">
        <f>IF('P9'!Q12=0,"",'P9'!Q12)</f>
        <v>297.3844970324318</v>
      </c>
    </row>
    <row r="62" spans="1:10" ht="15">
      <c r="A62" s="199">
        <v>6</v>
      </c>
      <c r="B62" s="200">
        <f>IF('P5'!A10="","",'P5'!A10)</f>
        <v>77</v>
      </c>
      <c r="C62" s="201">
        <f>IF('P5'!B10="","",'P5'!B10)</f>
        <v>76.64</v>
      </c>
      <c r="D62" s="200" t="str">
        <f>IF('P5'!C10="","",'P5'!C10)</f>
        <v>SM</v>
      </c>
      <c r="E62" s="202" t="str">
        <f>IF('P5'!F10="","",'P5'!F10)</f>
        <v>Jostein Frøyd</v>
      </c>
      <c r="F62" s="202" t="str">
        <f>IF('P5'!G10="","",'P5'!G10)</f>
        <v>Larvik AK</v>
      </c>
      <c r="G62" s="203">
        <f>IF('P5'!N10=0,"",'P5'!N10)</f>
        <v>100</v>
      </c>
      <c r="H62" s="203">
        <f>IF('P5'!O10=0,"",'P5'!O10)</f>
        <v>130</v>
      </c>
      <c r="I62" s="203">
        <f>IF('P5'!P10=0,"",'P5'!P10)</f>
        <v>230</v>
      </c>
      <c r="J62" s="204">
        <f>IF('P5'!Q10=0,"",'P5'!Q10)</f>
        <v>290.4087570245249</v>
      </c>
    </row>
    <row r="63" spans="1:10" ht="15">
      <c r="A63" s="199">
        <v>7</v>
      </c>
      <c r="B63" s="200">
        <f>IF('P9'!A13="","",'P9'!A13)</f>
        <v>77</v>
      </c>
      <c r="C63" s="201">
        <f>IF('P9'!B13="","",'P9'!B13)</f>
        <v>76</v>
      </c>
      <c r="D63" s="200" t="str">
        <f>IF('P9'!C13="","",'P9'!C13)</f>
        <v>SM</v>
      </c>
      <c r="E63" s="202" t="str">
        <f>IF('P9'!F13="","",'P9'!F13)</f>
        <v>Henrik Walter Pettersen</v>
      </c>
      <c r="F63" s="202" t="str">
        <f>IF('P9'!G13="","",'P9'!G13)</f>
        <v>Spydeberg Atletene</v>
      </c>
      <c r="G63" s="203">
        <f>IF('P9'!N13=0,"",'P9'!N13)</f>
        <v>105</v>
      </c>
      <c r="H63" s="203">
        <f>IF('P9'!O13=0,"",'P9'!O13)</f>
        <v>120</v>
      </c>
      <c r="I63" s="203">
        <f>IF('P9'!P13=0,"",'P9'!P13)</f>
        <v>225</v>
      </c>
      <c r="J63" s="204">
        <f>IF('P9'!Q13=0,"",'P9'!Q13)</f>
        <v>285.4571571819932</v>
      </c>
    </row>
    <row r="64" spans="1:10" ht="15">
      <c r="A64" s="199">
        <v>8</v>
      </c>
      <c r="B64" s="200">
        <f>IF('P9'!A9="","",'P9'!A9)</f>
        <v>77</v>
      </c>
      <c r="C64" s="201">
        <f>IF('P9'!B9="","",'P9'!B9)</f>
        <v>76.12</v>
      </c>
      <c r="D64" s="200" t="str">
        <f>IF('P9'!C9="","",'P9'!C9)</f>
        <v>JM</v>
      </c>
      <c r="E64" s="202" t="str">
        <f>IF('P9'!F9="","",'P9'!F9)</f>
        <v>Jo-Magne Rønning Elden</v>
      </c>
      <c r="F64" s="202" t="str">
        <f>IF('P9'!G9="","",'P9'!G9)</f>
        <v>Nidelv IL</v>
      </c>
      <c r="G64" s="203">
        <f>IF('P9'!N9=0,"",'P9'!N9)</f>
        <v>100</v>
      </c>
      <c r="H64" s="203">
        <f>IF('P9'!O9=0,"",'P9'!O9)</f>
        <v>120</v>
      </c>
      <c r="I64" s="203">
        <f>IF('P9'!P9=0,"",'P9'!P9)</f>
        <v>220</v>
      </c>
      <c r="J64" s="204">
        <f>IF('P9'!Q9=0,"",'P9'!Q9)</f>
        <v>278.86166023405457</v>
      </c>
    </row>
    <row r="65" spans="1:10" ht="15">
      <c r="A65" s="199">
        <v>9</v>
      </c>
      <c r="B65" s="200">
        <f>IF('P9'!A11="","",'P9'!A11)</f>
        <v>77</v>
      </c>
      <c r="C65" s="201">
        <f>IF('P9'!B11="","",'P9'!B11)</f>
        <v>75.8</v>
      </c>
      <c r="D65" s="200" t="str">
        <f>IF('P9'!C11="","",'P9'!C11)</f>
        <v>SM</v>
      </c>
      <c r="E65" s="202" t="str">
        <f>IF('P9'!F11="","",'P9'!F11)</f>
        <v>Torstein Dæhlin</v>
      </c>
      <c r="F65" s="202" t="str">
        <f>IF('P9'!G11="","",'P9'!G11)</f>
        <v>Gjøvik AK</v>
      </c>
      <c r="G65" s="203">
        <f>IF('P9'!N11=0,"",'P9'!N11)</f>
        <v>95</v>
      </c>
      <c r="H65" s="203">
        <f>IF('P9'!O11=0,"",'P9'!O11)</f>
        <v>120</v>
      </c>
      <c r="I65" s="203">
        <f>IF('P9'!P11=0,"",'P9'!P11)</f>
        <v>215</v>
      </c>
      <c r="J65" s="204">
        <f>IF('P9'!Q11=0,"",'P9'!Q11)</f>
        <v>273.1830423758698</v>
      </c>
    </row>
    <row r="66" spans="1:10" ht="15">
      <c r="A66" s="199">
        <v>10</v>
      </c>
      <c r="B66" s="200">
        <f>IF('P9'!A10="","",'P9'!A10)</f>
        <v>77</v>
      </c>
      <c r="C66" s="201">
        <f>IF('P9'!B10="","",'P9'!B10)</f>
        <v>76.38</v>
      </c>
      <c r="D66" s="200" t="str">
        <f>IF('P9'!C10="","",'P9'!C10)</f>
        <v>SM</v>
      </c>
      <c r="E66" s="202" t="str">
        <f>IF('P9'!F10="","",'P9'!F10)</f>
        <v>Erik Carlsen Kjørselvik</v>
      </c>
      <c r="F66" s="202" t="str">
        <f>IF('P9'!G10="","",'P9'!G10)</f>
        <v>Trondheim AK</v>
      </c>
      <c r="G66" s="203">
        <f>IF('P9'!N10=0,"",'P9'!N10)</f>
        <v>94</v>
      </c>
      <c r="H66" s="203">
        <f>IF('P9'!O10=0,"",'P9'!O10)</f>
        <v>115</v>
      </c>
      <c r="I66" s="203">
        <f>IF('P9'!P10=0,"",'P9'!P10)</f>
        <v>209</v>
      </c>
      <c r="J66" s="204">
        <f>IF('P9'!Q10=0,"",'P9'!Q10)</f>
        <v>264.40344937558206</v>
      </c>
    </row>
    <row r="67" spans="1:10" ht="15">
      <c r="A67" s="199">
        <v>11</v>
      </c>
      <c r="B67" s="200">
        <f>IF('P5'!A12="","",'P5'!A12)</f>
        <v>77</v>
      </c>
      <c r="C67" s="201">
        <f>IF('P5'!B12="","",'P5'!B12)</f>
        <v>76.42</v>
      </c>
      <c r="D67" s="200" t="str">
        <f>IF('P5'!C12="","",'P5'!C12)</f>
        <v>SM</v>
      </c>
      <c r="E67" s="202" t="str">
        <f>IF('P5'!F12="","",'P5'!F12)</f>
        <v>Marius Eliassen</v>
      </c>
      <c r="F67" s="202" t="str">
        <f>IF('P5'!G12="","",'P5'!G12)</f>
        <v>Spydeberg Atletene</v>
      </c>
      <c r="G67" s="203">
        <f>IF('P5'!N12=0,"",'P5'!N12)</f>
        <v>94</v>
      </c>
      <c r="H67" s="203">
        <f>IF('P5'!O12=0,"",'P5'!O12)</f>
        <v>115</v>
      </c>
      <c r="I67" s="203">
        <f>IF('P5'!P12=0,"",'P5'!P12)</f>
        <v>209</v>
      </c>
      <c r="J67" s="204">
        <f>IF('P5'!Q12=0,"",'P5'!Q12)</f>
        <v>264.32463115404755</v>
      </c>
    </row>
    <row r="68" spans="1:10" ht="15">
      <c r="A68" s="199">
        <v>12</v>
      </c>
      <c r="B68" s="200">
        <f>IF('P5'!A15="","",'P5'!A15)</f>
        <v>77</v>
      </c>
      <c r="C68" s="201">
        <f>IF('P5'!B15="","",'P5'!B15)</f>
        <v>76.56</v>
      </c>
      <c r="D68" s="200" t="str">
        <f>IF('P5'!C15="","",'P5'!C15)</f>
        <v>SM</v>
      </c>
      <c r="E68" s="202" t="str">
        <f>IF('P5'!F15="","",'P5'!F15)</f>
        <v>Torje Bragstad Venseth</v>
      </c>
      <c r="F68" s="202" t="str">
        <f>IF('P5'!G15="","",'P5'!G15)</f>
        <v>Nidelv IL</v>
      </c>
      <c r="G68" s="203">
        <f>IF('P5'!N15=0,"",'P5'!N15)</f>
        <v>92</v>
      </c>
      <c r="H68" s="203">
        <f>IF('P5'!O15=0,"",'P5'!O15)</f>
        <v>115</v>
      </c>
      <c r="I68" s="203">
        <f>IF('P5'!P15=0,"",'P5'!P15)</f>
        <v>207</v>
      </c>
      <c r="J68" s="204">
        <f>IF('P5'!Q15=0,"",'P5'!Q15)</f>
        <v>261.5228778569286</v>
      </c>
    </row>
    <row r="69" spans="1:10" ht="15">
      <c r="A69" s="199">
        <v>13</v>
      </c>
      <c r="B69" s="200">
        <f>IF('P5'!A14="","",'P5'!A14)</f>
        <v>77</v>
      </c>
      <c r="C69" s="201">
        <f>IF('P5'!B14="","",'P5'!B14)</f>
        <v>75.74</v>
      </c>
      <c r="D69" s="200" t="str">
        <f>IF('P5'!C14="","",'P5'!C14)</f>
        <v>SM</v>
      </c>
      <c r="E69" s="202" t="str">
        <f>IF('P5'!F14="","",'P5'!F14)</f>
        <v>Raymond Toft</v>
      </c>
      <c r="F69" s="202" t="str">
        <f>IF('P5'!G14="","",'P5'!G14)</f>
        <v>Trondheim AK</v>
      </c>
      <c r="G69" s="203">
        <f>IF('P5'!N14=0,"",'P5'!N14)</f>
        <v>90</v>
      </c>
      <c r="H69" s="203">
        <f>IF('P5'!O14=0,"",'P5'!O14)</f>
        <v>115</v>
      </c>
      <c r="I69" s="203">
        <f>IF('P5'!P14=0,"",'P5'!P14)</f>
        <v>205</v>
      </c>
      <c r="J69" s="204">
        <f>IF('P5'!Q14=0,"",'P5'!Q14)</f>
        <v>260.5955172944578</v>
      </c>
    </row>
    <row r="70" spans="1:10" ht="15">
      <c r="A70" s="199">
        <v>14</v>
      </c>
      <c r="B70" s="200">
        <f>IF('P5'!A11="","",'P5'!A11)</f>
        <v>77</v>
      </c>
      <c r="C70" s="201">
        <f>IF('P5'!B11="","",'P5'!B11)</f>
        <v>76.5</v>
      </c>
      <c r="D70" s="200" t="str">
        <f>IF('P5'!C11="","",'P5'!C11)</f>
        <v>SM</v>
      </c>
      <c r="E70" s="202" t="str">
        <f>IF('P5'!F11="","",'P5'!F11)</f>
        <v>Jonas Andre Grønnhaug</v>
      </c>
      <c r="F70" s="202" t="str">
        <f>IF('P5'!G11="","",'P5'!G11)</f>
        <v>Trondheim AK</v>
      </c>
      <c r="G70" s="203">
        <f>IF('P5'!N11=0,"",'P5'!N11)</f>
        <v>90</v>
      </c>
      <c r="H70" s="203">
        <f>IF('P5'!O11=0,"",'P5'!O11)</f>
        <v>112</v>
      </c>
      <c r="I70" s="203">
        <f>IF('P5'!P11=0,"",'P5'!P11)</f>
        <v>202</v>
      </c>
      <c r="J70" s="204">
        <f>IF('P5'!Q11=0,"",'P5'!Q11)</f>
        <v>255.31962857879324</v>
      </c>
    </row>
    <row r="71" spans="1:10" ht="15">
      <c r="A71" s="199">
        <v>15</v>
      </c>
      <c r="B71" s="200">
        <f>IF('P5'!A9="","",'P5'!A9)</f>
        <v>77</v>
      </c>
      <c r="C71" s="201">
        <f>IF('P5'!B9="","",'P5'!B9)</f>
        <v>70.54</v>
      </c>
      <c r="D71" s="200" t="str">
        <f>IF('P5'!C9="","",'P5'!C9)</f>
        <v>SM</v>
      </c>
      <c r="E71" s="202" t="str">
        <f>IF('P5'!F9="","",'P5'!F9)</f>
        <v>Krister Thonerud</v>
      </c>
      <c r="F71" s="202" t="str">
        <f>IF('P5'!G9="","",'P5'!G9)</f>
        <v>Spydeberg Atletene</v>
      </c>
      <c r="G71" s="203">
        <f>IF('P5'!N9=0,"",'P5'!N9)</f>
        <v>83</v>
      </c>
      <c r="H71" s="203">
        <f>IF('P5'!O9=0,"",'P5'!O9)</f>
        <v>100</v>
      </c>
      <c r="I71" s="203">
        <f>IF('P5'!P9=0,"",'P5'!P9)</f>
        <v>183</v>
      </c>
      <c r="J71" s="204">
        <f>IF('P5'!Q9=0,"",'P5'!Q9)</f>
        <v>242.77130546631523</v>
      </c>
    </row>
    <row r="72" spans="1:10" ht="15">
      <c r="A72" s="199"/>
      <c r="B72" s="200">
        <f>IF('P5'!A13="","",'P5'!A13)</f>
        <v>77</v>
      </c>
      <c r="C72" s="201">
        <f>IF('P5'!B13="","",'P5'!B13)</f>
        <v>77</v>
      </c>
      <c r="D72" s="200" t="str">
        <f>IF('P5'!C13="","",'P5'!C13)</f>
        <v>SM</v>
      </c>
      <c r="E72" s="202" t="str">
        <f>IF('P5'!F13="","",'P5'!F13)</f>
        <v>Trygve Nilsen</v>
      </c>
      <c r="F72" s="202" t="str">
        <f>IF('P5'!G13="","",'P5'!G13)</f>
        <v>Spydeberg Atletene</v>
      </c>
      <c r="G72" s="203">
        <f>IF('P5'!N13=0,"",'P5'!N13)</f>
        <v>85</v>
      </c>
      <c r="H72" s="203">
        <f>IF('P5'!O13=0,"",'P5'!O13)</f>
      </c>
      <c r="I72" s="203">
        <f>IF('P5'!P13=0,"",'P5'!P13)</f>
      </c>
      <c r="J72" s="204">
        <f>IF('P5'!Q13=0,"",'P5'!Q13)</f>
      </c>
    </row>
    <row r="73" spans="1:10" ht="15">
      <c r="A73" s="199"/>
      <c r="B73" s="200"/>
      <c r="C73" s="201"/>
      <c r="D73" s="200"/>
      <c r="E73" s="202"/>
      <c r="F73" s="202"/>
      <c r="G73" s="203"/>
      <c r="H73" s="203"/>
      <c r="I73" s="203"/>
      <c r="J73" s="204"/>
    </row>
    <row r="74" spans="1:10" ht="15">
      <c r="A74" s="199">
        <v>1</v>
      </c>
      <c r="B74" s="200">
        <f>IF('P11'!A15="","",'P11'!A15)</f>
        <v>85</v>
      </c>
      <c r="C74" s="201">
        <f>IF('P11'!B15="","",'P11'!B15)</f>
        <v>84.36</v>
      </c>
      <c r="D74" s="200" t="str">
        <f>IF('P11'!C15="","",'P11'!C15)</f>
        <v>SM</v>
      </c>
      <c r="E74" s="202" t="str">
        <f>IF('P11'!F15="","",'P11'!F15)</f>
        <v>Leik Simon Aas</v>
      </c>
      <c r="F74" s="202" t="str">
        <f>IF('P11'!G15="","",'P11'!G15)</f>
        <v>T &amp; IL National</v>
      </c>
      <c r="G74" s="203">
        <f>IF('P11'!N15=0,"",'P11'!N15)</f>
        <v>120</v>
      </c>
      <c r="H74" s="203">
        <f>IF('P11'!O15=0,"",'P11'!O15)</f>
        <v>144</v>
      </c>
      <c r="I74" s="203">
        <f>IF('P11'!P15=0,"",'P11'!P15)</f>
        <v>264</v>
      </c>
      <c r="J74" s="205">
        <f>IF('P11'!Q15=0,"",'P11'!Q15)</f>
        <v>316.68000964086315</v>
      </c>
    </row>
    <row r="75" spans="1:10" ht="15">
      <c r="A75" s="199">
        <v>2</v>
      </c>
      <c r="B75" s="200">
        <f>IF('P11'!A10="","",'P11'!A10)</f>
        <v>85</v>
      </c>
      <c r="C75" s="201">
        <f>IF('P11'!B10="","",'P11'!B10)</f>
        <v>83.06</v>
      </c>
      <c r="D75" s="200" t="str">
        <f>IF('P11'!C10="","",'P11'!C10)</f>
        <v>SM</v>
      </c>
      <c r="E75" s="202" t="str">
        <f>IF('P11'!F10="","",'P11'!F10)</f>
        <v>Pål Bjørhusdal</v>
      </c>
      <c r="F75" s="202" t="str">
        <f>IF('P11'!G10="","",'P11'!G10)</f>
        <v>AK Bjørgvin</v>
      </c>
      <c r="G75" s="203">
        <f>IF('P11'!N10=0,"",'P11'!N10)</f>
        <v>110</v>
      </c>
      <c r="H75" s="203">
        <f>IF('P11'!O10=0,"",'P11'!O10)</f>
        <v>150</v>
      </c>
      <c r="I75" s="203">
        <f>IF('P11'!P10=0,"",'P11'!P10)</f>
        <v>260</v>
      </c>
      <c r="J75" s="205">
        <f>IF('P11'!Q10=0,"",'P11'!Q10)</f>
        <v>314.34440835332526</v>
      </c>
    </row>
    <row r="76" spans="1:10" ht="15">
      <c r="A76" s="199">
        <v>3</v>
      </c>
      <c r="B76" s="200">
        <f>IF('P11'!A14="","",'P11'!A14)</f>
        <v>85</v>
      </c>
      <c r="C76" s="201">
        <f>IF('P11'!B14="","",'P11'!B14)</f>
        <v>83.14</v>
      </c>
      <c r="D76" s="200" t="str">
        <f>IF('P11'!C14="","",'P11'!C14)</f>
        <v>SM</v>
      </c>
      <c r="E76" s="202" t="str">
        <f>IF('P11'!F14="","",'P11'!F14)</f>
        <v>Robin Andresen</v>
      </c>
      <c r="F76" s="202" t="str">
        <f>IF('P11'!G14="","",'P11'!G14)</f>
        <v>Spydeberg Atletene</v>
      </c>
      <c r="G76" s="203">
        <f>IF('P11'!N14=0,"",'P11'!N14)</f>
        <v>112</v>
      </c>
      <c r="H76" s="203">
        <f>IF('P11'!O14=0,"",'P11'!O14)</f>
        <v>130</v>
      </c>
      <c r="I76" s="203">
        <f>IF('P11'!P14=0,"",'P11'!P14)</f>
        <v>242</v>
      </c>
      <c r="J76" s="205">
        <f>IF('P11'!Q14=0,"",'P11'!Q14)</f>
        <v>292.43807910256544</v>
      </c>
    </row>
    <row r="77" spans="1:10" ht="15">
      <c r="A77" s="199">
        <v>4</v>
      </c>
      <c r="B77" s="200">
        <f>IF('P11'!A20="","",'P11'!A20)</f>
        <v>85</v>
      </c>
      <c r="C77" s="201">
        <f>IF('P11'!B20="","",'P11'!B20)</f>
        <v>83.7</v>
      </c>
      <c r="D77" s="200" t="str">
        <f>IF('P11'!C20="","",'P11'!C20)</f>
        <v>SM</v>
      </c>
      <c r="E77" s="202" t="str">
        <f>IF('P11'!F20="","",'P11'!F20)</f>
        <v>Fabian Fosse</v>
      </c>
      <c r="F77" s="202" t="str">
        <f>IF('P11'!G20="","",'P11'!G20)</f>
        <v>AK Bjørgvin</v>
      </c>
      <c r="G77" s="203">
        <f>IF('P11'!N20=0,"",'P11'!N20)</f>
        <v>110</v>
      </c>
      <c r="H77" s="203">
        <f>IF('P11'!O20=0,"",'P11'!O20)</f>
        <v>132</v>
      </c>
      <c r="I77" s="203">
        <f>IF('P11'!P20=0,"",'P11'!P20)</f>
        <v>242</v>
      </c>
      <c r="J77" s="205">
        <f>IF('P11'!Q20=0,"",'P11'!Q20)</f>
        <v>291.44092395836833</v>
      </c>
    </row>
    <row r="78" spans="1:10" ht="15">
      <c r="A78" s="199">
        <v>5</v>
      </c>
      <c r="B78" s="200">
        <f>IF('P11'!A19="","",'P11'!A19)</f>
        <v>85</v>
      </c>
      <c r="C78" s="201">
        <f>IF('P11'!B19="","",'P11'!B19)</f>
        <v>84.28</v>
      </c>
      <c r="D78" s="200" t="str">
        <f>IF('P11'!C19="","",'P11'!C19)</f>
        <v>SM</v>
      </c>
      <c r="E78" s="202" t="str">
        <f>IF('P11'!F19="","",'P11'!F19)</f>
        <v>Jonas Hetland Mong</v>
      </c>
      <c r="F78" s="202" t="str">
        <f>IF('P11'!G19="","",'P11'!G19)</f>
        <v>Vigrestad IK</v>
      </c>
      <c r="G78" s="203">
        <f>IF('P11'!N19=0,"",'P11'!N19)</f>
        <v>112</v>
      </c>
      <c r="H78" s="203">
        <f>IF('P11'!O19=0,"",'P11'!O19)</f>
        <v>130</v>
      </c>
      <c r="I78" s="203">
        <f>IF('P11'!P19=0,"",'P11'!P19)</f>
        <v>242</v>
      </c>
      <c r="J78" s="205">
        <f>IF('P11'!Q19=0,"",'P11'!Q19)</f>
        <v>290.4281350455653</v>
      </c>
    </row>
    <row r="79" spans="1:10" ht="15">
      <c r="A79" s="199">
        <v>6</v>
      </c>
      <c r="B79" s="200">
        <f>IF('P11'!A11="","",'P11'!A11)</f>
        <v>85</v>
      </c>
      <c r="C79" s="201">
        <f>IF('P11'!B11="","",'P11'!B11)</f>
        <v>84.52</v>
      </c>
      <c r="D79" s="200" t="str">
        <f>IF('P11'!C11="","",'P11'!C11)</f>
        <v>SM</v>
      </c>
      <c r="E79" s="202" t="str">
        <f>IF('P11'!F11="","",'P11'!F11)</f>
        <v>Kevin Lund</v>
      </c>
      <c r="F79" s="202" t="str">
        <f>IF('P11'!G11="","",'P11'!G11)</f>
        <v>Hitra VK</v>
      </c>
      <c r="G79" s="203">
        <f>IF('P11'!N11=0,"",'P11'!N11)</f>
        <v>110</v>
      </c>
      <c r="H79" s="203">
        <f>IF('P11'!O11=0,"",'P11'!O11)</f>
        <v>130</v>
      </c>
      <c r="I79" s="203">
        <f>IF('P11'!P11=0,"",'P11'!P11)</f>
        <v>240</v>
      </c>
      <c r="J79" s="205">
        <f>IF('P11'!Q11=0,"",'P11'!Q11)</f>
        <v>287.6180673902696</v>
      </c>
    </row>
    <row r="80" spans="1:10" ht="15">
      <c r="A80" s="199">
        <v>7</v>
      </c>
      <c r="B80" s="200">
        <f>IF('P11'!A18="","",'P11'!A18)</f>
        <v>85</v>
      </c>
      <c r="C80" s="201">
        <f>IF('P11'!B18="","",'P11'!B18)</f>
        <v>81.04</v>
      </c>
      <c r="D80" s="200" t="str">
        <f>IF('P11'!C18="","",'P11'!C18)</f>
        <v>M1</v>
      </c>
      <c r="E80" s="202" t="str">
        <f>IF('P11'!F18="","",'P11'!F18)</f>
        <v>Kristian Høyland</v>
      </c>
      <c r="F80" s="202" t="str">
        <f>IF('P11'!G18="","",'P11'!G18)</f>
        <v>Vigrestad IK</v>
      </c>
      <c r="G80" s="203">
        <f>IF('P11'!N18=0,"",'P11'!N18)</f>
        <v>105</v>
      </c>
      <c r="H80" s="203">
        <f>IF('P11'!O18=0,"",'P11'!O18)</f>
        <v>130</v>
      </c>
      <c r="I80" s="203">
        <f>IF('P11'!P18=0,"",'P11'!P18)</f>
        <v>235</v>
      </c>
      <c r="J80" s="205">
        <f>IF('P11'!Q18=0,"",'P11'!Q18)</f>
        <v>287.78180024680626</v>
      </c>
    </row>
    <row r="81" spans="1:10" ht="15">
      <c r="A81" s="199">
        <v>8</v>
      </c>
      <c r="B81" s="200">
        <f>IF('P11'!A13="","",'P11'!A13)</f>
        <v>85</v>
      </c>
      <c r="C81" s="201">
        <f>IF('P11'!B13="","",'P11'!B13)</f>
        <v>83.7</v>
      </c>
      <c r="D81" s="200" t="str">
        <f>IF('P11'!C13="","",'P11'!C13)</f>
        <v>SM</v>
      </c>
      <c r="E81" s="202" t="str">
        <f>IF('P11'!F13="","",'P11'!F13)</f>
        <v>Morten Almås</v>
      </c>
      <c r="F81" s="202" t="str">
        <f>IF('P11'!G13="","",'P11'!G13)</f>
        <v>Nidelv IL</v>
      </c>
      <c r="G81" s="203">
        <f>IF('P11'!N13=0,"",'P11'!N13)</f>
        <v>102</v>
      </c>
      <c r="H81" s="203">
        <f>IF('P11'!O13=0,"",'P11'!O13)</f>
        <v>125</v>
      </c>
      <c r="I81" s="203">
        <f>IF('P11'!P13=0,"",'P11'!P13)</f>
        <v>227</v>
      </c>
      <c r="J81" s="205">
        <f>IF('P11'!Q13=0,"",'P11'!Q13)</f>
        <v>273.3764038783042</v>
      </c>
    </row>
    <row r="82" spans="1:10" ht="15">
      <c r="A82" s="199">
        <v>9</v>
      </c>
      <c r="B82" s="200">
        <f>IF('P11'!A12="","",'P11'!A12)</f>
        <v>85</v>
      </c>
      <c r="C82" s="201">
        <f>IF('P11'!B12="","",'P11'!B12)</f>
        <v>82.16</v>
      </c>
      <c r="D82" s="200" t="str">
        <f>IF('P11'!C12="","",'P11'!C12)</f>
        <v>SM</v>
      </c>
      <c r="E82" s="202" t="str">
        <f>IF('P11'!F12="","",'P11'!F12)</f>
        <v>Anders Albert</v>
      </c>
      <c r="F82" s="202" t="str">
        <f>IF('P11'!G12="","",'P11'!G12)</f>
        <v>Nidelv IL</v>
      </c>
      <c r="G82" s="203">
        <f>IF('P11'!N12=0,"",'P11'!N12)</f>
        <v>96</v>
      </c>
      <c r="H82" s="203">
        <f>IF('P11'!O12=0,"",'P11'!O12)</f>
        <v>130</v>
      </c>
      <c r="I82" s="203">
        <f>IF('P11'!P12=0,"",'P11'!P12)</f>
        <v>226</v>
      </c>
      <c r="J82" s="205">
        <f>IF('P11'!Q12=0,"",'P11'!Q12)</f>
        <v>274.7768371849296</v>
      </c>
    </row>
    <row r="83" spans="1:10" ht="15">
      <c r="A83" s="199">
        <v>10</v>
      </c>
      <c r="B83" s="200">
        <f>IF('P11'!A9="","",'P11'!A9)</f>
        <v>85</v>
      </c>
      <c r="C83" s="201">
        <f>IF('P11'!B9="","",'P11'!B9)</f>
        <v>83.2</v>
      </c>
      <c r="D83" s="200" t="str">
        <f>IF('P11'!C9="","",'P11'!C9)</f>
        <v>JM</v>
      </c>
      <c r="E83" s="202" t="str">
        <f>IF('P11'!F9="","",'P11'!F9)</f>
        <v>Mats Olsen</v>
      </c>
      <c r="F83" s="202" t="str">
        <f>IF('P11'!G9="","",'P11'!G9)</f>
        <v>Grenland AK</v>
      </c>
      <c r="G83" s="203">
        <f>IF('P11'!N9=0,"",'P11'!N9)</f>
        <v>98</v>
      </c>
      <c r="H83" s="203">
        <f>IF('P11'!O9=0,"",'P11'!O9)</f>
        <v>128</v>
      </c>
      <c r="I83" s="203">
        <f>IF('P11'!P9=0,"",'P11'!P9)</f>
        <v>226</v>
      </c>
      <c r="J83" s="205">
        <f>IF('P11'!Q9=0,"",'P11'!Q9)</f>
        <v>273.002696447375</v>
      </c>
    </row>
    <row r="84" spans="1:10" ht="15">
      <c r="A84" s="199">
        <v>11</v>
      </c>
      <c r="B84" s="200">
        <f>IF('P11'!A17="","",'P11'!A17)</f>
        <v>85</v>
      </c>
      <c r="C84" s="201">
        <f>IF('P11'!B17="","",'P11'!B17)</f>
        <v>83.26</v>
      </c>
      <c r="D84" s="200" t="str">
        <f>IF('P11'!C17="","",'P11'!C17)</f>
        <v>M4</v>
      </c>
      <c r="E84" s="202" t="str">
        <f>IF('P11'!F17="","",'P11'!F17)</f>
        <v>Bjørnar Olsen</v>
      </c>
      <c r="F84" s="202" t="str">
        <f>IF('P11'!G17="","",'P11'!G17)</f>
        <v>Grenland AK</v>
      </c>
      <c r="G84" s="203">
        <f>IF('P11'!N17=0,"",'P11'!N17)</f>
        <v>98</v>
      </c>
      <c r="H84" s="203">
        <f>IF('P11'!O17=0,"",'P11'!O17)</f>
        <v>117</v>
      </c>
      <c r="I84" s="203">
        <f>IF('P11'!P17=0,"",'P11'!P17)</f>
        <v>215</v>
      </c>
      <c r="J84" s="205">
        <f>IF('P11'!Q17=0,"",'P11'!Q17)</f>
        <v>259.619416437016</v>
      </c>
    </row>
    <row r="85" spans="1:10" ht="15">
      <c r="A85" s="199">
        <v>12</v>
      </c>
      <c r="B85" s="200">
        <f>IF('P4'!A13="","",'P4'!A13)</f>
        <v>85</v>
      </c>
      <c r="C85" s="201">
        <f>IF('P4'!B13="","",'P4'!B13)</f>
        <v>81.98</v>
      </c>
      <c r="D85" s="200" t="str">
        <f>IF('P4'!C13="","",'P4'!C13)</f>
        <v>M1</v>
      </c>
      <c r="E85" s="202" t="str">
        <f>IF('P4'!F13="","",'P4'!F13)</f>
        <v>Ole Marius Hovdum</v>
      </c>
      <c r="F85" s="202" t="str">
        <f>IF('P4'!G13="","",'P4'!G13)</f>
        <v>T &amp; IL National</v>
      </c>
      <c r="G85" s="203">
        <f>IF('P4'!N13=0,"",'P4'!N13)</f>
        <v>95</v>
      </c>
      <c r="H85" s="203">
        <f>IF('P4'!O13=0,"",'P4'!O13)</f>
        <v>119</v>
      </c>
      <c r="I85" s="203">
        <f>IF('P4'!P13=0,"",'P4'!P13)</f>
        <v>214</v>
      </c>
      <c r="J85" s="204">
        <f>IF('P4'!Q13=0,"",'P4'!Q13)</f>
        <v>260.4838597687492</v>
      </c>
    </row>
    <row r="86" spans="1:10" ht="15">
      <c r="A86" s="199">
        <v>13</v>
      </c>
      <c r="B86" s="200">
        <f>IF('P11'!A16="","",'P11'!A16)</f>
        <v>85</v>
      </c>
      <c r="C86" s="201">
        <f>IF('P11'!B16="","",'P11'!B16)</f>
        <v>84.1</v>
      </c>
      <c r="D86" s="200" t="str">
        <f>IF('P11'!C16="","",'P11'!C16)</f>
        <v>SM</v>
      </c>
      <c r="E86" s="202" t="str">
        <f>IF('P11'!F16="","",'P11'!F16)</f>
        <v>Martin Norum</v>
      </c>
      <c r="F86" s="202" t="str">
        <f>IF('P11'!G16="","",'P11'!G16)</f>
        <v>Tambarskjelvar IL</v>
      </c>
      <c r="G86" s="203">
        <f>IF('P11'!N16=0,"",'P11'!N16)</f>
        <v>97</v>
      </c>
      <c r="H86" s="203">
        <f>IF('P11'!O16=0,"",'P11'!O16)</f>
        <v>113</v>
      </c>
      <c r="I86" s="203">
        <f>IF('P11'!P16=0,"",'P11'!P16)</f>
        <v>210</v>
      </c>
      <c r="J86" s="205">
        <f>IF('P11'!Q16=0,"",'P11'!Q16)</f>
        <v>252.29530332353977</v>
      </c>
    </row>
    <row r="87" spans="1:10" ht="15">
      <c r="A87" s="199"/>
      <c r="B87" s="200"/>
      <c r="C87" s="201"/>
      <c r="D87" s="200"/>
      <c r="E87" s="202"/>
      <c r="F87" s="202"/>
      <c r="G87" s="203"/>
      <c r="H87" s="203"/>
      <c r="I87" s="203"/>
      <c r="J87" s="204"/>
    </row>
    <row r="88" spans="1:10" ht="15">
      <c r="A88" s="199">
        <v>1</v>
      </c>
      <c r="B88" s="200">
        <f>IF('P13'!A16="","",'P13'!A16)</f>
        <v>94</v>
      </c>
      <c r="C88" s="201">
        <f>IF('P13'!B16="","",'P13'!B16)</f>
        <v>92.48</v>
      </c>
      <c r="D88" s="200" t="str">
        <f>IF('P13'!C16="","",'P13'!C16)</f>
        <v>SM</v>
      </c>
      <c r="E88" s="202" t="str">
        <f>IF('P13'!F16="","",'P13'!F16)</f>
        <v>Sindre Rørstadbotnen</v>
      </c>
      <c r="F88" s="202" t="str">
        <f>IF('P13'!G16="","",'P13'!G16)</f>
        <v>Tambarskjelvar IL</v>
      </c>
      <c r="G88" s="203">
        <f>IF('P13'!N16=0,"",'P13'!N16)</f>
        <v>139</v>
      </c>
      <c r="H88" s="203">
        <f>IF('P13'!O16=0,"",'P13'!O16)</f>
        <v>179</v>
      </c>
      <c r="I88" s="203">
        <f>IF('P13'!P16=0,"",'P13'!P16)</f>
        <v>318</v>
      </c>
      <c r="J88" s="205">
        <f>IF('P13'!Q16=0,"",'P13'!Q16)</f>
        <v>365.351492016997</v>
      </c>
    </row>
    <row r="89" spans="1:10" ht="15">
      <c r="A89" s="199">
        <v>2</v>
      </c>
      <c r="B89" s="200">
        <f>IF('P13'!A17="","",'P13'!A17)</f>
        <v>94</v>
      </c>
      <c r="C89" s="201">
        <f>IF('P13'!B17="","",'P13'!B17)</f>
        <v>92.45</v>
      </c>
      <c r="D89" s="200" t="str">
        <f>IF('P13'!C17="","",'P13'!C17)</f>
        <v>SM</v>
      </c>
      <c r="E89" s="202" t="str">
        <f>IF('P13'!F17="","",'P13'!F17)</f>
        <v>Jarleif Amdal</v>
      </c>
      <c r="F89" s="202" t="str">
        <f>IF('P13'!G17="","",'P13'!G17)</f>
        <v>Tønsberg-Kam.</v>
      </c>
      <c r="G89" s="203">
        <f>IF('P13'!N17=0,"",'P13'!N17)</f>
        <v>134</v>
      </c>
      <c r="H89" s="203">
        <f>IF('P13'!O17=0,"",'P13'!O17)</f>
        <v>168</v>
      </c>
      <c r="I89" s="203">
        <f>IF('P13'!P17=0,"",'P13'!P17)</f>
        <v>302</v>
      </c>
      <c r="J89" s="205">
        <f>IF('P13'!Q17=0,"",'P13'!Q17)</f>
        <v>347.01831201948596</v>
      </c>
    </row>
    <row r="90" spans="1:10" ht="15">
      <c r="A90" s="199">
        <v>3</v>
      </c>
      <c r="B90" s="200">
        <f>IF('P13'!A14="","",'P13'!A14)</f>
        <v>94</v>
      </c>
      <c r="C90" s="201">
        <f>IF('P13'!B14="","",'P13'!B14)</f>
        <v>92.84</v>
      </c>
      <c r="D90" s="200" t="str">
        <f>IF('P13'!C14="","",'P13'!C14)</f>
        <v>SM</v>
      </c>
      <c r="E90" s="202" t="str">
        <f>IF('P13'!F14="","",'P13'!F14)</f>
        <v>Håvard Grostad</v>
      </c>
      <c r="F90" s="202" t="str">
        <f>IF('P13'!G14="","",'P13'!G14)</f>
        <v>Nidelv IL</v>
      </c>
      <c r="G90" s="203">
        <f>IF('P13'!N14=0,"",'P13'!N14)</f>
        <v>139</v>
      </c>
      <c r="H90" s="203">
        <f>IF('P13'!O14=0,"",'P13'!O14)</f>
        <v>163</v>
      </c>
      <c r="I90" s="203">
        <f>IF('P13'!P14=0,"",'P13'!P14)</f>
        <v>302</v>
      </c>
      <c r="J90" s="205">
        <f>IF('P13'!Q14=0,"",'P13'!Q14)</f>
        <v>346.3813486424189</v>
      </c>
    </row>
    <row r="91" spans="1:10" ht="15">
      <c r="A91" s="199">
        <v>4</v>
      </c>
      <c r="B91" s="200">
        <f>IF('P13'!A11="","",'P13'!A11)</f>
        <v>94</v>
      </c>
      <c r="C91" s="201">
        <f>IF('P13'!B11="","",'P13'!B11)</f>
        <v>92.61</v>
      </c>
      <c r="D91" s="200" t="str">
        <f>IF('P13'!C11="","",'P13'!C11)</f>
        <v>SM</v>
      </c>
      <c r="E91" s="202" t="str">
        <f>IF('P13'!F11="","",'P13'!F11)</f>
        <v>Phillip Houghton</v>
      </c>
      <c r="F91" s="202" t="str">
        <f>IF('P13'!G11="","",'P13'!G11)</f>
        <v>AK Bjørgvin</v>
      </c>
      <c r="G91" s="203">
        <f>IF('P13'!N11=0,"",'P13'!N11)</f>
        <v>115</v>
      </c>
      <c r="H91" s="203">
        <f>IF('P13'!O11=0,"",'P13'!O11)</f>
        <v>150</v>
      </c>
      <c r="I91" s="203">
        <f>IF('P13'!P11=0,"",'P13'!P11)</f>
        <v>265</v>
      </c>
      <c r="J91" s="205">
        <f>IF('P13'!Q11=0,"",'P13'!Q11)</f>
        <v>304.27266176198884</v>
      </c>
    </row>
    <row r="92" spans="1:10" ht="15">
      <c r="A92" s="199">
        <v>5</v>
      </c>
      <c r="B92" s="200">
        <f>IF('P13'!A13="","",'P13'!A13)</f>
        <v>94</v>
      </c>
      <c r="C92" s="201">
        <f>IF('P13'!B13="","",'P13'!B13)</f>
        <v>92.68</v>
      </c>
      <c r="D92" s="200" t="str">
        <f>IF('P13'!C13="","",'P13'!C13)</f>
        <v>SM</v>
      </c>
      <c r="E92" s="202" t="str">
        <f>IF('P13'!F13="","",'P13'!F13)</f>
        <v>Jonas Fiskum Pedersen</v>
      </c>
      <c r="F92" s="202" t="str">
        <f>IF('P13'!G13="","",'P13'!G13)</f>
        <v>Grenland AK</v>
      </c>
      <c r="G92" s="203">
        <f>IF('P13'!N13=0,"",'P13'!N13)</f>
        <v>113</v>
      </c>
      <c r="H92" s="203">
        <f>IF('P13'!O13=0,"",'P13'!O13)</f>
        <v>136</v>
      </c>
      <c r="I92" s="203">
        <f>IF('P13'!P13=0,"",'P13'!P13)</f>
        <v>249</v>
      </c>
      <c r="J92" s="205">
        <f>IF('P13'!Q13=0,"",'P13'!Q13)</f>
        <v>285.8072200863656</v>
      </c>
    </row>
    <row r="93" spans="1:10" ht="15">
      <c r="A93" s="199">
        <v>6</v>
      </c>
      <c r="B93" s="200">
        <f>IF('P4'!A16="","",'P4'!A16)</f>
        <v>94</v>
      </c>
      <c r="C93" s="201">
        <f>IF('P4'!B16="","",'P4'!B16)</f>
        <v>93</v>
      </c>
      <c r="D93" s="200" t="str">
        <f>IF('P4'!C16="","",'P4'!C16)</f>
        <v>M2</v>
      </c>
      <c r="E93" s="202" t="str">
        <f>IF('P4'!F16="","",'P4'!F16)</f>
        <v>Jarle Hammersvik</v>
      </c>
      <c r="F93" s="202" t="str">
        <f>IF('P4'!G16="","",'P4'!G16)</f>
        <v>Haugesund VK</v>
      </c>
      <c r="G93" s="203">
        <f>IF('P4'!N16=0,"",'P4'!N16)</f>
        <v>105</v>
      </c>
      <c r="H93" s="203">
        <f>IF('P4'!O16=0,"",'P4'!O16)</f>
        <v>140</v>
      </c>
      <c r="I93" s="203">
        <f>IF('P4'!P16=0,"",'P4'!P16)</f>
        <v>245</v>
      </c>
      <c r="J93" s="204">
        <f>IF('P4'!Q16=0,"",'P4'!Q16)</f>
        <v>280.79463033506863</v>
      </c>
    </row>
    <row r="94" spans="1:10" ht="15">
      <c r="A94" s="199">
        <v>7</v>
      </c>
      <c r="B94" s="200">
        <f>IF('P13'!A12="","",'P13'!A12)</f>
        <v>94</v>
      </c>
      <c r="C94" s="201">
        <f>IF('P13'!B12="","",'P13'!B12)</f>
        <v>86.82</v>
      </c>
      <c r="D94" s="200" t="str">
        <f>IF('P13'!C12="","",'P13'!C12)</f>
        <v>SM</v>
      </c>
      <c r="E94" s="202" t="str">
        <f>IF('P13'!F12="","",'P13'!F12)</f>
        <v>Dag Aleksander Klethagen</v>
      </c>
      <c r="F94" s="202" t="str">
        <f>IF('P13'!G12="","",'P13'!G12)</f>
        <v>Gjøvik AK</v>
      </c>
      <c r="G94" s="203">
        <f>IF('P13'!N12=0,"",'P13'!N12)</f>
        <v>102</v>
      </c>
      <c r="H94" s="203">
        <f>IF('P13'!O12=0,"",'P13'!O12)</f>
        <v>130</v>
      </c>
      <c r="I94" s="203">
        <f>IF('P13'!P12=0,"",'P13'!P12)</f>
        <v>232</v>
      </c>
      <c r="J94" s="205">
        <f>IF('P13'!Q12=0,"",'P13'!Q12)</f>
        <v>274.39332411762956</v>
      </c>
    </row>
    <row r="95" spans="1:10" ht="15">
      <c r="A95" s="199">
        <v>8</v>
      </c>
      <c r="B95" s="200">
        <f>IF('P13'!A10="","",'P13'!A10)</f>
        <v>94</v>
      </c>
      <c r="C95" s="201">
        <f>IF('P13'!B10="","",'P13'!B10)</f>
        <v>89.35</v>
      </c>
      <c r="D95" s="200" t="str">
        <f>IF('P13'!C10="","",'P13'!C10)</f>
        <v>SM</v>
      </c>
      <c r="E95" s="202" t="str">
        <f>IF('P13'!F10="","",'P13'!F10)</f>
        <v>Lubomir Kafonek</v>
      </c>
      <c r="F95" s="202" t="str">
        <f>IF('P13'!G10="","",'P13'!G10)</f>
        <v>Trondheim AK</v>
      </c>
      <c r="G95" s="203">
        <f>IF('P13'!N10=0,"",'P13'!N10)</f>
        <v>105</v>
      </c>
      <c r="H95" s="203">
        <f>IF('P13'!O10=0,"",'P13'!O10)</f>
        <v>125</v>
      </c>
      <c r="I95" s="203">
        <f>IF('P13'!P10=0,"",'P13'!P10)</f>
        <v>230</v>
      </c>
      <c r="J95" s="205">
        <f>IF('P13'!Q10=0,"",'P13'!Q10)</f>
        <v>268.3698281499808</v>
      </c>
    </row>
    <row r="96" spans="1:10" ht="15">
      <c r="A96" s="199">
        <v>9</v>
      </c>
      <c r="B96" s="200">
        <f>IF('P3'!A19="","",'P3'!A19)</f>
        <v>94</v>
      </c>
      <c r="C96" s="201">
        <f>IF('P3'!B19="","",'P3'!B19)</f>
        <v>92.72</v>
      </c>
      <c r="D96" s="200" t="str">
        <f>IF('P3'!C19="","",'P3'!C19)</f>
        <v>M4</v>
      </c>
      <c r="E96" s="202" t="str">
        <f>IF('P3'!F19="","",'P3'!F19)</f>
        <v>Petter N. Sæterdal</v>
      </c>
      <c r="F96" s="202" t="str">
        <f>IF('P3'!G19="","",'P3'!G19)</f>
        <v>AK Bjørgvin</v>
      </c>
      <c r="G96" s="203">
        <f>IF('P3'!N19=0,"",'P3'!N19)</f>
        <v>102</v>
      </c>
      <c r="H96" s="203">
        <f>IF('P3'!O19=0,"",'P3'!O19)</f>
        <v>117</v>
      </c>
      <c r="I96" s="203">
        <f>IF('P3'!P19=0,"",'P3'!P19)</f>
        <v>219</v>
      </c>
      <c r="J96" s="204">
        <f>IF('P3'!Q19=0,"",'P3'!Q19)</f>
        <v>251.32532562993563</v>
      </c>
    </row>
    <row r="97" spans="1:10" ht="15">
      <c r="A97" s="199">
        <v>10</v>
      </c>
      <c r="B97" s="200">
        <f>IF('P13'!A15="","",'P13'!A15)</f>
        <v>94</v>
      </c>
      <c r="C97" s="201">
        <f>IF('P13'!B15="","",'P13'!B15)</f>
        <v>87.4</v>
      </c>
      <c r="D97" s="200" t="str">
        <f>IF('P13'!C15="","",'P13'!C15)</f>
        <v>SM</v>
      </c>
      <c r="E97" s="202" t="str">
        <f>IF('P13'!F15="","",'P13'!F15)</f>
        <v>Bjørnar Wold</v>
      </c>
      <c r="F97" s="202" t="str">
        <f>IF('P13'!G15="","",'P13'!G15)</f>
        <v>Spydeberg Atletene</v>
      </c>
      <c r="G97" s="203">
        <f>IF('P13'!N15=0,"",'P13'!N15)</f>
        <v>97</v>
      </c>
      <c r="H97" s="203">
        <f>IF('P13'!O15=0,"",'P13'!O15)</f>
        <v>120</v>
      </c>
      <c r="I97" s="203">
        <f>IF('P13'!P15=0,"",'P13'!P15)</f>
        <v>217</v>
      </c>
      <c r="J97" s="205">
        <f>IF('P13'!Q15=0,"",'P13'!Q15)</f>
        <v>255.83523808624489</v>
      </c>
    </row>
    <row r="98" spans="1:10" ht="15">
      <c r="A98" s="199"/>
      <c r="B98" s="200">
        <f>IF('P13'!A9="","",'P13'!A9)</f>
        <v>94</v>
      </c>
      <c r="C98" s="201">
        <f>IF('P13'!B9="","",'P13'!B9)</f>
        <v>92.67</v>
      </c>
      <c r="D98" s="200" t="str">
        <f>IF('P13'!C9="","",'P13'!C9)</f>
        <v>JM</v>
      </c>
      <c r="E98" s="202" t="str">
        <f>IF('P13'!F9="","",'P13'!F9)</f>
        <v>Tore Gjøringbø</v>
      </c>
      <c r="F98" s="202" t="str">
        <f>IF('P13'!G9="","",'P13'!G9)</f>
        <v>Tambarskjelvar IL</v>
      </c>
      <c r="G98" s="203">
        <f>IF('P13'!N9=0,"",'P13'!N9)</f>
        <v>127</v>
      </c>
      <c r="H98" s="203">
        <f>IF('P13'!O9=0,"",'P13'!O9)</f>
      </c>
      <c r="I98" s="203">
        <f>IF('P13'!P9=0,"",'P13'!P9)</f>
      </c>
      <c r="J98" s="205">
        <f>IF('P13'!Q9=0,"",'P13'!Q9)</f>
      </c>
    </row>
    <row r="99" spans="1:10" ht="15">
      <c r="A99" s="199"/>
      <c r="B99" s="200"/>
      <c r="C99" s="201"/>
      <c r="D99" s="200"/>
      <c r="E99" s="202"/>
      <c r="F99" s="202"/>
      <c r="G99" s="203"/>
      <c r="H99" s="203"/>
      <c r="I99" s="203"/>
      <c r="J99" s="205"/>
    </row>
    <row r="100" spans="1:10" ht="15">
      <c r="A100" s="199">
        <v>1</v>
      </c>
      <c r="B100" s="200">
        <f>IF('P14'!A10="","",'P14'!A10)</f>
        <v>105</v>
      </c>
      <c r="C100" s="201">
        <f>IF('P14'!B10="","",'P14'!B10)</f>
        <v>98.31</v>
      </c>
      <c r="D100" s="200" t="str">
        <f>IF('P14'!C10="","",'P14'!C10)</f>
        <v>SM</v>
      </c>
      <c r="E100" s="202" t="str">
        <f>IF('P14'!F10="","",'P14'!F10)</f>
        <v>Per Hordnes</v>
      </c>
      <c r="F100" s="202" t="str">
        <f>IF('P14'!G10="","",'P14'!G10)</f>
        <v>AK Bjørgvin</v>
      </c>
      <c r="G100" s="203">
        <f>IF('P14'!N10=0,"",'P14'!N10)</f>
        <v>141</v>
      </c>
      <c r="H100" s="203">
        <f>IF('P14'!O10=0,"",'P14'!O10)</f>
        <v>177</v>
      </c>
      <c r="I100" s="203">
        <f>IF('P14'!P10=0,"",'P14'!P10)</f>
        <v>318</v>
      </c>
      <c r="J100" s="205">
        <f>IF('P14'!Q10=0,"",'P14'!Q10)</f>
        <v>356.16477616640884</v>
      </c>
    </row>
    <row r="101" spans="1:10" ht="15">
      <c r="A101" s="199">
        <v>2</v>
      </c>
      <c r="B101" s="200">
        <f>IF('P14'!A15="","",'P14'!A15)</f>
        <v>105</v>
      </c>
      <c r="C101" s="201">
        <f>IF('P14'!B15="","",'P14'!B15)</f>
        <v>104.46</v>
      </c>
      <c r="D101" s="200" t="str">
        <f>IF('P14'!C15="","",'P14'!C15)</f>
        <v>M1</v>
      </c>
      <c r="E101" s="202" t="str">
        <f>IF('P14'!F15="","",'P14'!F15)</f>
        <v>Børge Aadland</v>
      </c>
      <c r="F101" s="202" t="str">
        <f>IF('P14'!G15="","",'P14'!G15)</f>
        <v>AK Bjørgvin</v>
      </c>
      <c r="G101" s="203">
        <f>IF('P14'!N15=0,"",'P14'!N15)</f>
        <v>120</v>
      </c>
      <c r="H101" s="203">
        <f>IF('P14'!O15=0,"",'P14'!O15)</f>
        <v>165</v>
      </c>
      <c r="I101" s="203">
        <f>IF('P14'!P15=0,"",'P14'!P15)</f>
        <v>285</v>
      </c>
      <c r="J101" s="205">
        <f>IF('P14'!Q15=0,"",'P14'!Q15)</f>
        <v>312.0315388833473</v>
      </c>
    </row>
    <row r="102" spans="1:10" ht="15">
      <c r="A102" s="199">
        <v>3</v>
      </c>
      <c r="B102" s="200">
        <f>IF('P14'!A18="","",'P14'!A18)</f>
        <v>105</v>
      </c>
      <c r="C102" s="201">
        <f>IF('P14'!B18="","",'P14'!B18)</f>
        <v>95.6</v>
      </c>
      <c r="D102" s="200" t="str">
        <f>IF('P14'!C18="","",'P14'!C18)</f>
        <v>SM</v>
      </c>
      <c r="E102" s="202" t="str">
        <f>IF('P14'!F18="","",'P14'!F18)</f>
        <v>Tor Kristoffer Klethagen</v>
      </c>
      <c r="F102" s="202" t="str">
        <f>IF('P14'!G18="","",'P14'!G18)</f>
        <v>Gjøvik AK</v>
      </c>
      <c r="G102" s="203">
        <f>IF('P14'!N18=0,"",'P14'!N18)</f>
        <v>121</v>
      </c>
      <c r="H102" s="203">
        <f>IF('P14'!O18=0,"",'P14'!O18)</f>
        <v>135</v>
      </c>
      <c r="I102" s="203">
        <f>IF('P14'!P18=0,"",'P14'!P18)</f>
        <v>256</v>
      </c>
      <c r="J102" s="205">
        <f>IF('P14'!Q18=0,"",'P14'!Q18)</f>
        <v>289.9892812947968</v>
      </c>
    </row>
    <row r="103" spans="1:10" ht="15">
      <c r="A103" s="199">
        <v>4</v>
      </c>
      <c r="B103" s="200">
        <f>IF('P14'!A17="","",'P14'!A17)</f>
        <v>105</v>
      </c>
      <c r="C103" s="201">
        <f>IF('P14'!B17="","",'P14'!B17)</f>
        <v>97.3</v>
      </c>
      <c r="D103" s="200" t="str">
        <f>IF('P14'!C17="","",'P14'!C17)</f>
        <v>M4</v>
      </c>
      <c r="E103" s="202" t="str">
        <f>IF('P14'!F17="","",'P14'!F17)</f>
        <v>Alexander Bahmanyar</v>
      </c>
      <c r="F103" s="202" t="str">
        <f>IF('P14'!G17="","",'P14'!G17)</f>
        <v>Spydeberg Atletene</v>
      </c>
      <c r="G103" s="203">
        <f>IF('P14'!N17=0,"",'P14'!N17)</f>
        <v>105</v>
      </c>
      <c r="H103" s="203">
        <f>IF('P14'!O17=0,"",'P14'!O17)</f>
        <v>141</v>
      </c>
      <c r="I103" s="203">
        <f>IF('P14'!P17=0,"",'P14'!P17)</f>
        <v>246</v>
      </c>
      <c r="J103" s="205">
        <f>IF('P14'!Q17=0,"",'P14'!Q17)</f>
        <v>276.66142399201357</v>
      </c>
    </row>
    <row r="104" spans="1:10" ht="15">
      <c r="A104" s="199">
        <v>5</v>
      </c>
      <c r="B104" s="200">
        <f>IF('P14'!A9="","",'P14'!A9)</f>
        <v>105</v>
      </c>
      <c r="C104" s="201">
        <f>IF('P14'!B9="","",'P14'!B9)</f>
        <v>102.4</v>
      </c>
      <c r="D104" s="200" t="str">
        <f>IF('P14'!C9="","",'P14'!C9)</f>
        <v>JM</v>
      </c>
      <c r="E104" s="202" t="str">
        <f>IF('P14'!F9="","",'P14'!F9)</f>
        <v>Hans Magnus Kleven</v>
      </c>
      <c r="F104" s="202" t="str">
        <f>IF('P14'!G9="","",'P14'!G9)</f>
        <v>Spydeberg Atletene</v>
      </c>
      <c r="G104" s="203">
        <f>IF('P14'!N9=0,"",'P14'!N9)</f>
        <v>110</v>
      </c>
      <c r="H104" s="203">
        <f>IF('P14'!O9=0,"",'P14'!O9)</f>
        <v>130</v>
      </c>
      <c r="I104" s="203">
        <f>IF('P14'!P9=0,"",'P14'!P9)</f>
        <v>240</v>
      </c>
      <c r="J104" s="205">
        <f>IF('P14'!Q9=0,"",'P14'!Q9)</f>
        <v>264.6568282578996</v>
      </c>
    </row>
    <row r="105" spans="1:10" ht="15">
      <c r="A105" s="199">
        <v>6</v>
      </c>
      <c r="B105" s="200">
        <f>IF('P14'!A14="","",'P14'!A14)</f>
        <v>105</v>
      </c>
      <c r="C105" s="201">
        <f>IF('P14'!B14="","",'P14'!B14)</f>
        <v>99.9</v>
      </c>
      <c r="D105" s="200" t="str">
        <f>IF('P14'!C14="","",'P14'!C14)</f>
        <v>SM</v>
      </c>
      <c r="E105" s="202" t="str">
        <f>IF('P14'!F14="","",'P14'!F14)</f>
        <v>Lars Joachim Nilsen</v>
      </c>
      <c r="F105" s="202" t="str">
        <f>IF('P14'!G14="","",'P14'!G14)</f>
        <v>T &amp; IL National</v>
      </c>
      <c r="G105" s="203">
        <f>IF('P14'!N14=0,"",'P14'!N14)</f>
        <v>106</v>
      </c>
      <c r="H105" s="203">
        <f>IF('P14'!O14=0,"",'P14'!O14)</f>
        <v>133</v>
      </c>
      <c r="I105" s="203">
        <f>IF('P14'!P14=0,"",'P14'!P14)</f>
        <v>239</v>
      </c>
      <c r="J105" s="205">
        <f>IF('P14'!Q14=0,"",'P14'!Q14)</f>
        <v>266.01411555732983</v>
      </c>
    </row>
    <row r="106" spans="1:10" ht="15">
      <c r="A106" s="199">
        <v>7</v>
      </c>
      <c r="B106" s="200">
        <f>IF('P14'!A16="","",'P14'!A16)</f>
        <v>105</v>
      </c>
      <c r="C106" s="201">
        <f>IF('P14'!B16="","",'P14'!B16)</f>
        <v>96.72</v>
      </c>
      <c r="D106" s="200" t="str">
        <f>IF('P14'!C16="","",'P14'!C16)</f>
        <v>M2</v>
      </c>
      <c r="E106" s="202" t="str">
        <f>IF('P14'!F16="","",'P14'!F16)</f>
        <v>Ronny Fevåg</v>
      </c>
      <c r="F106" s="202" t="str">
        <f>IF('P14'!G16="","",'P14'!G16)</f>
        <v>Trondheim AK</v>
      </c>
      <c r="G106" s="203">
        <f>IF('P14'!N16=0,"",'P14'!N16)</f>
        <v>105</v>
      </c>
      <c r="H106" s="203">
        <f>IF('P14'!O16=0,"",'P14'!O16)</f>
        <v>130</v>
      </c>
      <c r="I106" s="203">
        <f>IF('P14'!P16=0,"",'P14'!P16)</f>
        <v>235</v>
      </c>
      <c r="J106" s="205">
        <f>IF('P14'!Q16=0,"",'P14'!Q16)</f>
        <v>264.9305905200904</v>
      </c>
    </row>
    <row r="107" spans="1:10" ht="15">
      <c r="A107" s="199">
        <v>8</v>
      </c>
      <c r="B107" s="200">
        <f>IF('P14'!A11="","",'P14'!A11)</f>
        <v>105</v>
      </c>
      <c r="C107" s="201">
        <f>IF('P14'!B11="","",'P14'!B11)</f>
        <v>103.93</v>
      </c>
      <c r="D107" s="200" t="str">
        <f>IF('P14'!C11="","",'P14'!C11)</f>
        <v>JM</v>
      </c>
      <c r="E107" s="202" t="str">
        <f>IF('P14'!F11="","",'P14'!F11)</f>
        <v>Ole Magnus Strand</v>
      </c>
      <c r="F107" s="202" t="str">
        <f>IF('P14'!G11="","",'P14'!G11)</f>
        <v>Hitra VK</v>
      </c>
      <c r="G107" s="203">
        <f>IF('P14'!N11=0,"",'P14'!N11)</f>
        <v>105</v>
      </c>
      <c r="H107" s="203">
        <f>IF('P14'!O11=0,"",'P14'!O11)</f>
        <v>130</v>
      </c>
      <c r="I107" s="203">
        <f>IF('P14'!P11=0,"",'P14'!P11)</f>
        <v>235</v>
      </c>
      <c r="J107" s="205">
        <f>IF('P14'!Q11=0,"",'P14'!Q11)</f>
        <v>257.75466874157604</v>
      </c>
    </row>
    <row r="108" spans="1:10" ht="15">
      <c r="A108" s="199">
        <v>9</v>
      </c>
      <c r="B108" s="200">
        <f>IF('P14'!A12="","",'P14'!A12)</f>
        <v>105</v>
      </c>
      <c r="C108" s="201">
        <f>IF('P14'!B12="","",'P14'!B12)</f>
        <v>98.9</v>
      </c>
      <c r="D108" s="200" t="str">
        <f>IF('P14'!C12="","",'P14'!C12)</f>
        <v>SM</v>
      </c>
      <c r="E108" s="202" t="str">
        <f>IF('P14'!F12="","",'P14'!F12)</f>
        <v>Bjørn-Arild Masvik</v>
      </c>
      <c r="F108" s="202" t="str">
        <f>IF('P14'!G12="","",'P14'!G12)</f>
        <v>Nidelv IL</v>
      </c>
      <c r="G108" s="203">
        <f>IF('P14'!N12=0,"",'P14'!N12)</f>
        <v>105</v>
      </c>
      <c r="H108" s="203">
        <f>IF('P14'!O12=0,"",'P14'!O12)</f>
        <v>127</v>
      </c>
      <c r="I108" s="203">
        <f>IF('P14'!P12=0,"",'P14'!P12)</f>
        <v>232</v>
      </c>
      <c r="J108" s="205">
        <f>IF('P14'!Q12=0,"",'P14'!Q12)</f>
        <v>259.23253073633407</v>
      </c>
    </row>
    <row r="109" spans="1:10" ht="15">
      <c r="A109" s="199"/>
      <c r="B109" s="200">
        <f>IF('P14'!A13="","",'P14'!A13)</f>
        <v>105</v>
      </c>
      <c r="C109" s="201">
        <f>IF('P14'!B13="","",'P14'!B13)</f>
        <v>104.94</v>
      </c>
      <c r="D109" s="200" t="str">
        <f>IF('P14'!C13="","",'P14'!C13)</f>
        <v>SM</v>
      </c>
      <c r="E109" s="202" t="str">
        <f>IF('P14'!F13="","",'P14'!F13)</f>
        <v>Ørjan Hagelund</v>
      </c>
      <c r="F109" s="202" t="str">
        <f>IF('P14'!G13="","",'P14'!G13)</f>
        <v>Stavanger VK</v>
      </c>
      <c r="G109" s="203">
        <f>IF('P14'!N13=0,"",'P14'!N13)</f>
      </c>
      <c r="H109" s="203">
        <f>IF('P14'!O13=0,"",'P14'!O13)</f>
      </c>
      <c r="I109" s="203">
        <f>IF('P14'!P13=0,"",'P14'!P13)</f>
      </c>
      <c r="J109" s="205">
        <f>IF('P14'!Q13=0,"",'P14'!Q13)</f>
      </c>
    </row>
    <row r="110" spans="1:10" ht="15">
      <c r="A110" s="199"/>
      <c r="B110" s="200"/>
      <c r="C110" s="201"/>
      <c r="D110" s="200"/>
      <c r="E110" s="202"/>
      <c r="F110" s="202"/>
      <c r="G110" s="203"/>
      <c r="H110" s="203"/>
      <c r="I110" s="203"/>
      <c r="J110" s="204"/>
    </row>
    <row r="111" spans="1:10" ht="15">
      <c r="A111" s="199">
        <v>1</v>
      </c>
      <c r="B111" s="200" t="str">
        <f>IF('P14'!A21="","",'P14'!A21)</f>
        <v>+105</v>
      </c>
      <c r="C111" s="201">
        <f>IF('P14'!B21="","",'P14'!B21)</f>
        <v>112.96</v>
      </c>
      <c r="D111" s="200" t="str">
        <f>IF('P14'!C21="","",'P14'!C21)</f>
        <v>SM</v>
      </c>
      <c r="E111" s="202" t="str">
        <f>IF('P14'!F21="","",'P14'!F21)</f>
        <v>Kim Eirik Tollefsen</v>
      </c>
      <c r="F111" s="202" t="str">
        <f>IF('P14'!G21="","",'P14'!G21)</f>
        <v>Tønsberg-Kam.</v>
      </c>
      <c r="G111" s="203">
        <f>IF('P14'!N21=0,"",'P14'!N21)</f>
        <v>155</v>
      </c>
      <c r="H111" s="203">
        <f>IF('P14'!O21=0,"",'P14'!O21)</f>
        <v>188</v>
      </c>
      <c r="I111" s="203">
        <f>IF('P14'!P21=0,"",'P14'!P21)</f>
        <v>343</v>
      </c>
      <c r="J111" s="205">
        <f>IF('P14'!Q21=0,"",'P14'!Q21)</f>
        <v>366.0586849970283</v>
      </c>
    </row>
    <row r="112" spans="1:10" ht="15">
      <c r="A112" s="199">
        <v>2</v>
      </c>
      <c r="B112" s="200" t="str">
        <f>IF('P14'!A20="","",'P14'!A20)</f>
        <v>+105</v>
      </c>
      <c r="C112" s="201">
        <f>IF('P14'!B20="","",'P14'!B20)</f>
        <v>129.52</v>
      </c>
      <c r="D112" s="200" t="str">
        <f>IF('P14'!C20="","",'P14'!C20)</f>
        <v>SM</v>
      </c>
      <c r="E112" s="202" t="str">
        <f>IF('P14'!F20="","",'P14'!F20)</f>
        <v>Vebjørn Varlid</v>
      </c>
      <c r="F112" s="202" t="str">
        <f>IF('P14'!G20="","",'P14'!G20)</f>
        <v>Tambarskjelvar IL</v>
      </c>
      <c r="G112" s="203">
        <f>IF('P14'!N20=0,"",'P14'!N20)</f>
        <v>156</v>
      </c>
      <c r="H112" s="203">
        <f>IF('P14'!O20=0,"",'P14'!O20)</f>
        <v>175</v>
      </c>
      <c r="I112" s="203">
        <f>IF('P14'!P20=0,"",'P14'!P20)</f>
        <v>331</v>
      </c>
      <c r="J112" s="205">
        <f>IF('P14'!Q20=0,"",'P14'!Q20)</f>
        <v>341.2607413662802</v>
      </c>
    </row>
    <row r="113" spans="1:10" ht="15">
      <c r="A113" s="199">
        <v>3</v>
      </c>
      <c r="B113" s="200" t="str">
        <f>IF('P14'!A19="","",'P14'!A19)</f>
        <v>+105</v>
      </c>
      <c r="C113" s="201">
        <f>IF('P14'!B19="","",'P14'!B19)</f>
        <v>131.86</v>
      </c>
      <c r="D113" s="200" t="str">
        <f>IF('P14'!C19="","",'P14'!C19)</f>
        <v>SM</v>
      </c>
      <c r="E113" s="202" t="str">
        <f>IF('P14'!F19="","",'P14'!F19)</f>
        <v>Kenneth Heidenberg</v>
      </c>
      <c r="F113" s="202" t="str">
        <f>IF('P14'!G19="","",'P14'!G19)</f>
        <v>T &amp; IL National</v>
      </c>
      <c r="G113" s="203">
        <f>IF('P14'!N19=0,"",'P14'!N19)</f>
        <v>132</v>
      </c>
      <c r="H113" s="203">
        <f>IF('P14'!O19=0,"",'P14'!O19)</f>
        <v>165</v>
      </c>
      <c r="I113" s="203">
        <f>IF('P14'!P19=0,"",'P14'!P19)</f>
        <v>297</v>
      </c>
      <c r="J113" s="205">
        <f>IF('P14'!Q19=0,"",'P14'!Q19)</f>
        <v>305.1172416512244</v>
      </c>
    </row>
    <row r="114" spans="1:10" ht="15">
      <c r="A114" s="199">
        <v>4</v>
      </c>
      <c r="B114" s="200" t="str">
        <f>IF('P14'!A22="","",'P14'!A22)</f>
        <v>+105</v>
      </c>
      <c r="C114" s="201">
        <f>IF('P14'!B22="","",'P14'!B22)</f>
        <v>119.04</v>
      </c>
      <c r="D114" s="200" t="str">
        <f>IF('P14'!C22="","",'P14'!C22)</f>
        <v>SM</v>
      </c>
      <c r="E114" s="202" t="str">
        <f>IF('P14'!F22="","",'P14'!F22)</f>
        <v>Jon Peter Ueland</v>
      </c>
      <c r="F114" s="202" t="str">
        <f>IF('P14'!G22="","",'P14'!G22)</f>
        <v>Vigrestad IK</v>
      </c>
      <c r="G114" s="203">
        <f>IF('P14'!N22=0,"",'P14'!N22)</f>
        <v>121</v>
      </c>
      <c r="H114" s="203">
        <f>IF('P14'!O22=0,"",'P14'!O22)</f>
        <v>150</v>
      </c>
      <c r="I114" s="203">
        <f>IF('P14'!P22=0,"",'P14'!P22)</f>
        <v>271</v>
      </c>
      <c r="J114" s="205">
        <f>IF('P14'!Q22=0,"",'P14'!Q22)</f>
        <v>284.9806865140377</v>
      </c>
    </row>
    <row r="115" spans="1:10" ht="15">
      <c r="A115" s="199">
        <v>5</v>
      </c>
      <c r="B115" s="200" t="str">
        <f>IF('P4'!A18="","",'P4'!A18)</f>
        <v>+105</v>
      </c>
      <c r="C115" s="201">
        <f>IF('P4'!B18="","",'P4'!B18)</f>
        <v>115.96</v>
      </c>
      <c r="D115" s="200" t="str">
        <f>IF('P4'!C18="","",'P4'!C18)</f>
        <v>M2</v>
      </c>
      <c r="E115" s="202" t="str">
        <f>IF('P4'!F18="","",'P4'!F18)</f>
        <v>Geir Johansen</v>
      </c>
      <c r="F115" s="202" t="str">
        <f>IF('P4'!G18="","",'P4'!G18)</f>
        <v>Lenja AK</v>
      </c>
      <c r="G115" s="203">
        <f>IF('P4'!N18=0,"",'P4'!N18)</f>
        <v>116</v>
      </c>
      <c r="H115" s="203">
        <f>IF('P4'!O18=0,"",'P4'!O18)</f>
        <v>151</v>
      </c>
      <c r="I115" s="203">
        <f>IF('P4'!P18=0,"",'P4'!P18)</f>
        <v>267</v>
      </c>
      <c r="J115" s="204">
        <f>IF('P4'!Q18=0,"",'P4'!Q18)</f>
        <v>282.7872650549261</v>
      </c>
    </row>
    <row r="116" spans="1:10" ht="15">
      <c r="A116" s="199"/>
      <c r="B116" s="200">
        <f>IF('P12'!A24="","",'P12'!A24)</f>
      </c>
      <c r="C116" s="201">
        <f>IF('P12'!B24="","",'P12'!B24)</f>
      </c>
      <c r="D116" s="200">
        <f>IF('P12'!C24="","",'P12'!C24)</f>
      </c>
      <c r="E116" s="202">
        <f>IF('P12'!F24="","",'P12'!F24)</f>
      </c>
      <c r="F116" s="202">
        <f>IF('P12'!G24="","",'P12'!G24)</f>
      </c>
      <c r="G116" s="203">
        <f>IF('P12'!N24=0,"",'P12'!N24)</f>
      </c>
      <c r="H116" s="203">
        <f>IF('P12'!O24=0,"",'P12'!O24)</f>
      </c>
      <c r="I116" s="203">
        <f>IF('P12'!P24=0,"",'P12'!P24)</f>
      </c>
      <c r="J116" s="205">
        <f>IF('P12'!Q24=0,"",'P12'!Q24)</f>
      </c>
    </row>
    <row r="117" spans="3:10" ht="17.25">
      <c r="C117" s="198"/>
      <c r="E117" s="206"/>
      <c r="F117" s="206"/>
      <c r="J117" s="196"/>
    </row>
    <row r="118" spans="3:10" ht="17.25">
      <c r="C118" s="198"/>
      <c r="E118" s="207" t="s">
        <v>110</v>
      </c>
      <c r="F118" s="167" t="e">
        <f>SUM(#REF!,#REF!,#REF!,#REF!,#REF!,#REF!,#REF!,#REF!,#REF!,#REF!,#REF!,#REF!)</f>
        <v>#REF!</v>
      </c>
      <c r="J118" s="208"/>
    </row>
    <row r="119" spans="3:10" ht="17.25">
      <c r="C119" s="198"/>
      <c r="E119" s="207" t="s">
        <v>136</v>
      </c>
      <c r="F119" s="167" t="e">
        <f>SUM(#REF!,#REF!,#REF!,#REF!,#REF!,#REF!,#REF!)</f>
        <v>#REF!</v>
      </c>
      <c r="I119" s="209"/>
      <c r="J119" s="208"/>
    </row>
    <row r="120" spans="3:10" ht="17.25">
      <c r="C120" s="198"/>
      <c r="E120" s="207" t="s">
        <v>50</v>
      </c>
      <c r="F120" s="167" t="e">
        <f>SUM(#REF!,#REF!,#REF!,#REF!,#REF!,#REF!,#REF!,#REF!,#REF!,#REF!,#REF!)</f>
        <v>#REF!</v>
      </c>
      <c r="J120" s="208"/>
    </row>
    <row r="121" spans="3:10" ht="17.25">
      <c r="C121" s="198"/>
      <c r="E121" s="207" t="s">
        <v>134</v>
      </c>
      <c r="F121" s="167" t="e">
        <f>SUM(#REF!,#REF!,#REF!,#REF!,#REF!,#REF!,#REF!,#REF!)</f>
        <v>#REF!</v>
      </c>
      <c r="I121" s="209"/>
      <c r="J121" s="208"/>
    </row>
    <row r="122" spans="3:10" ht="17.25">
      <c r="C122" s="198"/>
      <c r="E122" s="207" t="s">
        <v>57</v>
      </c>
      <c r="F122" s="167" t="e">
        <f>SUM(#REF!,#REF!,#REF!,#REF!,#REF!,#REF!,#REF!,#REF!,#REF!,#REF!,#REF!)</f>
        <v>#REF!</v>
      </c>
      <c r="J122" s="208"/>
    </row>
    <row r="123" spans="3:10" ht="17.25">
      <c r="C123" s="198"/>
      <c r="E123" s="207" t="s">
        <v>59</v>
      </c>
      <c r="F123" s="167" t="e">
        <f>SUM(#REF!,#REF!,#REF!,#REF!,#REF!)</f>
        <v>#REF!</v>
      </c>
      <c r="I123" s="209"/>
      <c r="J123" s="208"/>
    </row>
    <row r="124" spans="3:10" ht="17.25">
      <c r="C124" s="198"/>
      <c r="E124" s="207" t="s">
        <v>108</v>
      </c>
      <c r="F124" s="167" t="e">
        <f>SUM(#REF!,#REF!,#REF!,#REF!,#REF!)</f>
        <v>#REF!</v>
      </c>
      <c r="I124" s="209"/>
      <c r="J124" s="208"/>
    </row>
    <row r="125" spans="3:10" ht="17.25">
      <c r="C125" s="198"/>
      <c r="E125" s="207" t="s">
        <v>61</v>
      </c>
      <c r="F125" s="167" t="e">
        <f>SUM(#REF!,#REF!,#REF!,#REF!,#REF!,#REF!,#REF!)</f>
        <v>#REF!</v>
      </c>
      <c r="I125" s="209"/>
      <c r="J125" s="208"/>
    </row>
    <row r="126" spans="3:10" ht="17.25">
      <c r="C126" s="198"/>
      <c r="E126" s="207" t="s">
        <v>91</v>
      </c>
      <c r="F126" s="167" t="e">
        <f>SUM(#REF!,#REF!,#REF!)</f>
        <v>#REF!</v>
      </c>
      <c r="J126" s="208"/>
    </row>
    <row r="127" spans="3:10" ht="17.25">
      <c r="C127" s="198"/>
      <c r="E127" s="207" t="s">
        <v>133</v>
      </c>
      <c r="F127" s="167" t="e">
        <f>SUM(#REF!,#REF!,#REF!,#REF!)</f>
        <v>#REF!</v>
      </c>
      <c r="J127" s="208"/>
    </row>
    <row r="128" spans="3:10" ht="17.25">
      <c r="C128" s="198"/>
      <c r="E128" s="207" t="s">
        <v>94</v>
      </c>
      <c r="F128" s="167" t="e">
        <f>SUM(#REF!,#REF!,#REF!,#REF!)</f>
        <v>#REF!</v>
      </c>
      <c r="J128" s="208"/>
    </row>
    <row r="129" spans="3:10" ht="17.25">
      <c r="C129" s="198"/>
      <c r="E129" s="207" t="s">
        <v>70</v>
      </c>
      <c r="F129" s="167" t="e">
        <f>SUM(#REF!,#REF!,#REF!)</f>
        <v>#REF!</v>
      </c>
      <c r="I129" s="209"/>
      <c r="J129" s="208"/>
    </row>
    <row r="130" spans="3:10" ht="17.25">
      <c r="C130" s="198"/>
      <c r="E130" s="207" t="s">
        <v>87</v>
      </c>
      <c r="F130" s="167" t="e">
        <f>SUM(#REF!,#REF!,#REF!)</f>
        <v>#REF!</v>
      </c>
      <c r="H130" s="210"/>
      <c r="J130" s="208"/>
    </row>
    <row r="131" spans="3:10" ht="17.25">
      <c r="C131" s="198"/>
      <c r="E131" s="207" t="s">
        <v>135</v>
      </c>
      <c r="F131" s="167" t="e">
        <f>SUM(#REF!,#REF!)</f>
        <v>#REF!</v>
      </c>
      <c r="J131" s="208"/>
    </row>
    <row r="132" spans="3:10" ht="17.25">
      <c r="C132" s="198"/>
      <c r="E132" s="207" t="s">
        <v>64</v>
      </c>
      <c r="F132" s="167" t="e">
        <f>SUM(#REF!,#REF!)</f>
        <v>#REF!</v>
      </c>
      <c r="J132" s="208"/>
    </row>
    <row r="133" spans="3:10" ht="17.25">
      <c r="C133" s="198"/>
      <c r="E133" s="207" t="s">
        <v>137</v>
      </c>
      <c r="F133" s="167" t="e">
        <f>SUM(#REF!,#REF!)</f>
        <v>#REF!</v>
      </c>
      <c r="J133" s="208"/>
    </row>
    <row r="134" spans="3:10" ht="17.25">
      <c r="C134" s="198"/>
      <c r="E134" s="207" t="s">
        <v>67</v>
      </c>
      <c r="F134" s="167" t="e">
        <f>SUM(#REF!,#REF!,#REF!)</f>
        <v>#REF!</v>
      </c>
      <c r="J134" s="208"/>
    </row>
    <row r="135" spans="3:10" ht="17.25">
      <c r="C135" s="198"/>
      <c r="E135" s="207" t="s">
        <v>63</v>
      </c>
      <c r="F135" s="167" t="e">
        <f>SUM(#REF!,#REF!)</f>
        <v>#REF!</v>
      </c>
      <c r="I135" s="209"/>
      <c r="J135" s="208"/>
    </row>
    <row r="136" spans="3:10" ht="17.25">
      <c r="C136" s="198"/>
      <c r="E136" s="207" t="s">
        <v>103</v>
      </c>
      <c r="F136" s="167" t="e">
        <f>SUM(#REF!)</f>
        <v>#REF!</v>
      </c>
      <c r="J136" s="208"/>
    </row>
    <row r="137" spans="3:10" ht="17.25">
      <c r="C137" s="198"/>
      <c r="E137" s="207" t="s">
        <v>55</v>
      </c>
      <c r="F137" s="167" t="e">
        <f>SUM(#REF!)</f>
        <v>#REF!</v>
      </c>
      <c r="J137" s="208"/>
    </row>
    <row r="138" spans="3:10" ht="17.25">
      <c r="C138" s="198"/>
      <c r="E138" s="207" t="s">
        <v>114</v>
      </c>
      <c r="F138" s="167" t="e">
        <f>SUM(#REF!)</f>
        <v>#REF!</v>
      </c>
      <c r="J138" s="208"/>
    </row>
    <row r="139" ht="12">
      <c r="F139" s="211" t="e">
        <f>SUM(F118:F138)</f>
        <v>#REF!</v>
      </c>
    </row>
  </sheetData>
  <sheetProtection/>
  <mergeCells count="1">
    <mergeCell ref="E117:F1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  <rowBreaks count="1" manualBreakCount="1"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1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16" sqref="E116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1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72" customWidth="1"/>
  </cols>
  <sheetData>
    <row r="1" spans="1:11" s="69" customFormat="1" ht="34.5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70" customFormat="1" ht="26.25" customHeight="1">
      <c r="A2" s="177" t="str">
        <f>IF('P1'!H5&gt;0,'P1'!H5,"")</f>
        <v>Spydeberg Atletene</v>
      </c>
      <c r="B2" s="177"/>
      <c r="C2" s="177"/>
      <c r="D2" s="177"/>
      <c r="E2" s="177"/>
      <c r="F2" s="194" t="str">
        <f>IF('P1'!M5&gt;0,'P1'!M5,"")</f>
        <v>Spydeberghallen</v>
      </c>
      <c r="G2" s="194"/>
      <c r="H2" s="194" t="s">
        <v>305</v>
      </c>
      <c r="I2" s="194"/>
      <c r="J2" s="194"/>
      <c r="K2" s="194"/>
    </row>
    <row r="3" spans="1:11" ht="27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ht="12">
      <c r="A4" s="48"/>
    </row>
    <row r="5" spans="1:12" ht="15">
      <c r="A5" s="105">
        <v>1</v>
      </c>
      <c r="B5" s="106">
        <f>IF('P4'!A9="","",'P4'!A9)</f>
        <v>75</v>
      </c>
      <c r="C5" s="107">
        <f>IF('P4'!B9="","",'P4'!B9)</f>
        <v>70.78</v>
      </c>
      <c r="D5" s="106" t="str">
        <f>IF('P4'!C9="","",'P4'!C9)</f>
        <v>K1</v>
      </c>
      <c r="E5" s="108">
        <f>IF('P4'!D9="","",'P4'!D9)</f>
        <v>29102</v>
      </c>
      <c r="F5" s="109" t="str">
        <f>IF('P4'!F9="","",'P4'!F9)</f>
        <v>Hilde Næss</v>
      </c>
      <c r="G5" s="109" t="str">
        <f>IF('P4'!G9="","",'P4'!G9)</f>
        <v>Lørenskog AK</v>
      </c>
      <c r="H5" s="110">
        <f>IF('P4'!N9=0,"",'P4'!N9)</f>
        <v>43</v>
      </c>
      <c r="I5" s="110">
        <f>IF('P4'!O9=0,"",'P4'!O9)</f>
        <v>61</v>
      </c>
      <c r="J5" s="110">
        <f>IF('P4'!P9=0,"",'P4'!P9)</f>
        <v>104</v>
      </c>
      <c r="K5" s="111">
        <f>IF('P4'!Q9=0,"",'P4'!Q9)</f>
        <v>128.57557114638962</v>
      </c>
      <c r="L5">
        <v>12</v>
      </c>
    </row>
    <row r="6" spans="1:12" ht="15">
      <c r="A6" s="105">
        <v>2</v>
      </c>
      <c r="B6" s="106">
        <f>IF('P4'!A10="","",'P4'!A10)</f>
        <v>75</v>
      </c>
      <c r="C6" s="107">
        <f>IF('P4'!B10="","",'P4'!B10)</f>
        <v>72.02</v>
      </c>
      <c r="D6" s="106" t="str">
        <f>IF('P4'!C10="","",'P4'!C10)</f>
        <v>K1</v>
      </c>
      <c r="E6" s="108">
        <f>IF('P4'!D10="","",'P4'!D10)</f>
        <v>29343</v>
      </c>
      <c r="F6" s="109" t="str">
        <f>IF('P4'!F10="","",'P4'!F10)</f>
        <v>Kira Ingelsrudøyen</v>
      </c>
      <c r="G6" s="109" t="str">
        <f>IF('P4'!G10="","",'P4'!G10)</f>
        <v>Larvik AK</v>
      </c>
      <c r="H6" s="110">
        <f>IF('P4'!N10=0,"",'P4'!N10)</f>
        <v>42</v>
      </c>
      <c r="I6" s="110">
        <f>IF('P4'!O10=0,"",'P4'!O10)</f>
        <v>50</v>
      </c>
      <c r="J6" s="110">
        <f>IF('P4'!P10=0,"",'P4'!P10)</f>
        <v>92</v>
      </c>
      <c r="K6" s="111">
        <f>IF('P4'!Q10=0,"",'P4'!Q10)</f>
        <v>112.6229552664659</v>
      </c>
      <c r="L6">
        <v>10</v>
      </c>
    </row>
    <row r="7" spans="1:11" ht="15">
      <c r="A7" s="105"/>
      <c r="B7" s="106"/>
      <c r="C7" s="107"/>
      <c r="D7" s="106"/>
      <c r="E7" s="108"/>
      <c r="F7" s="109"/>
      <c r="G7" s="109"/>
      <c r="H7" s="110"/>
      <c r="I7" s="110"/>
      <c r="J7" s="110"/>
      <c r="K7" s="111"/>
    </row>
    <row r="8" spans="1:12" ht="15">
      <c r="A8" s="105">
        <v>1</v>
      </c>
      <c r="B8" s="106">
        <f>IF('P4'!A11="","",'P4'!A11)</f>
        <v>63</v>
      </c>
      <c r="C8" s="107">
        <f>IF('P4'!B11="","",'P4'!B11)</f>
        <v>60.46</v>
      </c>
      <c r="D8" s="106" t="str">
        <f>IF('P4'!C11="","",'P4'!C11)</f>
        <v>K2</v>
      </c>
      <c r="E8" s="108">
        <f>IF('P4'!D11="","",'P4'!D11)</f>
        <v>26801</v>
      </c>
      <c r="F8" s="109" t="str">
        <f>IF('P4'!F11="","",'P4'!F11)</f>
        <v>Anna Rød Nyland</v>
      </c>
      <c r="G8" s="109" t="str">
        <f>IF('P4'!G11="","",'P4'!G11)</f>
        <v>Haugesund VK</v>
      </c>
      <c r="H8" s="110">
        <f>IF('P4'!N11=0,"",'P4'!N11)</f>
        <v>35</v>
      </c>
      <c r="I8" s="110">
        <f>IF('P4'!O11=0,"",'P4'!O11)</f>
        <v>56</v>
      </c>
      <c r="J8" s="110">
        <f>IF('P4'!P11=0,"",'P4'!P11)</f>
        <v>91</v>
      </c>
      <c r="K8" s="111">
        <f>IF('P4'!Q11=0,"",'P4'!Q11)</f>
        <v>124.3726688842086</v>
      </c>
      <c r="L8">
        <v>12</v>
      </c>
    </row>
    <row r="9" spans="1:11" ht="15">
      <c r="A9" s="105"/>
      <c r="B9" s="106"/>
      <c r="C9" s="107"/>
      <c r="D9" s="106"/>
      <c r="E9" s="108"/>
      <c r="F9" s="109"/>
      <c r="G9" s="109"/>
      <c r="H9" s="110"/>
      <c r="I9" s="110"/>
      <c r="J9" s="110"/>
      <c r="K9" s="111"/>
    </row>
    <row r="10" spans="1:12" ht="15">
      <c r="A10" s="105">
        <v>1</v>
      </c>
      <c r="B10" s="106">
        <f>IF('P10'!A17="","",'P10'!A17)</f>
        <v>69</v>
      </c>
      <c r="C10" s="107">
        <f>IF('P10'!B17="","",'P10'!B17)</f>
        <v>68.6</v>
      </c>
      <c r="D10" s="106" t="str">
        <f>IF('P10'!C17="","",'P10'!C17)</f>
        <v>K2</v>
      </c>
      <c r="E10" s="108">
        <f>IF('P10'!D17="","",'P10'!D17)</f>
        <v>26306</v>
      </c>
      <c r="F10" s="109" t="str">
        <f>IF('P10'!F17="","",'P10'!F17)</f>
        <v>Anna Waage</v>
      </c>
      <c r="G10" s="109" t="str">
        <f>IF('P10'!G17="","",'P10'!G17)</f>
        <v>Flaktveit IK</v>
      </c>
      <c r="H10" s="110">
        <f>IF('P10'!N17=0,"",'P10'!N17)</f>
        <v>54</v>
      </c>
      <c r="I10" s="110">
        <f>IF('P10'!O17=0,"",'P10'!O17)</f>
        <v>76</v>
      </c>
      <c r="J10" s="110">
        <f>IF('P10'!P17=0,"",'P10'!P17)</f>
        <v>130</v>
      </c>
      <c r="K10" s="111">
        <f>IF('P10'!Q17=0,"",'P10'!Q17)</f>
        <v>163.6991768594519</v>
      </c>
      <c r="L10">
        <v>12</v>
      </c>
    </row>
    <row r="11" spans="1:11" ht="15">
      <c r="A11" s="105"/>
      <c r="B11" s="106"/>
      <c r="C11" s="107"/>
      <c r="D11" s="106"/>
      <c r="E11" s="108"/>
      <c r="F11" s="109"/>
      <c r="G11" s="109"/>
      <c r="H11" s="110"/>
      <c r="I11" s="110"/>
      <c r="J11" s="110"/>
      <c r="K11" s="111"/>
    </row>
    <row r="12" spans="1:12" ht="15">
      <c r="A12" s="105">
        <v>1</v>
      </c>
      <c r="B12" s="106">
        <f>IF('P8'!A17="","",'P8'!A17)</f>
        <v>63</v>
      </c>
      <c r="C12" s="107">
        <f>IF('P8'!B17="","",'P8'!B17)</f>
        <v>61.66</v>
      </c>
      <c r="D12" s="106" t="str">
        <f>IF('P8'!C17="","",'P8'!C17)</f>
        <v>K3</v>
      </c>
      <c r="E12" s="108">
        <f>IF('P8'!D17="","",'P8'!D17)</f>
        <v>25930</v>
      </c>
      <c r="F12" s="109" t="str">
        <f>IF('P8'!F17="","",'P8'!F17)</f>
        <v>Line Søfteland</v>
      </c>
      <c r="G12" s="109" t="str">
        <f>IF('P8'!G17="","",'P8'!G17)</f>
        <v>Flaktveit IK</v>
      </c>
      <c r="H12" s="110">
        <f>IF('P8'!N17=0,"",'P8'!N17)</f>
        <v>48</v>
      </c>
      <c r="I12" s="110">
        <f>IF('P8'!O17=0,"",'P8'!O17)</f>
        <v>64</v>
      </c>
      <c r="J12" s="110">
        <f>IF('P8'!P17=0,"",'P8'!P17)</f>
        <v>112</v>
      </c>
      <c r="K12" s="111">
        <f>IF('P8'!Q17=0,"",'P8'!Q17)</f>
        <v>151.0117234754665</v>
      </c>
      <c r="L12">
        <v>12</v>
      </c>
    </row>
    <row r="13" ht="12">
      <c r="A13" s="48"/>
    </row>
    <row r="14" spans="1:11" ht="27">
      <c r="A14" s="192" t="s">
        <v>27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ht="12">
      <c r="A15" s="48"/>
    </row>
    <row r="16" spans="1:12" ht="15">
      <c r="A16" s="105">
        <v>1</v>
      </c>
      <c r="B16" s="106">
        <f>IF('P9'!A17="","",'P9'!A17)</f>
        <v>77</v>
      </c>
      <c r="C16" s="107">
        <f>IF('P9'!B17="","",'P9'!B17)</f>
        <v>76.42</v>
      </c>
      <c r="D16" s="106" t="str">
        <f>IF('P9'!C17="","",'P9'!C17)</f>
        <v>M1</v>
      </c>
      <c r="E16" s="108">
        <f>IF('P9'!D17="","",'P9'!D17)</f>
        <v>28656</v>
      </c>
      <c r="F16" s="109" t="str">
        <f>IF('P9'!F17="","",'P9'!F17)</f>
        <v>Ronny Matnisdal</v>
      </c>
      <c r="G16" s="109" t="str">
        <f>IF('P9'!G17="","",'P9'!G17)</f>
        <v>Vigrestad IK</v>
      </c>
      <c r="H16" s="110">
        <f>IF('P9'!N17=0,"",'P9'!N17)</f>
        <v>130</v>
      </c>
      <c r="I16" s="110">
        <f>IF('P9'!O17=0,"",'P9'!O17)</f>
        <v>148</v>
      </c>
      <c r="J16" s="110">
        <f>IF('P9'!P17=0,"",'P9'!P17)</f>
        <v>278</v>
      </c>
      <c r="K16" s="111">
        <f>IF('P9'!Q17=0,"",'P9'!Q17)</f>
        <v>351.5897007694986</v>
      </c>
      <c r="L16">
        <v>12</v>
      </c>
    </row>
    <row r="17" spans="1:11" ht="15">
      <c r="A17" s="105"/>
      <c r="B17" s="106"/>
      <c r="C17" s="107"/>
      <c r="D17" s="106"/>
      <c r="E17" s="108"/>
      <c r="F17" s="109"/>
      <c r="G17" s="109"/>
      <c r="H17" s="110"/>
      <c r="I17" s="110"/>
      <c r="J17" s="110"/>
      <c r="K17" s="111"/>
    </row>
    <row r="18" spans="1:12" ht="15">
      <c r="A18" s="105">
        <v>1</v>
      </c>
      <c r="B18" s="106">
        <f>IF('P11'!A18="","",'P11'!A18)</f>
        <v>85</v>
      </c>
      <c r="C18" s="107">
        <f>IF('P11'!B18="","",'P11'!B18)</f>
        <v>81.04</v>
      </c>
      <c r="D18" s="106" t="str">
        <f>IF('P11'!C18="","",'P11'!C18)</f>
        <v>M1</v>
      </c>
      <c r="E18" s="108">
        <f>IF('P11'!D18="","",'P11'!D18)</f>
        <v>28620</v>
      </c>
      <c r="F18" s="109" t="str">
        <f>IF('P11'!F18="","",'P11'!F18)</f>
        <v>Kristian Høyland</v>
      </c>
      <c r="G18" s="109" t="str">
        <f>IF('P11'!G18="","",'P11'!G18)</f>
        <v>Vigrestad IK</v>
      </c>
      <c r="H18" s="110">
        <f>IF('P11'!N18=0,"",'P11'!N18)</f>
        <v>105</v>
      </c>
      <c r="I18" s="110">
        <f>IF('P11'!O18=0,"",'P11'!O18)</f>
        <v>130</v>
      </c>
      <c r="J18" s="110">
        <f>IF('P11'!P18=0,"",'P11'!P18)</f>
        <v>235</v>
      </c>
      <c r="K18" s="112">
        <f>IF('P11'!Q18=0,"",'P11'!Q18)</f>
        <v>287.78180024680626</v>
      </c>
      <c r="L18">
        <v>12</v>
      </c>
    </row>
    <row r="19" spans="1:12" ht="15">
      <c r="A19" s="105">
        <v>2</v>
      </c>
      <c r="B19" s="106">
        <f>IF('P4'!A13="","",'P4'!A13)</f>
        <v>85</v>
      </c>
      <c r="C19" s="107">
        <f>IF('P4'!B13="","",'P4'!B13)</f>
        <v>81.98</v>
      </c>
      <c r="D19" s="106" t="str">
        <f>IF('P4'!C13="","",'P4'!C13)</f>
        <v>M1</v>
      </c>
      <c r="E19" s="108">
        <f>IF('P4'!D13="","",'P4'!D13)</f>
        <v>29147</v>
      </c>
      <c r="F19" s="109" t="str">
        <f>IF('P4'!F13="","",'P4'!F13)</f>
        <v>Ole Marius Hovdum</v>
      </c>
      <c r="G19" s="109" t="str">
        <f>IF('P4'!G13="","",'P4'!G13)</f>
        <v>T &amp; IL National</v>
      </c>
      <c r="H19" s="110">
        <f>IF('P4'!N13=0,"",'P4'!N13)</f>
        <v>95</v>
      </c>
      <c r="I19" s="110">
        <f>IF('P4'!O13=0,"",'P4'!O13)</f>
        <v>119</v>
      </c>
      <c r="J19" s="110">
        <f>IF('P4'!P13=0,"",'P4'!P13)</f>
        <v>214</v>
      </c>
      <c r="K19" s="111">
        <f>IF('P4'!Q13=0,"",'P4'!Q13)</f>
        <v>260.4838597687492</v>
      </c>
      <c r="L19">
        <v>10</v>
      </c>
    </row>
    <row r="20" spans="1:11" ht="15">
      <c r="A20" s="105"/>
      <c r="B20" s="106"/>
      <c r="C20" s="107"/>
      <c r="D20" s="106"/>
      <c r="E20" s="108"/>
      <c r="F20" s="109"/>
      <c r="G20" s="109"/>
      <c r="H20" s="110"/>
      <c r="I20" s="110"/>
      <c r="J20" s="110"/>
      <c r="K20" s="111"/>
    </row>
    <row r="21" spans="1:12" ht="15">
      <c r="A21" s="105">
        <v>1</v>
      </c>
      <c r="B21" s="106">
        <f>IF('P14'!A15="","",'P14'!A15)</f>
        <v>105</v>
      </c>
      <c r="C21" s="107">
        <f>IF('P14'!B15="","",'P14'!B15)</f>
        <v>104.46</v>
      </c>
      <c r="D21" s="106" t="str">
        <f>IF('P14'!C15="","",'P14'!C15)</f>
        <v>M1</v>
      </c>
      <c r="E21" s="108">
        <f>IF('P14'!D15="","",'P14'!D15)</f>
        <v>27849</v>
      </c>
      <c r="F21" s="109" t="str">
        <f>IF('P14'!F15="","",'P14'!F15)</f>
        <v>Børge Aadland</v>
      </c>
      <c r="G21" s="109" t="str">
        <f>IF('P14'!G15="","",'P14'!G15)</f>
        <v>AK Bjørgvin</v>
      </c>
      <c r="H21" s="110">
        <f>IF('P14'!N15=0,"",'P14'!N15)</f>
        <v>120</v>
      </c>
      <c r="I21" s="110">
        <f>IF('P14'!O15=0,"",'P14'!O15)</f>
        <v>165</v>
      </c>
      <c r="J21" s="110">
        <f>IF('P14'!P15=0,"",'P14'!P15)</f>
        <v>285</v>
      </c>
      <c r="K21" s="112">
        <f>IF('P14'!Q15=0,"",'P14'!Q15)</f>
        <v>312.0315388833473</v>
      </c>
      <c r="L21">
        <v>12</v>
      </c>
    </row>
    <row r="22" spans="1:12" ht="15">
      <c r="A22" s="105">
        <v>2</v>
      </c>
      <c r="B22" s="106">
        <f>IF('P4'!A14="","",'P4'!A14)</f>
        <v>105</v>
      </c>
      <c r="C22" s="107">
        <f>IF('P4'!B14="","",'P4'!B14)</f>
        <v>104.12</v>
      </c>
      <c r="D22" s="106" t="str">
        <f>IF('P4'!C14="","",'P4'!C14)</f>
        <v>M1</v>
      </c>
      <c r="E22" s="108">
        <f>IF('P4'!D14="","",'P4'!D14)</f>
        <v>29420</v>
      </c>
      <c r="F22" s="109" t="str">
        <f>IF('P4'!F14="","",'P4'!F14)</f>
        <v>Michal Daae</v>
      </c>
      <c r="G22" s="109" t="str">
        <f>IF('P4'!G14="","",'P4'!G14)</f>
        <v>AK Bjørgvin</v>
      </c>
      <c r="H22" s="110">
        <f>IF('P4'!N14=0,"",'P4'!N14)</f>
        <v>85</v>
      </c>
      <c r="I22" s="110">
        <f>IF('P4'!O14=0,"",'P4'!O14)</f>
        <v>105</v>
      </c>
      <c r="J22" s="110">
        <f>IF('P4'!P14=0,"",'P4'!P14)</f>
        <v>190</v>
      </c>
      <c r="K22" s="111">
        <f>IF('P4'!Q14=0,"",'P4'!Q14)</f>
        <v>208.261741794419</v>
      </c>
      <c r="L22">
        <v>10</v>
      </c>
    </row>
    <row r="23" spans="1:11" ht="15">
      <c r="A23" s="105"/>
      <c r="B23" s="106"/>
      <c r="C23" s="107"/>
      <c r="D23" s="106"/>
      <c r="E23" s="108"/>
      <c r="F23" s="109"/>
      <c r="G23" s="109"/>
      <c r="H23" s="110"/>
      <c r="I23" s="110"/>
      <c r="J23" s="110"/>
      <c r="K23" s="111"/>
    </row>
    <row r="24" spans="1:12" ht="15">
      <c r="A24" s="105">
        <v>1</v>
      </c>
      <c r="B24" s="106">
        <f>IF('P4'!A15="","",'P4'!A15)</f>
        <v>85</v>
      </c>
      <c r="C24" s="107">
        <f>IF('P4'!B15="","",'P4'!B15)</f>
        <v>79.96</v>
      </c>
      <c r="D24" s="106" t="str">
        <f>IF('P4'!C15="","",'P4'!C15)</f>
        <v>M2</v>
      </c>
      <c r="E24" s="108">
        <f>IF('P4'!D15="","",'P4'!D15)</f>
        <v>25993</v>
      </c>
      <c r="F24" s="109" t="str">
        <f>IF('P4'!F15="","",'P4'!F15)</f>
        <v>Thorkild Larsen</v>
      </c>
      <c r="G24" s="109" t="str">
        <f>IF('P4'!G15="","",'P4'!G15)</f>
        <v>Larvik AK</v>
      </c>
      <c r="H24" s="110">
        <f>IF('P4'!N15=0,"",'P4'!N15)</f>
        <v>95</v>
      </c>
      <c r="I24" s="110">
        <f>IF('P4'!O15=0,"",'P4'!O15)</f>
        <v>110</v>
      </c>
      <c r="J24" s="110">
        <f>IF('P4'!P15=0,"",'P4'!P15)</f>
        <v>205</v>
      </c>
      <c r="K24" s="111">
        <f>IF('P4'!Q15=0,"",'P4'!Q15)</f>
        <v>252.84668196322474</v>
      </c>
      <c r="L24">
        <v>12</v>
      </c>
    </row>
    <row r="25" spans="1:11" ht="15">
      <c r="A25" s="105"/>
      <c r="B25" s="106"/>
      <c r="C25" s="107"/>
      <c r="D25" s="106"/>
      <c r="E25" s="108"/>
      <c r="F25" s="109"/>
      <c r="G25" s="109"/>
      <c r="H25" s="110"/>
      <c r="I25" s="110"/>
      <c r="J25" s="110"/>
      <c r="K25" s="111"/>
    </row>
    <row r="26" spans="1:12" ht="15">
      <c r="A26" s="105">
        <v>1</v>
      </c>
      <c r="B26" s="106">
        <f>IF('P4'!A16="","",'P4'!A16)</f>
        <v>94</v>
      </c>
      <c r="C26" s="107">
        <f>IF('P4'!B16="","",'P4'!B16)</f>
        <v>93</v>
      </c>
      <c r="D26" s="106" t="str">
        <f>IF('P4'!C16="","",'P4'!C16)</f>
        <v>M2</v>
      </c>
      <c r="E26" s="108">
        <f>IF('P4'!D16="","",'P4'!D16)</f>
        <v>26566</v>
      </c>
      <c r="F26" s="109" t="str">
        <f>IF('P4'!F16="","",'P4'!F16)</f>
        <v>Jarle Hammersvik</v>
      </c>
      <c r="G26" s="109" t="str">
        <f>IF('P4'!G16="","",'P4'!G16)</f>
        <v>Haugesund VK</v>
      </c>
      <c r="H26" s="110">
        <f>IF('P4'!N16=0,"",'P4'!N16)</f>
        <v>105</v>
      </c>
      <c r="I26" s="110">
        <f>IF('P4'!O16=0,"",'P4'!O16)</f>
        <v>140</v>
      </c>
      <c r="J26" s="110">
        <f>IF('P4'!P16=0,"",'P4'!P16)</f>
        <v>245</v>
      </c>
      <c r="K26" s="111">
        <f>IF('P4'!Q16=0,"",'P4'!Q16)</f>
        <v>280.79463033506863</v>
      </c>
      <c r="L26">
        <v>12</v>
      </c>
    </row>
    <row r="27" spans="1:12" ht="15">
      <c r="A27" s="105">
        <v>2</v>
      </c>
      <c r="B27" s="106">
        <f>IF('P4'!A17="","",'P4'!A17)</f>
        <v>94</v>
      </c>
      <c r="C27" s="107">
        <f>IF('P4'!B17="","",'P4'!B17)</f>
        <v>86.84</v>
      </c>
      <c r="D27" s="106" t="str">
        <f>IF('P4'!C17="","",'P4'!C17)</f>
        <v>M2</v>
      </c>
      <c r="E27" s="108">
        <f>IF('P4'!D17="","",'P4'!D17)</f>
        <v>26854</v>
      </c>
      <c r="F27" s="109" t="str">
        <f>IF('P4'!F17="","",'P4'!F17)</f>
        <v>Jonny Block</v>
      </c>
      <c r="G27" s="109" t="str">
        <f>IF('P4'!G17="","",'P4'!G17)</f>
        <v>Nidelv IL</v>
      </c>
      <c r="H27" s="110">
        <f>IF('P4'!N17=0,"",'P4'!N17)</f>
        <v>98</v>
      </c>
      <c r="I27" s="110">
        <f>IF('P4'!O17=0,"",'P4'!O17)</f>
        <v>120</v>
      </c>
      <c r="J27" s="110">
        <f>IF('P4'!P17=0,"",'P4'!P17)</f>
        <v>218</v>
      </c>
      <c r="K27" s="111">
        <f>IF('P4'!Q17=0,"",'P4'!Q17)</f>
        <v>257.80653265599835</v>
      </c>
      <c r="L27">
        <v>10</v>
      </c>
    </row>
    <row r="28" spans="1:11" ht="15">
      <c r="A28" s="105"/>
      <c r="B28" s="106"/>
      <c r="C28" s="107"/>
      <c r="D28" s="106"/>
      <c r="E28" s="108"/>
      <c r="F28" s="109"/>
      <c r="G28" s="109"/>
      <c r="H28" s="110"/>
      <c r="I28" s="110"/>
      <c r="J28" s="110"/>
      <c r="K28" s="111"/>
    </row>
    <row r="29" spans="1:12" ht="15">
      <c r="A29" s="105">
        <v>1</v>
      </c>
      <c r="B29" s="106">
        <f>IF('P14'!A16="","",'P14'!A16)</f>
        <v>105</v>
      </c>
      <c r="C29" s="107">
        <f>IF('P14'!B16="","",'P14'!B16)</f>
        <v>96.72</v>
      </c>
      <c r="D29" s="106" t="str">
        <f>IF('P14'!C16="","",'P14'!C16)</f>
        <v>M2</v>
      </c>
      <c r="E29" s="108">
        <f>IF('P14'!D16="","",'P14'!D16)</f>
        <v>26790</v>
      </c>
      <c r="F29" s="109" t="str">
        <f>IF('P14'!F16="","",'P14'!F16)</f>
        <v>Ronny Fevåg</v>
      </c>
      <c r="G29" s="109" t="str">
        <f>IF('P14'!G16="","",'P14'!G16)</f>
        <v>Trondheim AK</v>
      </c>
      <c r="H29" s="110">
        <f>IF('P14'!N16=0,"",'P14'!N16)</f>
        <v>105</v>
      </c>
      <c r="I29" s="110">
        <f>IF('P14'!O16=0,"",'P14'!O16)</f>
        <v>130</v>
      </c>
      <c r="J29" s="110">
        <f>IF('P14'!P16=0,"",'P14'!P16)</f>
        <v>235</v>
      </c>
      <c r="K29" s="112">
        <f>IF('P14'!Q16=0,"",'P14'!Q16)</f>
        <v>264.9305905200904</v>
      </c>
      <c r="L29">
        <v>12</v>
      </c>
    </row>
    <row r="30" spans="1:11" ht="15">
      <c r="A30" s="105"/>
      <c r="B30" s="106"/>
      <c r="C30" s="107"/>
      <c r="D30" s="106"/>
      <c r="E30" s="108"/>
      <c r="F30" s="109"/>
      <c r="G30" s="109"/>
      <c r="H30" s="110"/>
      <c r="I30" s="110"/>
      <c r="J30" s="110"/>
      <c r="K30" s="111"/>
    </row>
    <row r="31" spans="1:12" ht="15">
      <c r="A31" s="105">
        <v>1</v>
      </c>
      <c r="B31" s="106" t="str">
        <f>IF('P4'!A18="","",'P4'!A18)</f>
        <v>+105</v>
      </c>
      <c r="C31" s="107">
        <f>IF('P4'!B18="","",'P4'!B18)</f>
        <v>115.96</v>
      </c>
      <c r="D31" s="106" t="str">
        <f>IF('P4'!C18="","",'P4'!C18)</f>
        <v>M2</v>
      </c>
      <c r="E31" s="108">
        <f>IF('P4'!D18="","",'P4'!D18)</f>
        <v>26048</v>
      </c>
      <c r="F31" s="109" t="str">
        <f>IF('P4'!F18="","",'P4'!F18)</f>
        <v>Geir Johansen</v>
      </c>
      <c r="G31" s="109" t="str">
        <f>IF('P4'!G18="","",'P4'!G18)</f>
        <v>Lenja AK</v>
      </c>
      <c r="H31" s="110">
        <f>IF('P4'!N18=0,"",'P4'!N18)</f>
        <v>116</v>
      </c>
      <c r="I31" s="110">
        <f>IF('P4'!O18=0,"",'P4'!O18)</f>
        <v>151</v>
      </c>
      <c r="J31" s="110">
        <f>IF('P4'!P18=0,"",'P4'!P18)</f>
        <v>267</v>
      </c>
      <c r="K31" s="111">
        <f>IF('P4'!Q18=0,"",'P4'!Q18)</f>
        <v>282.7872650549261</v>
      </c>
      <c r="L31">
        <v>12</v>
      </c>
    </row>
    <row r="32" spans="1:11" ht="15">
      <c r="A32" s="105"/>
      <c r="B32" s="106"/>
      <c r="C32" s="107"/>
      <c r="D32" s="106"/>
      <c r="E32" s="108"/>
      <c r="F32" s="109"/>
      <c r="G32" s="109"/>
      <c r="H32" s="110"/>
      <c r="I32" s="110"/>
      <c r="J32" s="110"/>
      <c r="K32" s="111"/>
    </row>
    <row r="33" spans="1:12" ht="15">
      <c r="A33" s="105">
        <v>1</v>
      </c>
      <c r="B33" s="106">
        <f>IF('P3'!A9="","",'P3'!A9)</f>
        <v>69</v>
      </c>
      <c r="C33" s="107">
        <f>IF('P3'!B9="","",'P3'!B9)</f>
        <v>64.1</v>
      </c>
      <c r="D33" s="106" t="str">
        <f>IF('P3'!C9="","",'P3'!C9)</f>
        <v>M3</v>
      </c>
      <c r="E33" s="108">
        <f>IF('P3'!D9="","",'P3'!D9)</f>
        <v>24812</v>
      </c>
      <c r="F33" s="109" t="str">
        <f>IF('P3'!F9="","",'P3'!F9)</f>
        <v>Bjørn Thore Olsen</v>
      </c>
      <c r="G33" s="109" t="str">
        <f>IF('P3'!G9="","",'P3'!G9)</f>
        <v>Spydeberg Atletene</v>
      </c>
      <c r="H33" s="110">
        <f>IF('P3'!N9=0,"",'P3'!N9)</f>
        <v>50</v>
      </c>
      <c r="I33" s="110">
        <f>IF('P3'!O9=0,"",'P3'!O9)</f>
        <v>65</v>
      </c>
      <c r="J33" s="110">
        <f>IF('P3'!P9=0,"",'P3'!P9)</f>
        <v>115</v>
      </c>
      <c r="K33" s="111">
        <f>IF('P3'!Q9=0,"",'P3'!Q9)</f>
        <v>162.47366967783088</v>
      </c>
      <c r="L33">
        <v>12</v>
      </c>
    </row>
    <row r="34" spans="1:11" ht="15">
      <c r="A34" s="105"/>
      <c r="B34" s="106"/>
      <c r="C34" s="107"/>
      <c r="D34" s="106"/>
      <c r="E34" s="108"/>
      <c r="F34" s="109"/>
      <c r="G34" s="109"/>
      <c r="H34" s="110"/>
      <c r="I34" s="110"/>
      <c r="J34" s="110"/>
      <c r="K34" s="111"/>
    </row>
    <row r="35" spans="1:12" ht="15">
      <c r="A35" s="105">
        <v>1</v>
      </c>
      <c r="B35" s="106">
        <f>IF('P3'!A10="","",'P3'!A10)</f>
        <v>77</v>
      </c>
      <c r="C35" s="107">
        <f>IF('P3'!B10="","",'P3'!B10)</f>
        <v>76.02</v>
      </c>
      <c r="D35" s="106" t="str">
        <f>IF('P3'!C10="","",'P3'!C10)</f>
        <v>M3</v>
      </c>
      <c r="E35" s="108">
        <f>IF('P3'!D10="","",'P3'!D10)</f>
        <v>24128</v>
      </c>
      <c r="F35" s="109" t="str">
        <f>IF('P3'!F10="","",'P3'!F10)</f>
        <v>Tom Danielsen</v>
      </c>
      <c r="G35" s="109" t="str">
        <f>IF('P3'!G10="","",'P3'!G10)</f>
        <v>Larvik AK</v>
      </c>
      <c r="H35" s="110">
        <f>IF('P3'!N10=0,"",'P3'!N10)</f>
        <v>74</v>
      </c>
      <c r="I35" s="110">
        <f>IF('P3'!O10=0,"",'P3'!O10)</f>
        <v>100</v>
      </c>
      <c r="J35" s="110">
        <f>IF('P3'!P10=0,"",'P3'!P10)</f>
        <v>174</v>
      </c>
      <c r="K35" s="111">
        <f>IF('P3'!Q10=0,"",'P3'!Q10)</f>
        <v>220.72025541014034</v>
      </c>
      <c r="L35">
        <v>12</v>
      </c>
    </row>
    <row r="36" spans="1:11" ht="15">
      <c r="A36" s="105"/>
      <c r="B36" s="106"/>
      <c r="C36" s="107"/>
      <c r="D36" s="106"/>
      <c r="E36" s="108"/>
      <c r="F36" s="109"/>
      <c r="G36" s="109"/>
      <c r="H36" s="110"/>
      <c r="I36" s="110"/>
      <c r="J36" s="110"/>
      <c r="K36" s="111"/>
    </row>
    <row r="37" spans="1:12" ht="15">
      <c r="A37" s="105">
        <v>1</v>
      </c>
      <c r="B37" s="106">
        <f>IF('P3'!A11="","",'P3'!A11)</f>
        <v>94</v>
      </c>
      <c r="C37" s="107">
        <f>IF('P3'!B11="","",'P3'!B11)</f>
        <v>92.62</v>
      </c>
      <c r="D37" s="106" t="str">
        <f>IF('P3'!C11="","",'P3'!C11)</f>
        <v>M3</v>
      </c>
      <c r="E37" s="108">
        <f>IF('P3'!D11="","",'P3'!D11)</f>
        <v>25366</v>
      </c>
      <c r="F37" s="109" t="str">
        <f>IF('P3'!F11="","",'P3'!F11)</f>
        <v>Lars-Thomas Grønlien</v>
      </c>
      <c r="G37" s="109" t="str">
        <f>IF('P3'!G11="","",'P3'!G11)</f>
        <v>Oslo AK</v>
      </c>
      <c r="H37" s="110">
        <f>IF('P3'!N11=0,"",'P3'!N11)</f>
        <v>90</v>
      </c>
      <c r="I37" s="110">
        <f>IF('P3'!O11=0,"",'P3'!O11)</f>
        <v>112</v>
      </c>
      <c r="J37" s="110">
        <f>IF('P3'!P11=0,"",'P3'!P11)</f>
        <v>202</v>
      </c>
      <c r="K37" s="111">
        <f>IF('P3'!Q11=0,"",'P3'!Q11)</f>
        <v>231.92520726001356</v>
      </c>
      <c r="L37">
        <v>12</v>
      </c>
    </row>
    <row r="38" spans="1:11" ht="15">
      <c r="A38" s="105"/>
      <c r="B38" s="106"/>
      <c r="C38" s="107"/>
      <c r="D38" s="106"/>
      <c r="E38" s="108"/>
      <c r="F38" s="109"/>
      <c r="G38" s="109"/>
      <c r="H38" s="110"/>
      <c r="I38" s="110"/>
      <c r="J38" s="110"/>
      <c r="K38" s="111"/>
    </row>
    <row r="39" spans="1:12" ht="15">
      <c r="A39" s="105">
        <v>1</v>
      </c>
      <c r="B39" s="106">
        <f>IF('P3'!A12="","",'P3'!A12)</f>
        <v>105</v>
      </c>
      <c r="C39" s="107">
        <f>IF('P3'!B12="","",'P3'!B12)</f>
        <v>97.32</v>
      </c>
      <c r="D39" s="106" t="str">
        <f>IF('P3'!C12="","",'P3'!C12)</f>
        <v>M3</v>
      </c>
      <c r="E39" s="108">
        <f>IF('P3'!D12="","",'P3'!D12)</f>
        <v>24948</v>
      </c>
      <c r="F39" s="109" t="str">
        <f>IF('P3'!F12="","",'P3'!F12)</f>
        <v>Magnar Helleren</v>
      </c>
      <c r="G39" s="109" t="str">
        <f>IF('P3'!G12="","",'P3'!G12)</f>
        <v>Vigrestad IK</v>
      </c>
      <c r="H39" s="110">
        <f>IF('P3'!N12=0,"",'P3'!N12)</f>
        <v>105</v>
      </c>
      <c r="I39" s="110">
        <f>IF('P3'!O12=0,"",'P3'!O12)</f>
        <v>120</v>
      </c>
      <c r="J39" s="110">
        <f>IF('P3'!P12=0,"",'P3'!P12)</f>
        <v>225</v>
      </c>
      <c r="K39" s="111">
        <f>IF('P3'!Q12=0,"",'P3'!Q12)</f>
        <v>253.02305123311942</v>
      </c>
      <c r="L39">
        <v>12</v>
      </c>
    </row>
    <row r="40" spans="1:12" ht="15">
      <c r="A40" s="105">
        <v>2</v>
      </c>
      <c r="B40" s="106">
        <f>IF('P3'!A13="","",'P3'!A13)</f>
        <v>105</v>
      </c>
      <c r="C40" s="107">
        <f>IF('P3'!B13="","",'P3'!B13)</f>
        <v>100.16</v>
      </c>
      <c r="D40" s="106" t="str">
        <f>IF('P3'!C13="","",'P3'!C13)</f>
        <v>M3</v>
      </c>
      <c r="E40" s="108">
        <f>IF('P3'!D13="","",'P3'!D13)</f>
        <v>24473</v>
      </c>
      <c r="F40" s="109" t="str">
        <f>IF('P3'!F13="","",'P3'!F13)</f>
        <v>Jøran Herfjord</v>
      </c>
      <c r="G40" s="109" t="str">
        <f>IF('P3'!G13="","",'P3'!G13)</f>
        <v>Trondheim AK</v>
      </c>
      <c r="H40" s="110">
        <f>IF('P3'!N13=0,"",'P3'!N13)</f>
        <v>85</v>
      </c>
      <c r="I40" s="110">
        <f>IF('P3'!O13=0,"",'P3'!O13)</f>
        <v>105</v>
      </c>
      <c r="J40" s="110">
        <f>IF('P3'!P13=0,"",'P3'!P13)</f>
        <v>190</v>
      </c>
      <c r="K40" s="111">
        <f>IF('P3'!Q13=0,"",'P3'!Q13)</f>
        <v>211.2649543883772</v>
      </c>
      <c r="L40">
        <v>10</v>
      </c>
    </row>
    <row r="41" spans="1:11" ht="15">
      <c r="A41" s="105"/>
      <c r="B41" s="106"/>
      <c r="C41" s="107"/>
      <c r="D41" s="106"/>
      <c r="E41" s="108"/>
      <c r="F41" s="109"/>
      <c r="G41" s="109"/>
      <c r="H41" s="110"/>
      <c r="I41" s="110"/>
      <c r="J41" s="110"/>
      <c r="K41" s="111"/>
    </row>
    <row r="42" spans="1:12" ht="15">
      <c r="A42" s="105">
        <v>1</v>
      </c>
      <c r="B42" s="106" t="str">
        <f>IF('P3'!A15="","",'P3'!A15)</f>
        <v>+105</v>
      </c>
      <c r="C42" s="107">
        <f>IF('P3'!B15="","",'P3'!B15)</f>
        <v>113.42</v>
      </c>
      <c r="D42" s="106" t="str">
        <f>IF('P3'!C15="","",'P3'!C15)</f>
        <v>M3</v>
      </c>
      <c r="E42" s="108">
        <f>IF('P3'!D15="","",'P3'!D15)</f>
        <v>25021</v>
      </c>
      <c r="F42" s="109" t="str">
        <f>IF('P3'!F15="","",'P3'!F15)</f>
        <v>Dag Rønnevik</v>
      </c>
      <c r="G42" s="109" t="str">
        <f>IF('P3'!G15="","",'P3'!G15)</f>
        <v>Tysvær VK</v>
      </c>
      <c r="H42" s="110">
        <f>IF('P3'!N15=0,"",'P3'!N15)</f>
        <v>95</v>
      </c>
      <c r="I42" s="110">
        <f>IF('P3'!O15=0,"",'P3'!O15)</f>
        <v>130</v>
      </c>
      <c r="J42" s="110">
        <f>IF('P3'!P15=0,"",'P3'!P15)</f>
        <v>225</v>
      </c>
      <c r="K42" s="111">
        <f>IF('P3'!Q15=0,"",'P3'!Q15)</f>
        <v>239.83509715151934</v>
      </c>
      <c r="L42">
        <v>12</v>
      </c>
    </row>
    <row r="43" spans="1:12" ht="15">
      <c r="A43" s="105">
        <v>2</v>
      </c>
      <c r="B43" s="106" t="str">
        <f>IF('P3'!A14="","",'P3'!A14)</f>
        <v>+105</v>
      </c>
      <c r="C43" s="107">
        <f>IF('P3'!B14="","",'P3'!B14)</f>
        <v>121.54</v>
      </c>
      <c r="D43" s="106" t="str">
        <f>IF('P3'!C14="","",'P3'!C14)</f>
        <v>M3</v>
      </c>
      <c r="E43" s="108">
        <f>IF('P3'!D14="","",'P3'!D14)</f>
        <v>25592</v>
      </c>
      <c r="F43" s="109" t="str">
        <f>IF('P3'!F14="","",'P3'!F14)</f>
        <v>Runar Saxegård</v>
      </c>
      <c r="G43" s="109" t="str">
        <f>IF('P3'!G14="","",'P3'!G14)</f>
        <v>Lenja AK</v>
      </c>
      <c r="H43" s="110">
        <f>IF('P3'!N14=0,"",'P3'!N14)</f>
        <v>65</v>
      </c>
      <c r="I43" s="110">
        <f>IF('P3'!O14=0,"",'P3'!O14)</f>
        <v>90</v>
      </c>
      <c r="J43" s="110">
        <f>IF('P3'!P14=0,"",'P3'!P14)</f>
        <v>155</v>
      </c>
      <c r="K43" s="111">
        <f>IF('P3'!Q14=0,"",'P3'!Q14)</f>
        <v>162.1303885830903</v>
      </c>
      <c r="L43">
        <v>10</v>
      </c>
    </row>
    <row r="44" spans="1:11" ht="15">
      <c r="A44" s="105"/>
      <c r="B44" s="106"/>
      <c r="C44" s="107"/>
      <c r="D44" s="106"/>
      <c r="E44" s="108"/>
      <c r="F44" s="109"/>
      <c r="G44" s="109"/>
      <c r="H44" s="110"/>
      <c r="I44" s="110"/>
      <c r="J44" s="110"/>
      <c r="K44" s="111"/>
    </row>
    <row r="45" spans="1:12" ht="15">
      <c r="A45" s="105">
        <v>1</v>
      </c>
      <c r="B45" s="106">
        <f>IF('P11'!A17="","",'P11'!A17)</f>
        <v>85</v>
      </c>
      <c r="C45" s="107">
        <f>IF('P11'!B17="","",'P11'!B17)</f>
        <v>83.26</v>
      </c>
      <c r="D45" s="106" t="str">
        <f>IF('P11'!C17="","",'P11'!C17)</f>
        <v>M4</v>
      </c>
      <c r="E45" s="108">
        <f>IF('P11'!D17="","",'P11'!D17)</f>
        <v>23084</v>
      </c>
      <c r="F45" s="109" t="str">
        <f>IF('P11'!F17="","",'P11'!F17)</f>
        <v>Bjørnar Olsen</v>
      </c>
      <c r="G45" s="109" t="str">
        <f>IF('P11'!G17="","",'P11'!G17)</f>
        <v>Grenland AK</v>
      </c>
      <c r="H45" s="110">
        <f>IF('P11'!N17=0,"",'P11'!N17)</f>
        <v>98</v>
      </c>
      <c r="I45" s="110">
        <f>IF('P11'!O17=0,"",'P11'!O17)</f>
        <v>117</v>
      </c>
      <c r="J45" s="110">
        <f>IF('P11'!P17=0,"",'P11'!P17)</f>
        <v>215</v>
      </c>
      <c r="K45" s="112">
        <f>IF('P11'!Q17=0,"",'P11'!Q17)</f>
        <v>259.619416437016</v>
      </c>
      <c r="L45">
        <v>12</v>
      </c>
    </row>
    <row r="46" spans="1:11" ht="15">
      <c r="A46" s="105"/>
      <c r="B46" s="106"/>
      <c r="C46" s="107"/>
      <c r="D46" s="106"/>
      <c r="E46" s="108"/>
      <c r="F46" s="109"/>
      <c r="G46" s="109"/>
      <c r="H46" s="110"/>
      <c r="I46" s="110"/>
      <c r="J46" s="110"/>
      <c r="K46" s="112"/>
    </row>
    <row r="47" spans="1:12" ht="15">
      <c r="A47" s="105">
        <v>1</v>
      </c>
      <c r="B47" s="106">
        <f>IF('P3'!A19="","",'P3'!A19)</f>
        <v>94</v>
      </c>
      <c r="C47" s="107">
        <f>IF('P3'!B19="","",'P3'!B19)</f>
        <v>92.72</v>
      </c>
      <c r="D47" s="106" t="str">
        <f>IF('P3'!C19="","",'P3'!C19)</f>
        <v>M4</v>
      </c>
      <c r="E47" s="108">
        <f>IF('P3'!D19="","",'P3'!D19)</f>
        <v>22864</v>
      </c>
      <c r="F47" s="109" t="str">
        <f>IF('P3'!F19="","",'P3'!F19)</f>
        <v>Petter N. Sæterdal</v>
      </c>
      <c r="G47" s="109" t="str">
        <f>IF('P3'!G19="","",'P3'!G19)</f>
        <v>AK Bjørgvin</v>
      </c>
      <c r="H47" s="110">
        <f>IF('P3'!N19=0,"",'P3'!N19)</f>
        <v>102</v>
      </c>
      <c r="I47" s="110">
        <f>IF('P3'!O19=0,"",'P3'!O19)</f>
        <v>117</v>
      </c>
      <c r="J47" s="110">
        <f>IF('P3'!P19=0,"",'P3'!P19)</f>
        <v>219</v>
      </c>
      <c r="K47" s="111">
        <f>IF('P3'!Q19=0,"",'P3'!Q19)</f>
        <v>251.32532562993563</v>
      </c>
      <c r="L47">
        <v>12</v>
      </c>
    </row>
    <row r="48" spans="1:12" ht="15">
      <c r="A48" s="105">
        <v>2</v>
      </c>
      <c r="B48" s="106">
        <f>IF('P3'!A17="","",'P3'!A17)</f>
        <v>94</v>
      </c>
      <c r="C48" s="107">
        <f>IF('P3'!B17="","",'P3'!B17)</f>
        <v>89.66</v>
      </c>
      <c r="D48" s="106" t="str">
        <f>IF('P3'!C17="","",'P3'!C17)</f>
        <v>M4</v>
      </c>
      <c r="E48" s="108">
        <f>IF('P3'!D17="","",'P3'!D17)</f>
        <v>22528</v>
      </c>
      <c r="F48" s="109" t="str">
        <f>IF('P3'!F17="","",'P3'!F17)</f>
        <v>Terje Gulvik</v>
      </c>
      <c r="G48" s="109" t="str">
        <f>IF('P3'!G17="","",'P3'!G17)</f>
        <v>Larvik AK</v>
      </c>
      <c r="H48" s="110">
        <f>IF('P3'!N17=0,"",'P3'!N17)</f>
        <v>92</v>
      </c>
      <c r="I48" s="110">
        <f>IF('P3'!O17=0,"",'P3'!O17)</f>
        <v>119</v>
      </c>
      <c r="J48" s="110">
        <f>IF('P3'!P17=0,"",'P3'!P17)</f>
        <v>211</v>
      </c>
      <c r="K48" s="111">
        <f>IF('P3'!Q17=0,"",'P3'!Q17)</f>
        <v>245.8080208048399</v>
      </c>
      <c r="L48">
        <v>10</v>
      </c>
    </row>
    <row r="49" spans="1:12" ht="15">
      <c r="A49" s="105">
        <v>3</v>
      </c>
      <c r="B49" s="106">
        <f>IF('P3'!A18="","",'P3'!A18)</f>
        <v>94</v>
      </c>
      <c r="C49" s="107">
        <f>IF('P3'!B18="","",'P3'!B18)</f>
        <v>93.28</v>
      </c>
      <c r="D49" s="106" t="str">
        <f>IF('P3'!C18="","",'P3'!C18)</f>
        <v>M4</v>
      </c>
      <c r="E49" s="108">
        <f>IF('P3'!D18="","",'P3'!D18)</f>
        <v>23441</v>
      </c>
      <c r="F49" s="109" t="str">
        <f>IF('P3'!F18="","",'P3'!F18)</f>
        <v>Ole Jakob Aas</v>
      </c>
      <c r="G49" s="109" t="str">
        <f>IF('P3'!G18="","",'P3'!G18)</f>
        <v>T &amp; IL National</v>
      </c>
      <c r="H49" s="110">
        <f>IF('P3'!N18=0,"",'P3'!N18)</f>
        <v>94</v>
      </c>
      <c r="I49" s="110">
        <f>IF('P3'!O18=0,"",'P3'!O18)</f>
        <v>117</v>
      </c>
      <c r="J49" s="110">
        <f>IF('P3'!P18=0,"",'P3'!P18)</f>
        <v>211</v>
      </c>
      <c r="K49" s="111">
        <f>IF('P3'!Q18=0,"",'P3'!Q18)</f>
        <v>241.51280858196998</v>
      </c>
      <c r="L49">
        <v>9</v>
      </c>
    </row>
    <row r="50" spans="1:12" ht="15">
      <c r="A50" s="105">
        <v>4</v>
      </c>
      <c r="B50" s="106">
        <f>IF('P3'!A16="","",'P3'!A16)</f>
        <v>94</v>
      </c>
      <c r="C50" s="107">
        <f>IF('P3'!B16="","",'P3'!B16)</f>
        <v>87.6</v>
      </c>
      <c r="D50" s="106" t="str">
        <f>IF('P3'!C16="","",'P3'!C16)</f>
        <v>M4</v>
      </c>
      <c r="E50" s="108">
        <f>IF('P3'!D16="","",'P3'!D16)</f>
        <v>23840</v>
      </c>
      <c r="F50" s="109" t="str">
        <f>IF('P3'!F16="","",'P3'!F16)</f>
        <v>Tryggve Duun</v>
      </c>
      <c r="G50" s="109" t="str">
        <f>IF('P3'!G16="","",'P3'!G16)</f>
        <v>Trondheim AK</v>
      </c>
      <c r="H50" s="110">
        <f>IF('P3'!N16=0,"",'P3'!N16)</f>
        <v>73</v>
      </c>
      <c r="I50" s="110">
        <f>IF('P3'!O16=0,"",'P3'!O16)</f>
        <v>92</v>
      </c>
      <c r="J50" s="110">
        <f>IF('P3'!P16=0,"",'P3'!P16)</f>
        <v>165</v>
      </c>
      <c r="K50" s="111">
        <f>IF('P3'!Q16=0,"",'P3'!Q16)</f>
        <v>194.31763012641204</v>
      </c>
      <c r="L50">
        <v>8</v>
      </c>
    </row>
    <row r="51" spans="1:11" ht="15">
      <c r="A51" s="105"/>
      <c r="B51" s="106"/>
      <c r="C51" s="107"/>
      <c r="D51" s="106"/>
      <c r="E51" s="108"/>
      <c r="F51" s="109"/>
      <c r="G51" s="109"/>
      <c r="H51" s="110"/>
      <c r="I51" s="110"/>
      <c r="J51" s="110"/>
      <c r="K51" s="111"/>
    </row>
    <row r="52" spans="1:12" ht="15">
      <c r="A52" s="105">
        <v>1</v>
      </c>
      <c r="B52" s="106">
        <f>IF('P14'!A17="","",'P14'!A17)</f>
        <v>105</v>
      </c>
      <c r="C52" s="107">
        <f>IF('P14'!B17="","",'P14'!B17)</f>
        <v>97.3</v>
      </c>
      <c r="D52" s="106" t="str">
        <f>IF('P14'!C17="","",'P14'!C17)</f>
        <v>M4</v>
      </c>
      <c r="E52" s="108">
        <f>IF('P14'!D17="","",'P14'!D17)</f>
        <v>24011</v>
      </c>
      <c r="F52" s="109" t="str">
        <f>IF('P14'!F17="","",'P14'!F17)</f>
        <v>Alexander Bahmanyar</v>
      </c>
      <c r="G52" s="109" t="str">
        <f>IF('P14'!G17="","",'P14'!G17)</f>
        <v>Spydeberg Atletene</v>
      </c>
      <c r="H52" s="110">
        <f>IF('P14'!N17=0,"",'P14'!N17)</f>
        <v>105</v>
      </c>
      <c r="I52" s="110">
        <f>IF('P14'!O17=0,"",'P14'!O17)</f>
        <v>141</v>
      </c>
      <c r="J52" s="110">
        <f>IF('P14'!P17=0,"",'P14'!P17)</f>
        <v>246</v>
      </c>
      <c r="K52" s="112">
        <f>IF('P14'!Q17=0,"",'P14'!Q17)</f>
        <v>276.66142399201357</v>
      </c>
      <c r="L52">
        <v>12</v>
      </c>
    </row>
    <row r="53" spans="1:12" ht="15">
      <c r="A53" s="105">
        <v>2</v>
      </c>
      <c r="B53" s="106">
        <f>IF('P3'!A20="","",'P3'!A20)</f>
        <v>105</v>
      </c>
      <c r="C53" s="107">
        <f>IF('P3'!B20="","",'P3'!B20)</f>
        <v>103.52</v>
      </c>
      <c r="D53" s="106" t="str">
        <f>IF('P3'!C20="","",'P3'!C20)</f>
        <v>M4</v>
      </c>
      <c r="E53" s="108">
        <f>IF('P3'!D20="","",'P3'!D20)</f>
        <v>22967</v>
      </c>
      <c r="F53" s="109" t="str">
        <f>IF('P3'!F20="","",'P3'!F20)</f>
        <v>Freddy Svendsen</v>
      </c>
      <c r="G53" s="109" t="str">
        <f>IF('P3'!G20="","",'P3'!G20)</f>
        <v>Lenja AK</v>
      </c>
      <c r="H53" s="110">
        <f>IF('P3'!N20=0,"",'P3'!N20)</f>
        <v>65</v>
      </c>
      <c r="I53" s="110">
        <f>IF('P3'!O20=0,"",'P3'!O20)</f>
        <v>75</v>
      </c>
      <c r="J53" s="110">
        <f>IF('P3'!P20=0,"",'P3'!P20)</f>
        <v>140</v>
      </c>
      <c r="K53" s="111">
        <f>IF('P3'!Q20=0,"",'P3'!Q20)</f>
        <v>153.7737189191293</v>
      </c>
      <c r="L53">
        <v>10</v>
      </c>
    </row>
    <row r="54" spans="1:11" ht="15">
      <c r="A54" s="105"/>
      <c r="B54" s="106"/>
      <c r="C54" s="107"/>
      <c r="D54" s="106"/>
      <c r="E54" s="108"/>
      <c r="F54" s="109"/>
      <c r="G54" s="109"/>
      <c r="H54" s="110"/>
      <c r="I54" s="110"/>
      <c r="J54" s="110"/>
      <c r="K54" s="112"/>
    </row>
    <row r="55" spans="1:12" ht="15">
      <c r="A55" s="105">
        <v>1</v>
      </c>
      <c r="B55" s="106">
        <f>IF('P1'!A11="","",'P1'!A11)</f>
        <v>85</v>
      </c>
      <c r="C55" s="107">
        <f>IF('P1'!B11="","",'P1'!B11)</f>
        <v>84.72</v>
      </c>
      <c r="D55" s="106" t="str">
        <f>IF('P1'!C11="","",'P1'!C11)</f>
        <v>M5</v>
      </c>
      <c r="E55" s="108">
        <f>IF('P1'!D11="","",'P1'!D11)</f>
        <v>21177</v>
      </c>
      <c r="F55" s="109" t="str">
        <f>IF('P1'!F11="","",'P1'!F11)</f>
        <v>Vidar Sæland</v>
      </c>
      <c r="G55" s="109" t="str">
        <f>IF('P1'!G11="","",'P1'!G11)</f>
        <v>Vigrestad IK</v>
      </c>
      <c r="H55" s="110">
        <f>IF('P1'!N11=0,"",'P1'!N11)</f>
        <v>84</v>
      </c>
      <c r="I55" s="110">
        <f>IF('P1'!O11=0,"",'P1'!O11)</f>
        <v>107</v>
      </c>
      <c r="J55" s="110">
        <f>IF('P1'!P11=0,"",'P1'!P11)</f>
        <v>191</v>
      </c>
      <c r="K55" s="112">
        <f>IF('P1'!Q11=0,"",'P1'!Q11)</f>
        <v>228.62627550648563</v>
      </c>
      <c r="L55">
        <v>12</v>
      </c>
    </row>
    <row r="56" spans="1:12" ht="15">
      <c r="A56" s="105">
        <v>2</v>
      </c>
      <c r="B56" s="106">
        <f>IF('P1'!A10="","",'P1'!A10)</f>
        <v>85</v>
      </c>
      <c r="C56" s="107">
        <f>IF('P1'!B10="","",'P1'!B10)</f>
        <v>83.48</v>
      </c>
      <c r="D56" s="106" t="str">
        <f>IF('P1'!C10="","",'P1'!C10)</f>
        <v>M5</v>
      </c>
      <c r="E56" s="108">
        <f>IF('P1'!D10="","",'P1'!D10)</f>
        <v>21818</v>
      </c>
      <c r="F56" s="109" t="str">
        <f>IF('P1'!F10="","",'P1'!F10)</f>
        <v>Ketil Johnsen</v>
      </c>
      <c r="G56" s="109" t="str">
        <f>IF('P1'!G10="","",'P1'!G10)</f>
        <v>Trondheim AK</v>
      </c>
      <c r="H56" s="110">
        <f>IF('P1'!N10=0,"",'P1'!N10)</f>
        <v>69</v>
      </c>
      <c r="I56" s="110">
        <f>IF('P1'!O10=0,"",'P1'!O10)</f>
        <v>90</v>
      </c>
      <c r="J56" s="110">
        <f>IF('P1'!P10=0,"",'P1'!P10)</f>
        <v>159</v>
      </c>
      <c r="K56" s="112">
        <f>IF('P1'!Q10=0,"",'P1'!Q10)</f>
        <v>191.73979400978408</v>
      </c>
      <c r="L56">
        <v>10</v>
      </c>
    </row>
    <row r="57" spans="1:11" ht="15">
      <c r="A57" s="105"/>
      <c r="B57" s="106"/>
      <c r="C57" s="107"/>
      <c r="D57" s="106"/>
      <c r="E57" s="108"/>
      <c r="F57" s="109"/>
      <c r="G57" s="109"/>
      <c r="H57" s="110"/>
      <c r="I57" s="110"/>
      <c r="J57" s="110"/>
      <c r="K57" s="112"/>
    </row>
    <row r="58" spans="1:12" ht="15">
      <c r="A58" s="105">
        <v>1</v>
      </c>
      <c r="B58" s="106">
        <f>IF('P1'!A12="","",'P1'!A12)</f>
        <v>94</v>
      </c>
      <c r="C58" s="107">
        <f>IF('P1'!B12="","",'P1'!B12)</f>
        <v>90.66</v>
      </c>
      <c r="D58" s="106" t="str">
        <f>IF('P1'!C12="","",'P1'!C12)</f>
        <v>M5</v>
      </c>
      <c r="E58" s="108">
        <f>IF('P1'!D12="","",'P1'!D12)</f>
        <v>22050</v>
      </c>
      <c r="F58" s="109" t="str">
        <f>IF('P1'!F12="","",'P1'!F12)</f>
        <v>Trond Kvilhaug</v>
      </c>
      <c r="G58" s="109" t="str">
        <f>IF('P1'!G12="","",'P1'!G12)</f>
        <v>Nidelv IL</v>
      </c>
      <c r="H58" s="110">
        <f>IF('P1'!N12=0,"",'P1'!N12)</f>
        <v>80</v>
      </c>
      <c r="I58" s="110">
        <f>IF('P1'!O12=0,"",'P1'!O12)</f>
        <v>100</v>
      </c>
      <c r="J58" s="110">
        <f>IF('P1'!P12=0,"",'P1'!P12)</f>
        <v>180</v>
      </c>
      <c r="K58" s="112">
        <f>IF('P1'!Q12=0,"",'P1'!Q12)</f>
        <v>208.63799537224622</v>
      </c>
      <c r="L58">
        <v>12</v>
      </c>
    </row>
    <row r="59" spans="1:12" ht="15">
      <c r="A59" s="105">
        <v>2</v>
      </c>
      <c r="B59" s="106">
        <f>IF('P1'!A9="","",'P1'!A9)</f>
        <v>94</v>
      </c>
      <c r="C59" s="107">
        <f>IF('P1'!B9="","",'P1'!B9)</f>
        <v>85.22</v>
      </c>
      <c r="D59" s="106" t="str">
        <f>IF('P1'!C9="","",'P1'!C9)</f>
        <v>M5</v>
      </c>
      <c r="E59" s="108">
        <f>IF('P1'!D9="","",'P1'!D9)</f>
        <v>20790</v>
      </c>
      <c r="F59" s="109" t="str">
        <f>IF('P1'!F9="","",'P1'!F9)</f>
        <v>Tormod Andersen</v>
      </c>
      <c r="G59" s="109" t="str">
        <f>IF('P1'!G9="","",'P1'!G9)</f>
        <v>Lenja AK</v>
      </c>
      <c r="H59" s="110">
        <f>IF('P1'!N9=0,"",'P1'!N9)</f>
        <v>65</v>
      </c>
      <c r="I59" s="110">
        <f>IF('P1'!O9=0,"",'P1'!O9)</f>
        <v>80</v>
      </c>
      <c r="J59" s="110">
        <f>IF('P1'!P9=0,"",'P1'!P9)</f>
        <v>145</v>
      </c>
      <c r="K59" s="112">
        <f>IF('P1'!Q9=0,"",'P1'!Q9)</f>
        <v>173.05850564977194</v>
      </c>
      <c r="L59">
        <v>10</v>
      </c>
    </row>
    <row r="60" spans="1:11" ht="15">
      <c r="A60" s="105"/>
      <c r="B60" s="106"/>
      <c r="C60" s="107"/>
      <c r="D60" s="106"/>
      <c r="E60" s="108"/>
      <c r="F60" s="109"/>
      <c r="G60" s="109"/>
      <c r="H60" s="110"/>
      <c r="I60" s="110"/>
      <c r="J60" s="110"/>
      <c r="K60" s="112"/>
    </row>
    <row r="61" spans="1:12" ht="15">
      <c r="A61" s="105">
        <v>1</v>
      </c>
      <c r="B61" s="106" t="str">
        <f>IF('P1'!A13="","",'P1'!A13)</f>
        <v>+105</v>
      </c>
      <c r="C61" s="107">
        <f>IF('P1'!B13="","",'P1'!B13)</f>
        <v>105.96</v>
      </c>
      <c r="D61" s="106" t="str">
        <f>IF('P1'!C13="","",'P1'!C13)</f>
        <v>M5</v>
      </c>
      <c r="E61" s="108">
        <f>IF('P1'!D13="","",'P1'!D13)</f>
        <v>21088</v>
      </c>
      <c r="F61" s="109" t="str">
        <f>IF('P1'!F13="","",'P1'!F13)</f>
        <v>Rune Johansen</v>
      </c>
      <c r="G61" s="109" t="str">
        <f>IF('P1'!G13="","",'P1'!G13)</f>
        <v>Lenja AK</v>
      </c>
      <c r="H61" s="110">
        <f>IF('P1'!N13=0,"",'P1'!N13)</f>
        <v>74</v>
      </c>
      <c r="I61" s="110">
        <f>IF('P1'!O13=0,"",'P1'!O13)</f>
        <v>117</v>
      </c>
      <c r="J61" s="110">
        <f>IF('P1'!P13=0,"",'P1'!P13)</f>
        <v>191</v>
      </c>
      <c r="K61" s="112">
        <f>IF('P1'!Q13=0,"",'P1'!Q13)</f>
        <v>208.07883022165075</v>
      </c>
      <c r="L61">
        <v>12</v>
      </c>
    </row>
    <row r="62" spans="1:11" ht="15">
      <c r="A62" s="105"/>
      <c r="B62" s="106"/>
      <c r="C62" s="107"/>
      <c r="D62" s="106"/>
      <c r="E62" s="108"/>
      <c r="F62" s="109"/>
      <c r="G62" s="109"/>
      <c r="H62" s="110"/>
      <c r="I62" s="110"/>
      <c r="J62" s="110"/>
      <c r="K62" s="112"/>
    </row>
    <row r="63" spans="1:12" ht="15">
      <c r="A63" s="105">
        <v>1</v>
      </c>
      <c r="B63" s="106">
        <f>IF('P1'!A15="","",'P1'!A15)</f>
        <v>77</v>
      </c>
      <c r="C63" s="107">
        <f>IF('P1'!B15="","",'P1'!B15)</f>
        <v>75.94</v>
      </c>
      <c r="D63" s="106" t="str">
        <f>IF('P1'!C15="","",'P1'!C15)</f>
        <v>M6</v>
      </c>
      <c r="E63" s="108">
        <f>IF('P1'!D15="","",'P1'!D15)</f>
        <v>20075</v>
      </c>
      <c r="F63" s="109" t="str">
        <f>IF('P1'!F15="","",'P1'!F15)</f>
        <v>Egon Vee Haugen</v>
      </c>
      <c r="G63" s="109" t="str">
        <f>IF('P1'!G15="","",'P1'!G15)</f>
        <v>Grenland AK</v>
      </c>
      <c r="H63" s="110">
        <f>IF('P1'!N15=0,"",'P1'!N15)</f>
        <v>75</v>
      </c>
      <c r="I63" s="110">
        <f>IF('P1'!O15=0,"",'P1'!O15)</f>
        <v>85</v>
      </c>
      <c r="J63" s="110">
        <f>IF('P1'!P15=0,"",'P1'!P15)</f>
        <v>160</v>
      </c>
      <c r="K63" s="112">
        <f>IF('P1'!Q15=0,"",'P1'!Q15)</f>
        <v>203.0836959880587</v>
      </c>
      <c r="L63">
        <v>12</v>
      </c>
    </row>
    <row r="64" spans="1:11" ht="15">
      <c r="A64" s="105"/>
      <c r="B64" s="106"/>
      <c r="C64" s="107"/>
      <c r="D64" s="106"/>
      <c r="E64" s="108"/>
      <c r="F64" s="109"/>
      <c r="G64" s="109"/>
      <c r="H64" s="110"/>
      <c r="I64" s="110"/>
      <c r="J64" s="110"/>
      <c r="K64" s="112"/>
    </row>
    <row r="65" spans="1:12" ht="15">
      <c r="A65" s="105">
        <v>1</v>
      </c>
      <c r="B65" s="106">
        <f>IF('P1'!A16="","",'P1'!A16)</f>
        <v>85</v>
      </c>
      <c r="C65" s="107">
        <f>IF('P1'!B16="","",'P1'!B16)</f>
        <v>78.22</v>
      </c>
      <c r="D65" s="106" t="str">
        <f>IF('P1'!C16="","",'P1'!C16)</f>
        <v>M6</v>
      </c>
      <c r="E65" s="108">
        <f>IF('P1'!D16="","",'P1'!D16)</f>
        <v>20296</v>
      </c>
      <c r="F65" s="109" t="str">
        <f>IF('P1'!F16="","",'P1'!F16)</f>
        <v>Jan Egil Trøan</v>
      </c>
      <c r="G65" s="109" t="str">
        <f>IF('P1'!G16="","",'P1'!G16)</f>
        <v>Trondheim AK</v>
      </c>
      <c r="H65" s="110">
        <f>IF('P1'!N16=0,"",'P1'!N16)</f>
        <v>70</v>
      </c>
      <c r="I65" s="110">
        <f>IF('P1'!O16=0,"",'P1'!O16)</f>
        <v>91</v>
      </c>
      <c r="J65" s="110">
        <f>IF('P1'!P16=0,"",'P1'!P16)</f>
        <v>161</v>
      </c>
      <c r="K65" s="112">
        <f>IF('P1'!Q16=0,"",'P1'!Q16)</f>
        <v>200.97528218692545</v>
      </c>
      <c r="L65">
        <v>12</v>
      </c>
    </row>
    <row r="66" spans="1:11" ht="15">
      <c r="A66" s="105"/>
      <c r="B66" s="106"/>
      <c r="C66" s="107"/>
      <c r="D66" s="106"/>
      <c r="E66" s="108"/>
      <c r="F66" s="109"/>
      <c r="G66" s="109"/>
      <c r="H66" s="110"/>
      <c r="I66" s="110"/>
      <c r="J66" s="110"/>
      <c r="K66" s="112"/>
    </row>
    <row r="67" spans="1:12" ht="15">
      <c r="A67" s="105">
        <v>1</v>
      </c>
      <c r="B67" s="106">
        <f>IF('P1'!A18="","",'P1'!A18)</f>
        <v>94</v>
      </c>
      <c r="C67" s="107">
        <f>IF('P1'!B18="","",'P1'!B18)</f>
        <v>93.68</v>
      </c>
      <c r="D67" s="106" t="str">
        <f>IF('P1'!C18="","",'P1'!C18)</f>
        <v>M6</v>
      </c>
      <c r="E67" s="108">
        <f>IF('P1'!D18="","",'P1'!D18)</f>
        <v>19656</v>
      </c>
      <c r="F67" s="109" t="str">
        <f>IF('P1'!F18="","",'P1'!F18)</f>
        <v>Johan Thonerud</v>
      </c>
      <c r="G67" s="109" t="str">
        <f>IF('P1'!G18="","",'P1'!G18)</f>
        <v>Spydeberg Atletene</v>
      </c>
      <c r="H67" s="110">
        <f>IF('P1'!N18=0,"",'P1'!N18)</f>
        <v>78</v>
      </c>
      <c r="I67" s="110">
        <f>IF('P1'!O18=0,"",'P1'!O18)</f>
        <v>98</v>
      </c>
      <c r="J67" s="110">
        <f>IF('P1'!P18=0,"",'P1'!P18)</f>
        <v>176</v>
      </c>
      <c r="K67" s="112">
        <f>IF('P1'!Q18=0,"",'P1'!Q18)</f>
        <v>201.08091014974286</v>
      </c>
      <c r="L67">
        <v>12</v>
      </c>
    </row>
    <row r="68" spans="1:12" ht="15">
      <c r="A68" s="105">
        <v>2</v>
      </c>
      <c r="B68" s="106">
        <f>IF('P1'!A17="","",'P1'!A17)</f>
        <v>94</v>
      </c>
      <c r="C68" s="107">
        <f>IF('P1'!B17="","",'P1'!B17)</f>
        <v>93.28</v>
      </c>
      <c r="D68" s="106" t="str">
        <f>IF('P1'!C17="","",'P1'!C17)</f>
        <v>M6</v>
      </c>
      <c r="E68" s="108">
        <f>IF('P1'!D17="","",'P1'!D17)</f>
        <v>18809</v>
      </c>
      <c r="F68" s="109" t="str">
        <f>IF('P1'!F17="","",'P1'!F17)</f>
        <v>Terje Grimstad</v>
      </c>
      <c r="G68" s="109" t="str">
        <f>IF('P1'!G17="","",'P1'!G17)</f>
        <v>Larvik AK</v>
      </c>
      <c r="H68" s="110">
        <f>IF('P1'!N17=0,"",'P1'!N17)</f>
        <v>70</v>
      </c>
      <c r="I68" s="110">
        <f>IF('P1'!O17=0,"",'P1'!O17)</f>
        <v>95</v>
      </c>
      <c r="J68" s="110">
        <f>IF('P1'!P17=0,"",'P1'!P17)</f>
        <v>165</v>
      </c>
      <c r="K68" s="112">
        <f>IF('P1'!Q17=0,"",'P1'!Q17)</f>
        <v>188.8607270901661</v>
      </c>
      <c r="L68">
        <v>10</v>
      </c>
    </row>
    <row r="69" spans="1:11" ht="15">
      <c r="A69" s="105"/>
      <c r="B69" s="106"/>
      <c r="C69" s="107"/>
      <c r="D69" s="106"/>
      <c r="E69" s="108"/>
      <c r="F69" s="109"/>
      <c r="G69" s="109"/>
      <c r="H69" s="110"/>
      <c r="I69" s="110"/>
      <c r="J69" s="110"/>
      <c r="K69" s="112"/>
    </row>
    <row r="70" spans="1:12" ht="15">
      <c r="A70" s="105">
        <v>1</v>
      </c>
      <c r="B70" s="106" t="str">
        <f>IF('P1'!A19="","",'P1'!A19)</f>
        <v>+105</v>
      </c>
      <c r="C70" s="107">
        <f>IF('P1'!B19="","",'P1'!B19)</f>
        <v>106.32</v>
      </c>
      <c r="D70" s="106" t="str">
        <f>IF('P1'!C19="","",'P1'!C19)</f>
        <v>M6</v>
      </c>
      <c r="E70" s="108">
        <f>IF('P1'!D19="","",'P1'!D19)</f>
        <v>19590</v>
      </c>
      <c r="F70" s="109" t="str">
        <f>IF('P1'!F19="","",'P1'!F19)</f>
        <v>Rune Pettersen</v>
      </c>
      <c r="G70" s="109" t="str">
        <f>IF('P1'!G19="","",'P1'!G19)</f>
        <v>Larvik AK</v>
      </c>
      <c r="H70" s="110">
        <f>IF('P1'!N19=0,"",'P1'!N19)</f>
        <v>63</v>
      </c>
      <c r="I70" s="110">
        <f>IF('P1'!O19=0,"",'P1'!O19)</f>
        <v>95</v>
      </c>
      <c r="J70" s="110">
        <f>IF('P1'!P19=0,"",'P1'!P19)</f>
        <v>158</v>
      </c>
      <c r="K70" s="112">
        <f>IF('P1'!Q19=0,"",'P1'!Q19)</f>
        <v>171.9281341847929</v>
      </c>
      <c r="L70">
        <v>12</v>
      </c>
    </row>
    <row r="71" spans="1:11" ht="15">
      <c r="A71" s="105"/>
      <c r="B71" s="106"/>
      <c r="C71" s="107"/>
      <c r="D71" s="106"/>
      <c r="E71" s="108"/>
      <c r="F71" s="109"/>
      <c r="G71" s="109"/>
      <c r="H71" s="110"/>
      <c r="I71" s="110"/>
      <c r="J71" s="110"/>
      <c r="K71" s="112"/>
    </row>
    <row r="72" spans="1:12" ht="15">
      <c r="A72" s="105">
        <v>1</v>
      </c>
      <c r="B72" s="106">
        <f>IF('P2'!A9="","",'P2'!A9)</f>
        <v>69</v>
      </c>
      <c r="C72" s="107">
        <f>IF('P2'!B9="","",'P2'!B9)</f>
        <v>63.88</v>
      </c>
      <c r="D72" s="106" t="str">
        <f>IF('P2'!C9="","",'P2'!C9)</f>
        <v>M7</v>
      </c>
      <c r="E72" s="108">
        <f>IF('P2'!D9="","",'P2'!D9)</f>
        <v>17503</v>
      </c>
      <c r="F72" s="109" t="str">
        <f>IF('P2'!F9="","",'P2'!F9)</f>
        <v>Richard Bergmann</v>
      </c>
      <c r="G72" s="109" t="str">
        <f>IF('P2'!G9="","",'P2'!G9)</f>
        <v>Nidelv IL</v>
      </c>
      <c r="H72" s="110">
        <f>IF('P2'!N9=0,"",'P2'!N9)</f>
        <v>33</v>
      </c>
      <c r="I72" s="110">
        <f>IF('P2'!O9=0,"",'P2'!O9)</f>
        <v>42</v>
      </c>
      <c r="J72" s="110">
        <f>IF('P2'!P9=0,"",'P2'!P9)</f>
        <v>75</v>
      </c>
      <c r="K72" s="111">
        <f>IF('P2'!Q9=0,"",'P2'!Q9)</f>
        <v>106.21339415274085</v>
      </c>
      <c r="L72">
        <v>12</v>
      </c>
    </row>
    <row r="73" spans="1:11" ht="15">
      <c r="A73" s="105"/>
      <c r="B73" s="106"/>
      <c r="C73" s="107"/>
      <c r="D73" s="106"/>
      <c r="E73" s="108"/>
      <c r="F73" s="109"/>
      <c r="G73" s="109"/>
      <c r="H73" s="110"/>
      <c r="I73" s="110"/>
      <c r="J73" s="110"/>
      <c r="K73" s="111"/>
    </row>
    <row r="74" spans="1:12" ht="15">
      <c r="A74" s="105">
        <v>1</v>
      </c>
      <c r="B74" s="106">
        <f>IF('P2'!A10="","",'P2'!A10)</f>
        <v>85</v>
      </c>
      <c r="C74" s="107">
        <f>IF('P2'!B10="","",'P2'!B10)</f>
        <v>82.26</v>
      </c>
      <c r="D74" s="106" t="str">
        <f>IF('P2'!C10="","",'P2'!C10)</f>
        <v>M7</v>
      </c>
      <c r="E74" s="108">
        <f>IF('P2'!D10="","",'P2'!D10)</f>
        <v>16960</v>
      </c>
      <c r="F74" s="109" t="str">
        <f>IF('P2'!F10="","",'P2'!F10)</f>
        <v>William Wågan</v>
      </c>
      <c r="G74" s="109" t="str">
        <f>IF('P2'!G10="","",'P2'!G10)</f>
        <v>Namsos VK</v>
      </c>
      <c r="H74" s="110">
        <f>IF('P2'!N10=0,"",'P2'!N10)</f>
        <v>42</v>
      </c>
      <c r="I74" s="110">
        <f>IF('P2'!O10=0,"",'P2'!O10)</f>
        <v>58</v>
      </c>
      <c r="J74" s="110">
        <f>IF('P2'!P10=0,"",'P2'!P10)</f>
        <v>100</v>
      </c>
      <c r="K74" s="111">
        <f>IF('P2'!Q10=0,"",'P2'!Q10)</f>
        <v>121.50595663281933</v>
      </c>
      <c r="L74">
        <v>12</v>
      </c>
    </row>
    <row r="75" spans="1:11" ht="15">
      <c r="A75" s="105"/>
      <c r="B75" s="106"/>
      <c r="C75" s="107"/>
      <c r="D75" s="106"/>
      <c r="E75" s="108"/>
      <c r="F75" s="109"/>
      <c r="G75" s="109"/>
      <c r="H75" s="110"/>
      <c r="I75" s="110"/>
      <c r="J75" s="110"/>
      <c r="K75" s="111"/>
    </row>
    <row r="76" spans="1:12" ht="15">
      <c r="A76" s="105">
        <v>1</v>
      </c>
      <c r="B76" s="106">
        <f>IF('P2'!A11="","",'P2'!A11)</f>
        <v>94</v>
      </c>
      <c r="C76" s="107">
        <f>IF('P2'!B11="","",'P2'!B11)</f>
        <v>93.06</v>
      </c>
      <c r="D76" s="106" t="str">
        <f>IF('P2'!C11="","",'P2'!C11)</f>
        <v>M7</v>
      </c>
      <c r="E76" s="108">
        <f>IF('P2'!D11="","",'P2'!D11)</f>
        <v>17025</v>
      </c>
      <c r="F76" s="109" t="str">
        <f>IF('P2'!F11="","",'P2'!F11)</f>
        <v>Jostein Myrvang</v>
      </c>
      <c r="G76" s="109" t="str">
        <f>IF('P2'!G11="","",'P2'!G11)</f>
        <v>Larvik AK</v>
      </c>
      <c r="H76" s="110">
        <f>IF('P2'!N11=0,"",'P2'!N11)</f>
        <v>50</v>
      </c>
      <c r="I76" s="110">
        <f>IF('P2'!O11=0,"",'P2'!O11)</f>
        <v>72</v>
      </c>
      <c r="J76" s="110">
        <f>IF('P2'!P11=0,"",'P2'!P11)</f>
        <v>122</v>
      </c>
      <c r="K76" s="111">
        <f>IF('P2'!Q11=0,"",'P2'!Q11)</f>
        <v>139.78517094915054</v>
      </c>
      <c r="L76">
        <v>12</v>
      </c>
    </row>
    <row r="77" spans="1:11" ht="15">
      <c r="A77" s="105"/>
      <c r="B77" s="106"/>
      <c r="C77" s="107"/>
      <c r="D77" s="106"/>
      <c r="E77" s="108"/>
      <c r="F77" s="109"/>
      <c r="G77" s="109"/>
      <c r="H77" s="110"/>
      <c r="I77" s="110"/>
      <c r="J77" s="110"/>
      <c r="K77" s="111"/>
    </row>
    <row r="78" spans="1:12" ht="15">
      <c r="A78" s="105">
        <v>1</v>
      </c>
      <c r="B78" s="106">
        <f>IF('P2'!A12="","",'P2'!A12)</f>
        <v>94</v>
      </c>
      <c r="C78" s="107">
        <f>IF('P2'!B12="","",'P2'!B12)</f>
        <v>93.88</v>
      </c>
      <c r="D78" s="106" t="str">
        <f>IF('P2'!C12="","",'P2'!C12)</f>
        <v>M8</v>
      </c>
      <c r="E78" s="108">
        <f>IF('P2'!D12="","",'P2'!D12)</f>
        <v>16079</v>
      </c>
      <c r="F78" s="109" t="str">
        <f>IF('P2'!F12="","",'P2'!F12)</f>
        <v>Leif Hepsø</v>
      </c>
      <c r="G78" s="109" t="str">
        <f>IF('P2'!G12="","",'P2'!G12)</f>
        <v>Namsos VK</v>
      </c>
      <c r="H78" s="110">
        <f>IF('P2'!N12=0,"",'P2'!N12)</f>
        <v>60</v>
      </c>
      <c r="I78" s="110">
        <f>IF('P2'!O12=0,"",'P2'!O12)</f>
        <v>88</v>
      </c>
      <c r="J78" s="110">
        <f>IF('P2'!P12=0,"",'P2'!P12)</f>
        <v>148</v>
      </c>
      <c r="K78" s="111">
        <f>IF('P2'!Q12=0,"",'P2'!Q12)</f>
        <v>168.93648298704932</v>
      </c>
      <c r="L78">
        <v>12</v>
      </c>
    </row>
    <row r="79" spans="1:11" ht="15">
      <c r="A79" s="105"/>
      <c r="B79" s="106"/>
      <c r="C79" s="107"/>
      <c r="D79" s="106"/>
      <c r="E79" s="108"/>
      <c r="F79" s="109"/>
      <c r="G79" s="109"/>
      <c r="H79" s="110"/>
      <c r="I79" s="110"/>
      <c r="J79" s="110"/>
      <c r="K79" s="111"/>
    </row>
    <row r="80" spans="1:12" ht="15">
      <c r="A80" s="105">
        <v>1</v>
      </c>
      <c r="B80" s="106">
        <f>IF('P2'!A13="","",'P2'!A13)</f>
        <v>105</v>
      </c>
      <c r="C80" s="107">
        <f>IF('P2'!B13="","",'P2'!B13)</f>
        <v>96.22</v>
      </c>
      <c r="D80" s="106" t="str">
        <f>IF('P2'!C13="","",'P2'!C13)</f>
        <v>M8</v>
      </c>
      <c r="E80" s="108">
        <f>IF('P2'!D13="","",'P2'!D13)</f>
        <v>16495</v>
      </c>
      <c r="F80" s="109" t="str">
        <f>IF('P2'!F13="","",'P2'!F13)</f>
        <v>Eskil Lian</v>
      </c>
      <c r="G80" s="109" t="str">
        <f>IF('P2'!G13="","",'P2'!G13)</f>
        <v>Trondheim AK</v>
      </c>
      <c r="H80" s="110">
        <f>IF('P2'!N13=0,"",'P2'!N13)</f>
        <v>74</v>
      </c>
      <c r="I80" s="110">
        <f>IF('P2'!O13=0,"",'P2'!O13)</f>
        <v>90</v>
      </c>
      <c r="J80" s="110">
        <f>IF('P2'!P13=0,"",'P2'!P13)</f>
        <v>164</v>
      </c>
      <c r="K80" s="111">
        <f>IF('P2'!Q13=0,"",'P2'!Q13)</f>
        <v>185.27961716041025</v>
      </c>
      <c r="L80">
        <v>12</v>
      </c>
    </row>
    <row r="81" spans="1:12" ht="15">
      <c r="A81" s="105">
        <v>2</v>
      </c>
      <c r="B81" s="106">
        <f>IF('P2'!A14="","",'P2'!A14)</f>
        <v>105</v>
      </c>
      <c r="C81" s="107">
        <f>IF('P2'!B14="","",'P2'!B14)</f>
        <v>102</v>
      </c>
      <c r="D81" s="106" t="str">
        <f>IF('P2'!C14="","",'P2'!C14)</f>
        <v>M8</v>
      </c>
      <c r="E81" s="108">
        <f>IF('P2'!D14="","",'P2'!D14)</f>
        <v>16309</v>
      </c>
      <c r="F81" s="109" t="str">
        <f>IF('P2'!F14="","",'P2'!F14)</f>
        <v>Øistein Smith Larsen</v>
      </c>
      <c r="G81" s="109" t="str">
        <f>IF('P2'!G14="","",'P2'!G14)</f>
        <v>Larvik AK</v>
      </c>
      <c r="H81" s="110">
        <f>IF('P2'!N14=0,"",'P2'!N14)</f>
        <v>67</v>
      </c>
      <c r="I81" s="110">
        <f>IF('P2'!O14=0,"",'P2'!O14)</f>
        <v>92</v>
      </c>
      <c r="J81" s="110">
        <f>IF('P2'!P14=0,"",'P2'!P14)</f>
        <v>159</v>
      </c>
      <c r="K81" s="111">
        <f>IF('P2'!Q14=0,"",'P2'!Q14)</f>
        <v>175.58835484031087</v>
      </c>
      <c r="L81">
        <v>10</v>
      </c>
    </row>
    <row r="82" spans="1:11" ht="15">
      <c r="A82" s="105"/>
      <c r="B82" s="106"/>
      <c r="C82" s="107"/>
      <c r="D82" s="106"/>
      <c r="E82" s="108"/>
      <c r="F82" s="109"/>
      <c r="G82" s="109"/>
      <c r="H82" s="110"/>
      <c r="I82" s="110"/>
      <c r="J82" s="110"/>
      <c r="K82" s="111"/>
    </row>
    <row r="83" spans="1:12" ht="15">
      <c r="A83" s="105">
        <v>1</v>
      </c>
      <c r="B83" s="106" t="str">
        <f>IF('P2'!A15="","",'P2'!A15)</f>
        <v>+105</v>
      </c>
      <c r="C83" s="107">
        <f>IF('P2'!B15="","",'P2'!B15)</f>
        <v>105.12</v>
      </c>
      <c r="D83" s="106" t="str">
        <f>IF('P2'!C15="","",'P2'!C15)</f>
        <v>M8</v>
      </c>
      <c r="E83" s="108">
        <f>IF('P2'!D15="","",'P2'!D15)</f>
        <v>16227</v>
      </c>
      <c r="F83" s="109" t="str">
        <f>IF('P2'!F15="","",'P2'!F15)</f>
        <v>Jan Nystrøm</v>
      </c>
      <c r="G83" s="109" t="str">
        <f>IF('P2'!G15="","",'P2'!G15)</f>
        <v>Trondheim AK</v>
      </c>
      <c r="H83" s="110">
        <f>IF('P2'!N15=0,"",'P2'!N15)</f>
        <v>68</v>
      </c>
      <c r="I83" s="110">
        <f>IF('P2'!O15=0,"",'P2'!O15)</f>
        <v>90</v>
      </c>
      <c r="J83" s="110">
        <f>IF('P2'!P15=0,"",'P2'!P15)</f>
        <v>158</v>
      </c>
      <c r="K83" s="111">
        <f>IF('P2'!Q15=0,"",'P2'!Q15)</f>
        <v>172.60342512452033</v>
      </c>
      <c r="L83">
        <v>12</v>
      </c>
    </row>
    <row r="84" spans="1:12" ht="15">
      <c r="A84" s="105">
        <v>2</v>
      </c>
      <c r="B84" s="106" t="str">
        <f>IF('P2'!A16="","",'P2'!A16)</f>
        <v>+105</v>
      </c>
      <c r="C84" s="107">
        <f>IF('P2'!B16="","",'P2'!B16)</f>
        <v>112.4</v>
      </c>
      <c r="D84" s="106" t="str">
        <f>IF('P2'!C16="","",'P2'!C16)</f>
        <v>M8</v>
      </c>
      <c r="E84" s="108">
        <f>IF('P2'!D16="","",'P2'!D16)</f>
        <v>16053</v>
      </c>
      <c r="F84" s="109" t="str">
        <f>IF('P2'!F16="","",'P2'!F16)</f>
        <v>Kolbjørn Bjerkholt</v>
      </c>
      <c r="G84" s="109" t="str">
        <f>IF('P2'!G16="","",'P2'!G16)</f>
        <v>Larvik AK</v>
      </c>
      <c r="H84" s="110">
        <f>IF('P2'!N16=0,"",'P2'!N16)</f>
        <v>68</v>
      </c>
      <c r="I84" s="110">
        <f>IF('P2'!O16=0,"",'P2'!O16)</f>
        <v>80</v>
      </c>
      <c r="J84" s="110">
        <f>IF('P2'!P16=0,"",'P2'!P16)</f>
        <v>148</v>
      </c>
      <c r="K84" s="111">
        <f>IF('P2'!Q16=0,"",'P2'!Q16)</f>
        <v>158.1862546196776</v>
      </c>
      <c r="L84">
        <v>10</v>
      </c>
    </row>
    <row r="85" spans="1:11" ht="15">
      <c r="A85" s="105"/>
      <c r="B85" s="106"/>
      <c r="C85" s="107"/>
      <c r="D85" s="106"/>
      <c r="E85" s="108"/>
      <c r="F85" s="109"/>
      <c r="G85" s="109"/>
      <c r="H85" s="110"/>
      <c r="I85" s="110"/>
      <c r="J85" s="110"/>
      <c r="K85" s="111"/>
    </row>
    <row r="86" spans="1:12" ht="15">
      <c r="A86" s="105">
        <v>1</v>
      </c>
      <c r="B86" s="106">
        <f>IF('P2'!A17="","",'P2'!A17)</f>
        <v>77</v>
      </c>
      <c r="C86" s="107">
        <f>IF('P2'!B17="","",'P2'!B17)</f>
        <v>76.14</v>
      </c>
      <c r="D86" s="106" t="str">
        <f>IF('P2'!C17="","",'P2'!C17)</f>
        <v>M9</v>
      </c>
      <c r="E86" s="108">
        <f>IF('P2'!D17="","",'P2'!D17)</f>
        <v>14425</v>
      </c>
      <c r="F86" s="109" t="str">
        <f>IF('P2'!F17="","",'P2'!F17)</f>
        <v>Hans Martin Arnesen</v>
      </c>
      <c r="G86" s="109" t="str">
        <f>IF('P2'!G17="","",'P2'!G17)</f>
        <v>IL Kraftsport</v>
      </c>
      <c r="H86" s="110">
        <f>IF('P2'!N17=0,"",'P2'!N17)</f>
        <v>51</v>
      </c>
      <c r="I86" s="110">
        <f>IF('P2'!O17=0,"",'P2'!O17)</f>
        <v>71</v>
      </c>
      <c r="J86" s="110">
        <f>IF('P2'!P17=0,"",'P2'!P17)</f>
        <v>122</v>
      </c>
      <c r="K86" s="111">
        <f>IF('P2'!Q17=0,"",'P2'!Q17)</f>
        <v>154.61823426640498</v>
      </c>
      <c r="L86">
        <v>12</v>
      </c>
    </row>
    <row r="87" spans="1:11" ht="15">
      <c r="A87" s="105"/>
      <c r="B87" s="106"/>
      <c r="C87" s="107"/>
      <c r="D87" s="106"/>
      <c r="E87" s="108"/>
      <c r="F87" s="109"/>
      <c r="G87" s="109"/>
      <c r="H87" s="110"/>
      <c r="I87" s="110"/>
      <c r="J87" s="110"/>
      <c r="K87" s="111"/>
    </row>
    <row r="88" spans="1:12" ht="15">
      <c r="A88" s="105">
        <v>1</v>
      </c>
      <c r="B88" s="106">
        <f>IF('P2'!A19="","",'P2'!A19)</f>
        <v>85</v>
      </c>
      <c r="C88" s="107">
        <f>IF('P2'!B19="","",'P2'!B19)</f>
        <v>84.96</v>
      </c>
      <c r="D88" s="106" t="str">
        <f>IF('P2'!C19="","",'P2'!C19)</f>
        <v>M9</v>
      </c>
      <c r="E88" s="108">
        <f>IF('P2'!D19="","",'P2'!D19)</f>
        <v>14143</v>
      </c>
      <c r="F88" s="109" t="str">
        <f>IF('P2'!F19="","",'P2'!F19)</f>
        <v>Johan Nystrøm</v>
      </c>
      <c r="G88" s="109" t="str">
        <f>IF('P2'!G19="","",'P2'!G19)</f>
        <v>Trondheim AK</v>
      </c>
      <c r="H88" s="110">
        <f>IF('P2'!N19=0,"",'P2'!N19)</f>
        <v>57</v>
      </c>
      <c r="I88" s="110">
        <f>IF('P2'!O19=0,"",'P2'!O19)</f>
        <v>71</v>
      </c>
      <c r="J88" s="110">
        <f>IF('P2'!P19=0,"",'P2'!P19)</f>
        <v>128</v>
      </c>
      <c r="K88" s="111">
        <f>IF('P2'!Q19=0,"",'P2'!Q19)</f>
        <v>153.00018664098127</v>
      </c>
      <c r="L88">
        <v>12</v>
      </c>
    </row>
    <row r="89" spans="1:11" ht="15">
      <c r="A89" s="105"/>
      <c r="B89" s="106"/>
      <c r="C89" s="107"/>
      <c r="D89" s="106"/>
      <c r="E89" s="108"/>
      <c r="F89" s="109"/>
      <c r="G89" s="109"/>
      <c r="H89" s="110"/>
      <c r="I89" s="110"/>
      <c r="J89" s="110"/>
      <c r="K89" s="111"/>
    </row>
    <row r="90" spans="1:12" ht="15">
      <c r="A90" s="105">
        <v>1</v>
      </c>
      <c r="B90" s="106">
        <f>IF('P2'!A20="","",'P2'!A20)</f>
        <v>94</v>
      </c>
      <c r="C90" s="107">
        <f>IF('P2'!B20="","",'P2'!B20)</f>
        <v>93.58</v>
      </c>
      <c r="D90" s="106" t="str">
        <f>IF('P2'!C20="","",'P2'!C20)</f>
        <v>M9</v>
      </c>
      <c r="E90" s="108">
        <f>IF('P2'!D20="","",'P2'!D20)</f>
        <v>14941</v>
      </c>
      <c r="F90" s="109" t="str">
        <f>IF('P2'!F20="","",'P2'!F20)</f>
        <v>Per Marstad</v>
      </c>
      <c r="G90" s="109" t="str">
        <f>IF('P2'!G20="","",'P2'!G20)</f>
        <v>Tønsberg-Kam.</v>
      </c>
      <c r="H90" s="110">
        <f>IF('P2'!N20=0,"",'P2'!N20)</f>
        <v>60</v>
      </c>
      <c r="I90" s="110">
        <f>IF('P2'!O20=0,"",'P2'!O20)</f>
        <v>68</v>
      </c>
      <c r="J90" s="110">
        <f>IF('P2'!P20=0,"",'P2'!P20)</f>
        <v>128</v>
      </c>
      <c r="K90" s="111">
        <f>IF('P2'!Q20=0,"",'P2'!Q20)</f>
        <v>146.30770382060857</v>
      </c>
      <c r="L90">
        <v>12</v>
      </c>
    </row>
    <row r="91" spans="1:12" ht="15">
      <c r="A91" s="105">
        <v>2</v>
      </c>
      <c r="B91" s="106">
        <f>IF('P2'!A18="","",'P2'!A18)</f>
        <v>94</v>
      </c>
      <c r="C91" s="107">
        <f>IF('P2'!B18="","",'P2'!B18)</f>
        <v>90.42</v>
      </c>
      <c r="D91" s="106" t="str">
        <f>IF('P2'!C18="","",'P2'!C18)</f>
        <v>M9</v>
      </c>
      <c r="E91" s="108">
        <f>IF('P2'!D18="","",'P2'!D18)</f>
        <v>14761</v>
      </c>
      <c r="F91" s="109" t="str">
        <f>IF('P2'!F18="","",'P2'!F18)</f>
        <v>Roald Bjerkholt</v>
      </c>
      <c r="G91" s="109" t="str">
        <f>IF('P2'!G18="","",'P2'!G18)</f>
        <v>Larvik AK</v>
      </c>
      <c r="H91" s="110">
        <f>IF('P2'!N18=0,"",'P2'!N18)</f>
        <v>45</v>
      </c>
      <c r="I91" s="110">
        <f>IF('P2'!O18=0,"",'P2'!O18)</f>
        <v>62</v>
      </c>
      <c r="J91" s="110">
        <f>IF('P2'!P18=0,"",'P2'!P18)</f>
        <v>107</v>
      </c>
      <c r="K91" s="111">
        <f>IF('P2'!Q18=0,"",'P2'!Q18)</f>
        <v>124.17248013839549</v>
      </c>
      <c r="L91">
        <v>10</v>
      </c>
    </row>
    <row r="92" spans="1:11" ht="15">
      <c r="A92" s="105"/>
      <c r="B92" s="106"/>
      <c r="C92" s="107"/>
      <c r="D92" s="106"/>
      <c r="E92" s="108"/>
      <c r="F92" s="109"/>
      <c r="G92" s="109"/>
      <c r="H92" s="110"/>
      <c r="I92" s="110"/>
      <c r="J92" s="110"/>
      <c r="K92" s="111"/>
    </row>
    <row r="93" spans="1:12" ht="15">
      <c r="A93" s="105">
        <v>1</v>
      </c>
      <c r="B93" s="106">
        <f>IF('P2'!A21="","",'P2'!A21)</f>
        <v>105</v>
      </c>
      <c r="C93" s="107">
        <f>IF('P2'!B21="","",'P2'!B21)</f>
        <v>101.38</v>
      </c>
      <c r="D93" s="106" t="str">
        <f>IF('P2'!C21="","",'P2'!C21)</f>
        <v>M9</v>
      </c>
      <c r="E93" s="108">
        <f>IF('P2'!D21="","",'P2'!D21)</f>
        <v>14019</v>
      </c>
      <c r="F93" s="109" t="str">
        <f>IF('P2'!F21="","",'P2'!F21)</f>
        <v>Aage Sletsjøe</v>
      </c>
      <c r="G93" s="109" t="str">
        <f>IF('P2'!G21="","",'P2'!G21)</f>
        <v>Larvik AK</v>
      </c>
      <c r="H93" s="110">
        <f>IF('P2'!N21=0,"",'P2'!N21)</f>
        <v>54</v>
      </c>
      <c r="I93" s="110">
        <f>IF('P2'!O21=0,"",'P2'!O21)</f>
        <v>70</v>
      </c>
      <c r="J93" s="110">
        <f>IF('P2'!P21=0,"",'P2'!P21)</f>
        <v>124</v>
      </c>
      <c r="K93" s="111">
        <f>IF('P2'!Q21=0,"",'P2'!Q21)</f>
        <v>137.24790084546754</v>
      </c>
      <c r="L93">
        <v>12</v>
      </c>
    </row>
    <row r="94" spans="1:11" ht="15">
      <c r="A94" s="105"/>
      <c r="B94" s="106"/>
      <c r="C94" s="107"/>
      <c r="D94" s="106"/>
      <c r="E94" s="108"/>
      <c r="F94" s="109"/>
      <c r="G94" s="109"/>
      <c r="H94" s="110"/>
      <c r="I94" s="110"/>
      <c r="J94" s="110"/>
      <c r="K94" s="111"/>
    </row>
    <row r="95" spans="1:12" ht="15">
      <c r="A95" s="105">
        <v>1</v>
      </c>
      <c r="B95" s="106" t="str">
        <f>IF('P2'!A22="","",'P2'!A22)</f>
        <v>+105</v>
      </c>
      <c r="C95" s="107">
        <f>IF('P2'!B22="","",'P2'!B22)</f>
        <v>113.8</v>
      </c>
      <c r="D95" s="106" t="str">
        <f>IF('P2'!C22="","",'P2'!C22)</f>
        <v>M9</v>
      </c>
      <c r="E95" s="108">
        <f>IF('P2'!D22="","",'P2'!D22)</f>
        <v>13922</v>
      </c>
      <c r="F95" s="109" t="str">
        <f>IF('P2'!F22="","",'P2'!F22)</f>
        <v>Kåre Sømme</v>
      </c>
      <c r="G95" s="109" t="str">
        <f>IF('P2'!G22="","",'P2'!G22)</f>
        <v>Haugesund VK</v>
      </c>
      <c r="H95" s="110">
        <f>IF('P2'!N22=0,"",'P2'!N22)</f>
        <v>43</v>
      </c>
      <c r="I95" s="110">
        <f>IF('P2'!O22=0,"",'P2'!O22)</f>
        <v>50</v>
      </c>
      <c r="J95" s="110">
        <f>IF('P2'!P22=0,"",'P2'!P22)</f>
        <v>93</v>
      </c>
      <c r="K95" s="111">
        <f>IF('P2'!Q22=0,"",'P2'!Q22)</f>
        <v>99.03384848755422</v>
      </c>
      <c r="L95">
        <v>12</v>
      </c>
    </row>
    <row r="96" spans="1:12" ht="15">
      <c r="A96" s="105"/>
      <c r="B96" s="106"/>
      <c r="C96" s="107"/>
      <c r="D96" s="106"/>
      <c r="E96" s="108"/>
      <c r="F96" s="109"/>
      <c r="G96" s="109"/>
      <c r="H96" s="110"/>
      <c r="I96" s="110"/>
      <c r="J96" s="110"/>
      <c r="K96" s="111"/>
      <c r="L96">
        <f>SUM(L5:L95)</f>
        <v>601</v>
      </c>
    </row>
    <row r="97" spans="1:11" ht="15">
      <c r="A97" s="105"/>
      <c r="B97" s="106">
        <f>IF('P14'!A24="","",'P14'!A24)</f>
      </c>
      <c r="C97" s="107">
        <f>IF('P14'!B24="","",'P14'!B24)</f>
      </c>
      <c r="D97" s="106">
        <f>IF('P14'!C24="","",'P14'!C24)</f>
      </c>
      <c r="E97" s="108">
        <f>IF('P14'!D24="","",'P14'!D24)</f>
      </c>
      <c r="F97" s="109">
        <f>IF('P14'!F24="","",'P14'!F24)</f>
      </c>
      <c r="G97" s="109">
        <f>IF('P14'!G24="","",'P14'!G24)</f>
      </c>
      <c r="H97" s="110">
        <f>IF('P14'!N24=0,"",'P14'!N24)</f>
      </c>
      <c r="I97" s="110">
        <f>IF('P14'!O24=0,"",'P14'!O24)</f>
      </c>
      <c r="J97" s="110">
        <f>IF('P14'!P24=0,"",'P14'!P24)</f>
      </c>
      <c r="K97" s="112">
        <f>IF('P14'!Q24=0,"",'P14'!Q24)</f>
      </c>
    </row>
    <row r="98" spans="3:11" ht="17.25">
      <c r="C98" s="72"/>
      <c r="E98" s="191" t="s">
        <v>141</v>
      </c>
      <c r="F98" s="191"/>
      <c r="G98" s="191"/>
      <c r="K98"/>
    </row>
    <row r="99" spans="3:11" ht="17.25">
      <c r="C99" s="72"/>
      <c r="E99" s="165">
        <v>1</v>
      </c>
      <c r="F99" s="166" t="s">
        <v>70</v>
      </c>
      <c r="G99" s="167">
        <f>SUM(L6,L24,L35,L48,L68,L70,L76,L81,L84,L91,L93)</f>
        <v>120</v>
      </c>
      <c r="K99"/>
    </row>
    <row r="100" spans="3:11" ht="17.25">
      <c r="C100" s="72"/>
      <c r="E100" s="165">
        <v>2</v>
      </c>
      <c r="F100" s="166" t="s">
        <v>57</v>
      </c>
      <c r="G100" s="167">
        <f>SUM(L29,L40,L50,L56,L65,L80,L83,L88)</f>
        <v>88</v>
      </c>
      <c r="K100"/>
    </row>
    <row r="101" spans="3:11" ht="17.25">
      <c r="C101" s="72"/>
      <c r="E101" s="165">
        <v>3</v>
      </c>
      <c r="F101" s="166" t="s">
        <v>55</v>
      </c>
      <c r="G101" s="167">
        <f>SUM(L31,L43,L53,L59,L61)</f>
        <v>54</v>
      </c>
      <c r="K101"/>
    </row>
    <row r="102" spans="3:11" ht="17.25">
      <c r="C102" s="72"/>
      <c r="E102" s="165">
        <v>4</v>
      </c>
      <c r="F102" s="166" t="s">
        <v>59</v>
      </c>
      <c r="G102" s="167">
        <f>SUM(L16,L18,L39,L55)</f>
        <v>48</v>
      </c>
      <c r="K102"/>
    </row>
    <row r="103" spans="3:11" ht="17.25">
      <c r="C103" s="72"/>
      <c r="E103" s="165">
        <v>5</v>
      </c>
      <c r="F103" s="166" t="s">
        <v>94</v>
      </c>
      <c r="G103" s="167">
        <f>SUM(L8,L26,L95)</f>
        <v>36</v>
      </c>
      <c r="K103"/>
    </row>
    <row r="104" spans="3:11" ht="17.25">
      <c r="C104" s="72"/>
      <c r="E104" s="165">
        <v>5</v>
      </c>
      <c r="F104" s="166" t="s">
        <v>50</v>
      </c>
      <c r="G104" s="167">
        <f>SUM(L33,L52,L67)</f>
        <v>36</v>
      </c>
      <c r="K104"/>
    </row>
    <row r="105" spans="3:11" ht="17.25">
      <c r="C105" s="72"/>
      <c r="E105" s="165">
        <v>7</v>
      </c>
      <c r="F105" s="166" t="s">
        <v>110</v>
      </c>
      <c r="G105" s="167">
        <f>SUM(L21,L22,L47)</f>
        <v>34</v>
      </c>
      <c r="K105"/>
    </row>
    <row r="106" spans="3:11" ht="17.25">
      <c r="C106" s="72"/>
      <c r="E106" s="165">
        <v>7</v>
      </c>
      <c r="F106" s="166" t="s">
        <v>61</v>
      </c>
      <c r="G106" s="167">
        <f>SUM(L27,L58,L72)</f>
        <v>34</v>
      </c>
      <c r="K106"/>
    </row>
    <row r="107" spans="3:11" ht="17.25">
      <c r="C107" s="72"/>
      <c r="E107" s="165">
        <v>9</v>
      </c>
      <c r="F107" s="166" t="s">
        <v>133</v>
      </c>
      <c r="G107" s="167">
        <f>SUM(L10,L12)</f>
        <v>24</v>
      </c>
      <c r="K107"/>
    </row>
    <row r="108" spans="3:11" ht="17.25">
      <c r="C108" s="72"/>
      <c r="E108" s="165">
        <v>9</v>
      </c>
      <c r="F108" s="166" t="s">
        <v>67</v>
      </c>
      <c r="G108" s="167">
        <f>SUM(L45,L63)</f>
        <v>24</v>
      </c>
      <c r="K108"/>
    </row>
    <row r="109" spans="3:11" ht="17.25">
      <c r="C109" s="72"/>
      <c r="E109" s="165">
        <v>9</v>
      </c>
      <c r="F109" s="166" t="s">
        <v>76</v>
      </c>
      <c r="G109" s="167">
        <f>SUM(L74,L78)</f>
        <v>24</v>
      </c>
      <c r="K109"/>
    </row>
    <row r="110" spans="3:11" ht="17.25">
      <c r="C110" s="72"/>
      <c r="E110" s="165">
        <v>12</v>
      </c>
      <c r="F110" s="166" t="s">
        <v>108</v>
      </c>
      <c r="G110" s="167">
        <f>SUM(L19,L49)</f>
        <v>19</v>
      </c>
      <c r="K110"/>
    </row>
    <row r="111" spans="3:11" ht="17.25">
      <c r="C111" s="72"/>
      <c r="E111" s="165">
        <v>13</v>
      </c>
      <c r="F111" s="166" t="s">
        <v>87</v>
      </c>
      <c r="G111" s="167">
        <f>SUM(L86)</f>
        <v>12</v>
      </c>
      <c r="J111" s="169"/>
      <c r="K111"/>
    </row>
    <row r="112" spans="3:11" ht="17.25">
      <c r="C112" s="72"/>
      <c r="E112" s="165">
        <v>13</v>
      </c>
      <c r="F112" s="166" t="s">
        <v>114</v>
      </c>
      <c r="G112" s="167">
        <f>SUM(L5)</f>
        <v>12</v>
      </c>
      <c r="K112"/>
    </row>
    <row r="113" spans="3:11" ht="17.25">
      <c r="C113" s="72"/>
      <c r="E113" s="165">
        <v>13</v>
      </c>
      <c r="F113" s="166" t="s">
        <v>63</v>
      </c>
      <c r="G113" s="167">
        <f>SUM(L37)</f>
        <v>12</v>
      </c>
      <c r="K113"/>
    </row>
    <row r="114" spans="3:11" ht="17.25">
      <c r="C114" s="72"/>
      <c r="E114" s="165">
        <v>13</v>
      </c>
      <c r="F114" s="166" t="s">
        <v>103</v>
      </c>
      <c r="G114" s="167">
        <f>SUM(L42)</f>
        <v>12</v>
      </c>
      <c r="K114"/>
    </row>
    <row r="115" spans="3:18" ht="17.25">
      <c r="C115" s="72"/>
      <c r="E115" s="165">
        <v>13</v>
      </c>
      <c r="F115" s="166" t="s">
        <v>91</v>
      </c>
      <c r="G115" s="167">
        <f>SUM(L90)</f>
        <v>12</v>
      </c>
      <c r="K115"/>
      <c r="R115">
        <v>6</v>
      </c>
    </row>
    <row r="116" ht="12">
      <c r="G116" s="170">
        <f>SUM(G99:G115)</f>
        <v>601</v>
      </c>
    </row>
  </sheetData>
  <sheetProtection/>
  <mergeCells count="6">
    <mergeCell ref="E98:G98"/>
    <mergeCell ref="A3:K3"/>
    <mergeCell ref="A14:K14"/>
    <mergeCell ref="A1:K1"/>
    <mergeCell ref="F2:G2"/>
    <mergeCell ref="H2:K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  <rowBreaks count="1" manualBreakCount="1">
    <brk id="95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11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16" sqref="E116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1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72" customWidth="1"/>
  </cols>
  <sheetData>
    <row r="1" spans="1:11" s="69" customFormat="1" ht="34.5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70" customFormat="1" ht="26.25" customHeight="1">
      <c r="A2" s="177" t="str">
        <f>IF('P1'!H5&gt;0,'P1'!H5,"")</f>
        <v>Spydeberg Atletene</v>
      </c>
      <c r="B2" s="177"/>
      <c r="C2" s="177"/>
      <c r="D2" s="177"/>
      <c r="E2" s="177"/>
      <c r="F2" s="194" t="str">
        <f>IF('P1'!M5&gt;0,'P1'!M5,"")</f>
        <v>Spydeberghallen</v>
      </c>
      <c r="G2" s="194"/>
      <c r="H2" s="194" t="s">
        <v>305</v>
      </c>
      <c r="I2" s="194"/>
      <c r="J2" s="194"/>
      <c r="K2" s="194"/>
    </row>
    <row r="3" spans="1:11" ht="27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ht="12">
      <c r="A4" s="48"/>
    </row>
    <row r="5" spans="1:12" ht="15">
      <c r="A5" s="105">
        <v>1</v>
      </c>
      <c r="B5" s="106">
        <f>IF('P4'!A9="","",'P4'!A9)</f>
        <v>75</v>
      </c>
      <c r="C5" s="107">
        <f>IF('P4'!B9="","",'P4'!B9)</f>
        <v>70.78</v>
      </c>
      <c r="D5" s="106" t="str">
        <f>IF('P4'!C9="","",'P4'!C9)</f>
        <v>K1</v>
      </c>
      <c r="E5" s="108">
        <f>IF('P4'!D9="","",'P4'!D9)</f>
        <v>29102</v>
      </c>
      <c r="F5" s="109" t="str">
        <f>IF('P4'!F9="","",'P4'!F9)</f>
        <v>Hilde Næss</v>
      </c>
      <c r="G5" s="109" t="str">
        <f>IF('P4'!G9="","",'P4'!G9)</f>
        <v>Lørenskog AK</v>
      </c>
      <c r="H5" s="110">
        <f>IF('P4'!N9=0,"",'P4'!N9)</f>
        <v>43</v>
      </c>
      <c r="I5" s="110">
        <f>IF('P4'!O9=0,"",'P4'!O9)</f>
        <v>61</v>
      </c>
      <c r="J5" s="110">
        <f>IF('P4'!P9=0,"",'P4'!P9)</f>
        <v>104</v>
      </c>
      <c r="K5" s="111">
        <f>IF('P4'!Q9=0,"",'P4'!Q9)</f>
        <v>128.57557114638962</v>
      </c>
      <c r="L5">
        <v>12</v>
      </c>
    </row>
    <row r="6" spans="1:12" ht="15">
      <c r="A6" s="105">
        <v>2</v>
      </c>
      <c r="B6" s="106">
        <f>IF('P4'!A10="","",'P4'!A10)</f>
        <v>75</v>
      </c>
      <c r="C6" s="107">
        <f>IF('P4'!B10="","",'P4'!B10)</f>
        <v>72.02</v>
      </c>
      <c r="D6" s="106" t="str">
        <f>IF('P4'!C10="","",'P4'!C10)</f>
        <v>K1</v>
      </c>
      <c r="E6" s="108">
        <f>IF('P4'!D10="","",'P4'!D10)</f>
        <v>29343</v>
      </c>
      <c r="F6" s="109" t="str">
        <f>IF('P4'!F10="","",'P4'!F10)</f>
        <v>Kira Ingelsrudøyen</v>
      </c>
      <c r="G6" s="109" t="str">
        <f>IF('P4'!G10="","",'P4'!G10)</f>
        <v>Larvik AK</v>
      </c>
      <c r="H6" s="110">
        <f>IF('P4'!N10=0,"",'P4'!N10)</f>
        <v>42</v>
      </c>
      <c r="I6" s="110">
        <f>IF('P4'!O10=0,"",'P4'!O10)</f>
        <v>50</v>
      </c>
      <c r="J6" s="110">
        <f>IF('P4'!P10=0,"",'P4'!P10)</f>
        <v>92</v>
      </c>
      <c r="K6" s="111">
        <f>IF('P4'!Q10=0,"",'P4'!Q10)</f>
        <v>112.6229552664659</v>
      </c>
      <c r="L6">
        <v>10</v>
      </c>
    </row>
    <row r="7" spans="1:11" ht="15">
      <c r="A7" s="105"/>
      <c r="B7" s="106"/>
      <c r="C7" s="107"/>
      <c r="D7" s="106"/>
      <c r="E7" s="108"/>
      <c r="F7" s="109"/>
      <c r="G7" s="109"/>
      <c r="H7" s="110"/>
      <c r="I7" s="110"/>
      <c r="J7" s="110"/>
      <c r="K7" s="111"/>
    </row>
    <row r="8" spans="1:12" ht="15">
      <c r="A8" s="105">
        <v>1</v>
      </c>
      <c r="B8" s="106">
        <f>IF('P4'!A11="","",'P4'!A11)</f>
        <v>63</v>
      </c>
      <c r="C8" s="107">
        <f>IF('P4'!B11="","",'P4'!B11)</f>
        <v>60.46</v>
      </c>
      <c r="D8" s="106" t="str">
        <f>IF('P4'!C11="","",'P4'!C11)</f>
        <v>K2</v>
      </c>
      <c r="E8" s="108">
        <f>IF('P4'!D11="","",'P4'!D11)</f>
        <v>26801</v>
      </c>
      <c r="F8" s="109" t="str">
        <f>IF('P4'!F11="","",'P4'!F11)</f>
        <v>Anna Rød Nyland</v>
      </c>
      <c r="G8" s="109" t="str">
        <f>IF('P4'!G11="","",'P4'!G11)</f>
        <v>Haugesund VK</v>
      </c>
      <c r="H8" s="110">
        <f>IF('P4'!N11=0,"",'P4'!N11)</f>
        <v>35</v>
      </c>
      <c r="I8" s="110">
        <f>IF('P4'!O11=0,"",'P4'!O11)</f>
        <v>56</v>
      </c>
      <c r="J8" s="110">
        <f>IF('P4'!P11=0,"",'P4'!P11)</f>
        <v>91</v>
      </c>
      <c r="K8" s="111">
        <f>IF('P4'!Q11=0,"",'P4'!Q11)</f>
        <v>124.3726688842086</v>
      </c>
      <c r="L8">
        <v>12</v>
      </c>
    </row>
    <row r="9" spans="1:11" ht="15">
      <c r="A9" s="105"/>
      <c r="B9" s="106"/>
      <c r="C9" s="107"/>
      <c r="D9" s="106"/>
      <c r="E9" s="108"/>
      <c r="F9" s="109"/>
      <c r="G9" s="109"/>
      <c r="H9" s="110"/>
      <c r="I9" s="110"/>
      <c r="J9" s="110"/>
      <c r="K9" s="111"/>
    </row>
    <row r="10" spans="1:12" ht="15">
      <c r="A10" s="105">
        <v>1</v>
      </c>
      <c r="B10" s="106">
        <f>IF('P10'!A17="","",'P10'!A17)</f>
        <v>69</v>
      </c>
      <c r="C10" s="107">
        <f>IF('P10'!B17="","",'P10'!B17)</f>
        <v>68.6</v>
      </c>
      <c r="D10" s="106" t="str">
        <f>IF('P10'!C17="","",'P10'!C17)</f>
        <v>K2</v>
      </c>
      <c r="E10" s="108">
        <f>IF('P10'!D17="","",'P10'!D17)</f>
        <v>26306</v>
      </c>
      <c r="F10" s="109" t="str">
        <f>IF('P10'!F17="","",'P10'!F17)</f>
        <v>Anna Waage</v>
      </c>
      <c r="G10" s="109" t="str">
        <f>IF('P10'!G17="","",'P10'!G17)</f>
        <v>Flaktveit IK</v>
      </c>
      <c r="H10" s="110">
        <f>IF('P10'!N17=0,"",'P10'!N17)</f>
        <v>54</v>
      </c>
      <c r="I10" s="110">
        <f>IF('P10'!O17=0,"",'P10'!O17)</f>
        <v>76</v>
      </c>
      <c r="J10" s="110">
        <f>IF('P10'!P17=0,"",'P10'!P17)</f>
        <v>130</v>
      </c>
      <c r="K10" s="111">
        <f>IF('P10'!Q17=0,"",'P10'!Q17)</f>
        <v>163.6991768594519</v>
      </c>
      <c r="L10">
        <v>12</v>
      </c>
    </row>
    <row r="11" spans="1:11" ht="15">
      <c r="A11" s="105"/>
      <c r="B11" s="106"/>
      <c r="C11" s="107"/>
      <c r="D11" s="106"/>
      <c r="E11" s="108"/>
      <c r="F11" s="109"/>
      <c r="G11" s="109"/>
      <c r="H11" s="110"/>
      <c r="I11" s="110"/>
      <c r="J11" s="110"/>
      <c r="K11" s="111"/>
    </row>
    <row r="12" spans="1:12" ht="15">
      <c r="A12" s="105">
        <v>1</v>
      </c>
      <c r="B12" s="106">
        <f>IF('P8'!A17="","",'P8'!A17)</f>
        <v>63</v>
      </c>
      <c r="C12" s="107">
        <f>IF('P8'!B17="","",'P8'!B17)</f>
        <v>61.66</v>
      </c>
      <c r="D12" s="106" t="str">
        <f>IF('P8'!C17="","",'P8'!C17)</f>
        <v>K3</v>
      </c>
      <c r="E12" s="108">
        <f>IF('P8'!D17="","",'P8'!D17)</f>
        <v>25930</v>
      </c>
      <c r="F12" s="109" t="str">
        <f>IF('P8'!F17="","",'P8'!F17)</f>
        <v>Line Søfteland</v>
      </c>
      <c r="G12" s="109" t="str">
        <f>IF('P8'!G17="","",'P8'!G17)</f>
        <v>Flaktveit IK</v>
      </c>
      <c r="H12" s="110">
        <f>IF('P8'!N17=0,"",'P8'!N17)</f>
        <v>48</v>
      </c>
      <c r="I12" s="110">
        <f>IF('P8'!O17=0,"",'P8'!O17)</f>
        <v>64</v>
      </c>
      <c r="J12" s="110">
        <f>IF('P8'!P17=0,"",'P8'!P17)</f>
        <v>112</v>
      </c>
      <c r="K12" s="111">
        <f>IF('P8'!Q17=0,"",'P8'!Q17)</f>
        <v>151.0117234754665</v>
      </c>
      <c r="L12">
        <v>12</v>
      </c>
    </row>
    <row r="13" ht="12">
      <c r="A13" s="48"/>
    </row>
    <row r="14" spans="1:11" ht="27">
      <c r="A14" s="192" t="s">
        <v>27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ht="12">
      <c r="A15" s="48"/>
    </row>
    <row r="16" spans="1:12" ht="15">
      <c r="A16" s="105">
        <v>1</v>
      </c>
      <c r="B16" s="106">
        <f>IF('P9'!A17="","",'P9'!A17)</f>
        <v>77</v>
      </c>
      <c r="C16" s="107">
        <f>IF('P9'!B17="","",'P9'!B17)</f>
        <v>76.42</v>
      </c>
      <c r="D16" s="106" t="str">
        <f>IF('P9'!C17="","",'P9'!C17)</f>
        <v>M1</v>
      </c>
      <c r="E16" s="108">
        <f>IF('P9'!D17="","",'P9'!D17)</f>
        <v>28656</v>
      </c>
      <c r="F16" s="109" t="str">
        <f>IF('P9'!F17="","",'P9'!F17)</f>
        <v>Ronny Matnisdal</v>
      </c>
      <c r="G16" s="109" t="str">
        <f>IF('P9'!G17="","",'P9'!G17)</f>
        <v>Vigrestad IK</v>
      </c>
      <c r="H16" s="110">
        <f>IF('P9'!N17=0,"",'P9'!N17)</f>
        <v>130</v>
      </c>
      <c r="I16" s="110">
        <f>IF('P9'!O17=0,"",'P9'!O17)</f>
        <v>148</v>
      </c>
      <c r="J16" s="110">
        <f>IF('P9'!P17=0,"",'P9'!P17)</f>
        <v>278</v>
      </c>
      <c r="K16" s="111">
        <f>IF('P9'!Q17=0,"",'P9'!Q17)</f>
        <v>351.5897007694986</v>
      </c>
      <c r="L16">
        <v>12</v>
      </c>
    </row>
    <row r="17" spans="1:11" ht="15">
      <c r="A17" s="105"/>
      <c r="B17" s="106"/>
      <c r="C17" s="107"/>
      <c r="D17" s="106"/>
      <c r="E17" s="108"/>
      <c r="F17" s="109"/>
      <c r="G17" s="109"/>
      <c r="H17" s="110"/>
      <c r="I17" s="110"/>
      <c r="J17" s="110"/>
      <c r="K17" s="111"/>
    </row>
    <row r="18" spans="1:12" ht="15">
      <c r="A18" s="105">
        <v>1</v>
      </c>
      <c r="B18" s="106">
        <f>IF('P11'!A18="","",'P11'!A18)</f>
        <v>85</v>
      </c>
      <c r="C18" s="107">
        <f>IF('P11'!B18="","",'P11'!B18)</f>
        <v>81.04</v>
      </c>
      <c r="D18" s="106" t="str">
        <f>IF('P11'!C18="","",'P11'!C18)</f>
        <v>M1</v>
      </c>
      <c r="E18" s="108">
        <f>IF('P11'!D18="","",'P11'!D18)</f>
        <v>28620</v>
      </c>
      <c r="F18" s="109" t="str">
        <f>IF('P11'!F18="","",'P11'!F18)</f>
        <v>Kristian Høyland</v>
      </c>
      <c r="G18" s="109" t="str">
        <f>IF('P11'!G18="","",'P11'!G18)</f>
        <v>Vigrestad IK</v>
      </c>
      <c r="H18" s="110">
        <f>IF('P11'!N18=0,"",'P11'!N18)</f>
        <v>105</v>
      </c>
      <c r="I18" s="110">
        <f>IF('P11'!O18=0,"",'P11'!O18)</f>
        <v>130</v>
      </c>
      <c r="J18" s="110">
        <f>IF('P11'!P18=0,"",'P11'!P18)</f>
        <v>235</v>
      </c>
      <c r="K18" s="112">
        <f>IF('P11'!Q18=0,"",'P11'!Q18)</f>
        <v>287.78180024680626</v>
      </c>
      <c r="L18">
        <v>12</v>
      </c>
    </row>
    <row r="19" spans="1:12" ht="15">
      <c r="A19" s="105">
        <v>2</v>
      </c>
      <c r="B19" s="106">
        <f>IF('P4'!A13="","",'P4'!A13)</f>
        <v>85</v>
      </c>
      <c r="C19" s="107">
        <f>IF('P4'!B13="","",'P4'!B13)</f>
        <v>81.98</v>
      </c>
      <c r="D19" s="106" t="str">
        <f>IF('P4'!C13="","",'P4'!C13)</f>
        <v>M1</v>
      </c>
      <c r="E19" s="108">
        <f>IF('P4'!D13="","",'P4'!D13)</f>
        <v>29147</v>
      </c>
      <c r="F19" s="109" t="str">
        <f>IF('P4'!F13="","",'P4'!F13)</f>
        <v>Ole Marius Hovdum</v>
      </c>
      <c r="G19" s="109" t="str">
        <f>IF('P4'!G13="","",'P4'!G13)</f>
        <v>T &amp; IL National</v>
      </c>
      <c r="H19" s="110">
        <f>IF('P4'!N13=0,"",'P4'!N13)</f>
        <v>95</v>
      </c>
      <c r="I19" s="110">
        <f>IF('P4'!O13=0,"",'P4'!O13)</f>
        <v>119</v>
      </c>
      <c r="J19" s="110">
        <f>IF('P4'!P13=0,"",'P4'!P13)</f>
        <v>214</v>
      </c>
      <c r="K19" s="111">
        <f>IF('P4'!Q13=0,"",'P4'!Q13)</f>
        <v>260.4838597687492</v>
      </c>
      <c r="L19">
        <v>10</v>
      </c>
    </row>
    <row r="20" spans="1:11" ht="15">
      <c r="A20" s="105"/>
      <c r="B20" s="106"/>
      <c r="C20" s="107"/>
      <c r="D20" s="106"/>
      <c r="E20" s="108"/>
      <c r="F20" s="109"/>
      <c r="G20" s="109"/>
      <c r="H20" s="110"/>
      <c r="I20" s="110"/>
      <c r="J20" s="110"/>
      <c r="K20" s="111"/>
    </row>
    <row r="21" spans="1:12" ht="15">
      <c r="A21" s="105">
        <v>1</v>
      </c>
      <c r="B21" s="106">
        <f>IF('P14'!A15="","",'P14'!A15)</f>
        <v>105</v>
      </c>
      <c r="C21" s="107">
        <f>IF('P14'!B15="","",'P14'!B15)</f>
        <v>104.46</v>
      </c>
      <c r="D21" s="106" t="str">
        <f>IF('P14'!C15="","",'P14'!C15)</f>
        <v>M1</v>
      </c>
      <c r="E21" s="108">
        <f>IF('P14'!D15="","",'P14'!D15)</f>
        <v>27849</v>
      </c>
      <c r="F21" s="109" t="str">
        <f>IF('P14'!F15="","",'P14'!F15)</f>
        <v>Børge Aadland</v>
      </c>
      <c r="G21" s="109" t="str">
        <f>IF('P14'!G15="","",'P14'!G15)</f>
        <v>AK Bjørgvin</v>
      </c>
      <c r="H21" s="110">
        <f>IF('P14'!N15=0,"",'P14'!N15)</f>
        <v>120</v>
      </c>
      <c r="I21" s="110">
        <f>IF('P14'!O15=0,"",'P14'!O15)</f>
        <v>165</v>
      </c>
      <c r="J21" s="110">
        <f>IF('P14'!P15=0,"",'P14'!P15)</f>
        <v>285</v>
      </c>
      <c r="K21" s="112">
        <f>IF('P14'!Q15=0,"",'P14'!Q15)</f>
        <v>312.0315388833473</v>
      </c>
      <c r="L21">
        <v>12</v>
      </c>
    </row>
    <row r="22" spans="1:12" ht="15">
      <c r="A22" s="105">
        <v>2</v>
      </c>
      <c r="B22" s="106">
        <f>IF('P4'!A14="","",'P4'!A14)</f>
        <v>105</v>
      </c>
      <c r="C22" s="107">
        <f>IF('P4'!B14="","",'P4'!B14)</f>
        <v>104.12</v>
      </c>
      <c r="D22" s="106" t="str">
        <f>IF('P4'!C14="","",'P4'!C14)</f>
        <v>M1</v>
      </c>
      <c r="E22" s="108">
        <f>IF('P4'!D14="","",'P4'!D14)</f>
        <v>29420</v>
      </c>
      <c r="F22" s="109" t="str">
        <f>IF('P4'!F14="","",'P4'!F14)</f>
        <v>Michal Daae</v>
      </c>
      <c r="G22" s="109" t="str">
        <f>IF('P4'!G14="","",'P4'!G14)</f>
        <v>AK Bjørgvin</v>
      </c>
      <c r="H22" s="110">
        <f>IF('P4'!N14=0,"",'P4'!N14)</f>
        <v>85</v>
      </c>
      <c r="I22" s="110">
        <f>IF('P4'!O14=0,"",'P4'!O14)</f>
        <v>105</v>
      </c>
      <c r="J22" s="110">
        <f>IF('P4'!P14=0,"",'P4'!P14)</f>
        <v>190</v>
      </c>
      <c r="K22" s="111">
        <f>IF('P4'!Q14=0,"",'P4'!Q14)</f>
        <v>208.261741794419</v>
      </c>
      <c r="L22">
        <v>10</v>
      </c>
    </row>
    <row r="23" spans="1:11" ht="15">
      <c r="A23" s="105"/>
      <c r="B23" s="106"/>
      <c r="C23" s="107"/>
      <c r="D23" s="106"/>
      <c r="E23" s="108"/>
      <c r="F23" s="109"/>
      <c r="G23" s="109"/>
      <c r="H23" s="110"/>
      <c r="I23" s="110"/>
      <c r="J23" s="110"/>
      <c r="K23" s="111"/>
    </row>
    <row r="24" spans="1:12" ht="15">
      <c r="A24" s="105">
        <v>1</v>
      </c>
      <c r="B24" s="106">
        <f>IF('P4'!A15="","",'P4'!A15)</f>
        <v>85</v>
      </c>
      <c r="C24" s="107">
        <f>IF('P4'!B15="","",'P4'!B15)</f>
        <v>79.96</v>
      </c>
      <c r="D24" s="106" t="str">
        <f>IF('P4'!C15="","",'P4'!C15)</f>
        <v>M2</v>
      </c>
      <c r="E24" s="108">
        <f>IF('P4'!D15="","",'P4'!D15)</f>
        <v>25993</v>
      </c>
      <c r="F24" s="109" t="str">
        <f>IF('P4'!F15="","",'P4'!F15)</f>
        <v>Thorkild Larsen</v>
      </c>
      <c r="G24" s="109" t="str">
        <f>IF('P4'!G15="","",'P4'!G15)</f>
        <v>Larvik AK</v>
      </c>
      <c r="H24" s="110">
        <f>IF('P4'!N15=0,"",'P4'!N15)</f>
        <v>95</v>
      </c>
      <c r="I24" s="110">
        <f>IF('P4'!O15=0,"",'P4'!O15)</f>
        <v>110</v>
      </c>
      <c r="J24" s="110">
        <f>IF('P4'!P15=0,"",'P4'!P15)</f>
        <v>205</v>
      </c>
      <c r="K24" s="111">
        <f>IF('P4'!Q15=0,"",'P4'!Q15)</f>
        <v>252.84668196322474</v>
      </c>
      <c r="L24">
        <v>12</v>
      </c>
    </row>
    <row r="25" spans="1:11" ht="15">
      <c r="A25" s="105"/>
      <c r="B25" s="106"/>
      <c r="C25" s="107"/>
      <c r="D25" s="106"/>
      <c r="E25" s="108"/>
      <c r="F25" s="109"/>
      <c r="G25" s="109"/>
      <c r="H25" s="110"/>
      <c r="I25" s="110"/>
      <c r="J25" s="110"/>
      <c r="K25" s="111"/>
    </row>
    <row r="26" spans="1:12" ht="15">
      <c r="A26" s="105">
        <v>1</v>
      </c>
      <c r="B26" s="106">
        <f>IF('P4'!A16="","",'P4'!A16)</f>
        <v>94</v>
      </c>
      <c r="C26" s="107">
        <f>IF('P4'!B16="","",'P4'!B16)</f>
        <v>93</v>
      </c>
      <c r="D26" s="106" t="str">
        <f>IF('P4'!C16="","",'P4'!C16)</f>
        <v>M2</v>
      </c>
      <c r="E26" s="108">
        <f>IF('P4'!D16="","",'P4'!D16)</f>
        <v>26566</v>
      </c>
      <c r="F26" s="109" t="str">
        <f>IF('P4'!F16="","",'P4'!F16)</f>
        <v>Jarle Hammersvik</v>
      </c>
      <c r="G26" s="109" t="str">
        <f>IF('P4'!G16="","",'P4'!G16)</f>
        <v>Haugesund VK</v>
      </c>
      <c r="H26" s="110">
        <f>IF('P4'!N16=0,"",'P4'!N16)</f>
        <v>105</v>
      </c>
      <c r="I26" s="110">
        <f>IF('P4'!O16=0,"",'P4'!O16)</f>
        <v>140</v>
      </c>
      <c r="J26" s="110">
        <f>IF('P4'!P16=0,"",'P4'!P16)</f>
        <v>245</v>
      </c>
      <c r="K26" s="111">
        <f>IF('P4'!Q16=0,"",'P4'!Q16)</f>
        <v>280.79463033506863</v>
      </c>
      <c r="L26">
        <v>12</v>
      </c>
    </row>
    <row r="27" spans="1:12" ht="15">
      <c r="A27" s="105">
        <v>2</v>
      </c>
      <c r="B27" s="106">
        <f>IF('P4'!A17="","",'P4'!A17)</f>
        <v>94</v>
      </c>
      <c r="C27" s="107">
        <f>IF('P4'!B17="","",'P4'!B17)</f>
        <v>86.84</v>
      </c>
      <c r="D27" s="106" t="str">
        <f>IF('P4'!C17="","",'P4'!C17)</f>
        <v>M2</v>
      </c>
      <c r="E27" s="108">
        <f>IF('P4'!D17="","",'P4'!D17)</f>
        <v>26854</v>
      </c>
      <c r="F27" s="109" t="str">
        <f>IF('P4'!F17="","",'P4'!F17)</f>
        <v>Jonny Block</v>
      </c>
      <c r="G27" s="109" t="str">
        <f>IF('P4'!G17="","",'P4'!G17)</f>
        <v>Nidelv IL</v>
      </c>
      <c r="H27" s="110">
        <f>IF('P4'!N17=0,"",'P4'!N17)</f>
        <v>98</v>
      </c>
      <c r="I27" s="110">
        <f>IF('P4'!O17=0,"",'P4'!O17)</f>
        <v>120</v>
      </c>
      <c r="J27" s="110">
        <f>IF('P4'!P17=0,"",'P4'!P17)</f>
        <v>218</v>
      </c>
      <c r="K27" s="111">
        <f>IF('P4'!Q17=0,"",'P4'!Q17)</f>
        <v>257.80653265599835</v>
      </c>
      <c r="L27">
        <v>10</v>
      </c>
    </row>
    <row r="28" spans="1:11" ht="15">
      <c r="A28" s="105"/>
      <c r="B28" s="106"/>
      <c r="C28" s="107"/>
      <c r="D28" s="106"/>
      <c r="E28" s="108"/>
      <c r="F28" s="109"/>
      <c r="G28" s="109"/>
      <c r="H28" s="110"/>
      <c r="I28" s="110"/>
      <c r="J28" s="110"/>
      <c r="K28" s="111"/>
    </row>
    <row r="29" spans="1:12" ht="15">
      <c r="A29" s="105">
        <v>1</v>
      </c>
      <c r="B29" s="106">
        <f>IF('P14'!A16="","",'P14'!A16)</f>
        <v>105</v>
      </c>
      <c r="C29" s="107">
        <f>IF('P14'!B16="","",'P14'!B16)</f>
        <v>96.72</v>
      </c>
      <c r="D29" s="106" t="str">
        <f>IF('P14'!C16="","",'P14'!C16)</f>
        <v>M2</v>
      </c>
      <c r="E29" s="108">
        <f>IF('P14'!D16="","",'P14'!D16)</f>
        <v>26790</v>
      </c>
      <c r="F29" s="109" t="str">
        <f>IF('P14'!F16="","",'P14'!F16)</f>
        <v>Ronny Fevåg</v>
      </c>
      <c r="G29" s="109" t="str">
        <f>IF('P14'!G16="","",'P14'!G16)</f>
        <v>Trondheim AK</v>
      </c>
      <c r="H29" s="110">
        <f>IF('P14'!N16=0,"",'P14'!N16)</f>
        <v>105</v>
      </c>
      <c r="I29" s="110">
        <f>IF('P14'!O16=0,"",'P14'!O16)</f>
        <v>130</v>
      </c>
      <c r="J29" s="110">
        <f>IF('P14'!P16=0,"",'P14'!P16)</f>
        <v>235</v>
      </c>
      <c r="K29" s="112">
        <f>IF('P14'!Q16=0,"",'P14'!Q16)</f>
        <v>264.9305905200904</v>
      </c>
      <c r="L29">
        <v>12</v>
      </c>
    </row>
    <row r="30" spans="1:11" ht="15">
      <c r="A30" s="105"/>
      <c r="B30" s="106"/>
      <c r="C30" s="107"/>
      <c r="D30" s="106"/>
      <c r="E30" s="108"/>
      <c r="F30" s="109"/>
      <c r="G30" s="109"/>
      <c r="H30" s="110"/>
      <c r="I30" s="110"/>
      <c r="J30" s="110"/>
      <c r="K30" s="111"/>
    </row>
    <row r="31" spans="1:12" ht="15">
      <c r="A31" s="105">
        <v>1</v>
      </c>
      <c r="B31" s="106" t="str">
        <f>IF('P4'!A18="","",'P4'!A18)</f>
        <v>+105</v>
      </c>
      <c r="C31" s="107">
        <f>IF('P4'!B18="","",'P4'!B18)</f>
        <v>115.96</v>
      </c>
      <c r="D31" s="106" t="str">
        <f>IF('P4'!C18="","",'P4'!C18)</f>
        <v>M2</v>
      </c>
      <c r="E31" s="108">
        <f>IF('P4'!D18="","",'P4'!D18)</f>
        <v>26048</v>
      </c>
      <c r="F31" s="109" t="str">
        <f>IF('P4'!F18="","",'P4'!F18)</f>
        <v>Geir Johansen</v>
      </c>
      <c r="G31" s="109" t="str">
        <f>IF('P4'!G18="","",'P4'!G18)</f>
        <v>Lenja AK</v>
      </c>
      <c r="H31" s="110">
        <f>IF('P4'!N18=0,"",'P4'!N18)</f>
        <v>116</v>
      </c>
      <c r="I31" s="110">
        <f>IF('P4'!O18=0,"",'P4'!O18)</f>
        <v>151</v>
      </c>
      <c r="J31" s="110">
        <f>IF('P4'!P18=0,"",'P4'!P18)</f>
        <v>267</v>
      </c>
      <c r="K31" s="111">
        <f>IF('P4'!Q18=0,"",'P4'!Q18)</f>
        <v>282.7872650549261</v>
      </c>
      <c r="L31">
        <v>12</v>
      </c>
    </row>
    <row r="32" spans="1:11" ht="15">
      <c r="A32" s="105"/>
      <c r="B32" s="106"/>
      <c r="C32" s="107"/>
      <c r="D32" s="106"/>
      <c r="E32" s="108"/>
      <c r="F32" s="109"/>
      <c r="G32" s="109"/>
      <c r="H32" s="110"/>
      <c r="I32" s="110"/>
      <c r="J32" s="110"/>
      <c r="K32" s="111"/>
    </row>
    <row r="33" spans="1:12" ht="15">
      <c r="A33" s="105">
        <v>1</v>
      </c>
      <c r="B33" s="106">
        <f>IF('P3'!A9="","",'P3'!A9)</f>
        <v>69</v>
      </c>
      <c r="C33" s="107">
        <f>IF('P3'!B9="","",'P3'!B9)</f>
        <v>64.1</v>
      </c>
      <c r="D33" s="106" t="str">
        <f>IF('P3'!C9="","",'P3'!C9)</f>
        <v>M3</v>
      </c>
      <c r="E33" s="108">
        <f>IF('P3'!D9="","",'P3'!D9)</f>
        <v>24812</v>
      </c>
      <c r="F33" s="109" t="str">
        <f>IF('P3'!F9="","",'P3'!F9)</f>
        <v>Bjørn Thore Olsen</v>
      </c>
      <c r="G33" s="109" t="str">
        <f>IF('P3'!G9="","",'P3'!G9)</f>
        <v>Spydeberg Atletene</v>
      </c>
      <c r="H33" s="110">
        <f>IF('P3'!N9=0,"",'P3'!N9)</f>
        <v>50</v>
      </c>
      <c r="I33" s="110">
        <f>IF('P3'!O9=0,"",'P3'!O9)</f>
        <v>65</v>
      </c>
      <c r="J33" s="110">
        <f>IF('P3'!P9=0,"",'P3'!P9)</f>
        <v>115</v>
      </c>
      <c r="K33" s="111">
        <f>IF('P3'!Q9=0,"",'P3'!Q9)</f>
        <v>162.47366967783088</v>
      </c>
      <c r="L33">
        <v>12</v>
      </c>
    </row>
    <row r="34" spans="1:11" ht="15">
      <c r="A34" s="105"/>
      <c r="B34" s="106"/>
      <c r="C34" s="107"/>
      <c r="D34" s="106"/>
      <c r="E34" s="108"/>
      <c r="F34" s="109"/>
      <c r="G34" s="109"/>
      <c r="H34" s="110"/>
      <c r="I34" s="110"/>
      <c r="J34" s="110"/>
      <c r="K34" s="111"/>
    </row>
    <row r="35" spans="1:12" ht="15">
      <c r="A35" s="105">
        <v>1</v>
      </c>
      <c r="B35" s="106">
        <f>IF('P3'!A10="","",'P3'!A10)</f>
        <v>77</v>
      </c>
      <c r="C35" s="107">
        <f>IF('P3'!B10="","",'P3'!B10)</f>
        <v>76.02</v>
      </c>
      <c r="D35" s="106" t="str">
        <f>IF('P3'!C10="","",'P3'!C10)</f>
        <v>M3</v>
      </c>
      <c r="E35" s="108">
        <f>IF('P3'!D10="","",'P3'!D10)</f>
        <v>24128</v>
      </c>
      <c r="F35" s="109" t="str">
        <f>IF('P3'!F10="","",'P3'!F10)</f>
        <v>Tom Danielsen</v>
      </c>
      <c r="G35" s="109" t="str">
        <f>IF('P3'!G10="","",'P3'!G10)</f>
        <v>Larvik AK</v>
      </c>
      <c r="H35" s="110">
        <f>IF('P3'!N10=0,"",'P3'!N10)</f>
        <v>74</v>
      </c>
      <c r="I35" s="110">
        <f>IF('P3'!O10=0,"",'P3'!O10)</f>
        <v>100</v>
      </c>
      <c r="J35" s="110">
        <f>IF('P3'!P10=0,"",'P3'!P10)</f>
        <v>174</v>
      </c>
      <c r="K35" s="111">
        <f>IF('P3'!Q10=0,"",'P3'!Q10)</f>
        <v>220.72025541014034</v>
      </c>
      <c r="L35">
        <v>12</v>
      </c>
    </row>
    <row r="36" spans="1:11" ht="15">
      <c r="A36" s="105"/>
      <c r="B36" s="106"/>
      <c r="C36" s="107"/>
      <c r="D36" s="106"/>
      <c r="E36" s="108"/>
      <c r="F36" s="109"/>
      <c r="G36" s="109"/>
      <c r="H36" s="110"/>
      <c r="I36" s="110"/>
      <c r="J36" s="110"/>
      <c r="K36" s="111"/>
    </row>
    <row r="37" spans="1:12" ht="15">
      <c r="A37" s="105">
        <v>1</v>
      </c>
      <c r="B37" s="106">
        <f>IF('P3'!A11="","",'P3'!A11)</f>
        <v>94</v>
      </c>
      <c r="C37" s="107">
        <f>IF('P3'!B11="","",'P3'!B11)</f>
        <v>92.62</v>
      </c>
      <c r="D37" s="106" t="str">
        <f>IF('P3'!C11="","",'P3'!C11)</f>
        <v>M3</v>
      </c>
      <c r="E37" s="108">
        <f>IF('P3'!D11="","",'P3'!D11)</f>
        <v>25366</v>
      </c>
      <c r="F37" s="109" t="str">
        <f>IF('P3'!F11="","",'P3'!F11)</f>
        <v>Lars-Thomas Grønlien</v>
      </c>
      <c r="G37" s="109" t="str">
        <f>IF('P3'!G11="","",'P3'!G11)</f>
        <v>Oslo AK</v>
      </c>
      <c r="H37" s="110">
        <f>IF('P3'!N11=0,"",'P3'!N11)</f>
        <v>90</v>
      </c>
      <c r="I37" s="110">
        <f>IF('P3'!O11=0,"",'P3'!O11)</f>
        <v>112</v>
      </c>
      <c r="J37" s="110">
        <f>IF('P3'!P11=0,"",'P3'!P11)</f>
        <v>202</v>
      </c>
      <c r="K37" s="111">
        <f>IF('P3'!Q11=0,"",'P3'!Q11)</f>
        <v>231.92520726001356</v>
      </c>
      <c r="L37">
        <v>12</v>
      </c>
    </row>
    <row r="38" spans="1:11" ht="15">
      <c r="A38" s="105"/>
      <c r="B38" s="106"/>
      <c r="C38" s="107"/>
      <c r="D38" s="106"/>
      <c r="E38" s="108"/>
      <c r="F38" s="109"/>
      <c r="G38" s="109"/>
      <c r="H38" s="110"/>
      <c r="I38" s="110"/>
      <c r="J38" s="110"/>
      <c r="K38" s="111"/>
    </row>
    <row r="39" spans="1:12" ht="15">
      <c r="A39" s="105">
        <v>1</v>
      </c>
      <c r="B39" s="106">
        <f>IF('P3'!A12="","",'P3'!A12)</f>
        <v>105</v>
      </c>
      <c r="C39" s="107">
        <f>IF('P3'!B12="","",'P3'!B12)</f>
        <v>97.32</v>
      </c>
      <c r="D39" s="106" t="str">
        <f>IF('P3'!C12="","",'P3'!C12)</f>
        <v>M3</v>
      </c>
      <c r="E39" s="108">
        <f>IF('P3'!D12="","",'P3'!D12)</f>
        <v>24948</v>
      </c>
      <c r="F39" s="109" t="str">
        <f>IF('P3'!F12="","",'P3'!F12)</f>
        <v>Magnar Helleren</v>
      </c>
      <c r="G39" s="109" t="str">
        <f>IF('P3'!G12="","",'P3'!G12)</f>
        <v>Vigrestad IK</v>
      </c>
      <c r="H39" s="110">
        <f>IF('P3'!N12=0,"",'P3'!N12)</f>
        <v>105</v>
      </c>
      <c r="I39" s="110">
        <f>IF('P3'!O12=0,"",'P3'!O12)</f>
        <v>120</v>
      </c>
      <c r="J39" s="110">
        <f>IF('P3'!P12=0,"",'P3'!P12)</f>
        <v>225</v>
      </c>
      <c r="K39" s="111">
        <f>IF('P3'!Q12=0,"",'P3'!Q12)</f>
        <v>253.02305123311942</v>
      </c>
      <c r="L39">
        <v>12</v>
      </c>
    </row>
    <row r="40" spans="1:12" ht="15">
      <c r="A40" s="105">
        <v>2</v>
      </c>
      <c r="B40" s="106">
        <f>IF('P3'!A13="","",'P3'!A13)</f>
        <v>105</v>
      </c>
      <c r="C40" s="107">
        <f>IF('P3'!B13="","",'P3'!B13)</f>
        <v>100.16</v>
      </c>
      <c r="D40" s="106" t="str">
        <f>IF('P3'!C13="","",'P3'!C13)</f>
        <v>M3</v>
      </c>
      <c r="E40" s="108">
        <f>IF('P3'!D13="","",'P3'!D13)</f>
        <v>24473</v>
      </c>
      <c r="F40" s="109" t="str">
        <f>IF('P3'!F13="","",'P3'!F13)</f>
        <v>Jøran Herfjord</v>
      </c>
      <c r="G40" s="109" t="str">
        <f>IF('P3'!G13="","",'P3'!G13)</f>
        <v>Trondheim AK</v>
      </c>
      <c r="H40" s="110">
        <f>IF('P3'!N13=0,"",'P3'!N13)</f>
        <v>85</v>
      </c>
      <c r="I40" s="110">
        <f>IF('P3'!O13=0,"",'P3'!O13)</f>
        <v>105</v>
      </c>
      <c r="J40" s="110">
        <f>IF('P3'!P13=0,"",'P3'!P13)</f>
        <v>190</v>
      </c>
      <c r="K40" s="111">
        <f>IF('P3'!Q13=0,"",'P3'!Q13)</f>
        <v>211.2649543883772</v>
      </c>
      <c r="L40">
        <v>10</v>
      </c>
    </row>
    <row r="41" spans="1:11" ht="15">
      <c r="A41" s="105"/>
      <c r="B41" s="106"/>
      <c r="C41" s="107"/>
      <c r="D41" s="106"/>
      <c r="E41" s="108"/>
      <c r="F41" s="109"/>
      <c r="G41" s="109"/>
      <c r="H41" s="110"/>
      <c r="I41" s="110"/>
      <c r="J41" s="110"/>
      <c r="K41" s="111"/>
    </row>
    <row r="42" spans="1:12" ht="15">
      <c r="A42" s="105">
        <v>1</v>
      </c>
      <c r="B42" s="106" t="str">
        <f>IF('P3'!A15="","",'P3'!A15)</f>
        <v>+105</v>
      </c>
      <c r="C42" s="107">
        <f>IF('P3'!B15="","",'P3'!B15)</f>
        <v>113.42</v>
      </c>
      <c r="D42" s="106" t="str">
        <f>IF('P3'!C15="","",'P3'!C15)</f>
        <v>M3</v>
      </c>
      <c r="E42" s="108">
        <f>IF('P3'!D15="","",'P3'!D15)</f>
        <v>25021</v>
      </c>
      <c r="F42" s="109" t="str">
        <f>IF('P3'!F15="","",'P3'!F15)</f>
        <v>Dag Rønnevik</v>
      </c>
      <c r="G42" s="109" t="str">
        <f>IF('P3'!G15="","",'P3'!G15)</f>
        <v>Tysvær VK</v>
      </c>
      <c r="H42" s="110">
        <f>IF('P3'!N15=0,"",'P3'!N15)</f>
        <v>95</v>
      </c>
      <c r="I42" s="110">
        <f>IF('P3'!O15=0,"",'P3'!O15)</f>
        <v>130</v>
      </c>
      <c r="J42" s="110">
        <f>IF('P3'!P15=0,"",'P3'!P15)</f>
        <v>225</v>
      </c>
      <c r="K42" s="111">
        <f>IF('P3'!Q15=0,"",'P3'!Q15)</f>
        <v>239.83509715151934</v>
      </c>
      <c r="L42">
        <v>12</v>
      </c>
    </row>
    <row r="43" spans="1:12" ht="15">
      <c r="A43" s="105">
        <v>2</v>
      </c>
      <c r="B43" s="106" t="str">
        <f>IF('P3'!A14="","",'P3'!A14)</f>
        <v>+105</v>
      </c>
      <c r="C43" s="107">
        <f>IF('P3'!B14="","",'P3'!B14)</f>
        <v>121.54</v>
      </c>
      <c r="D43" s="106" t="str">
        <f>IF('P3'!C14="","",'P3'!C14)</f>
        <v>M3</v>
      </c>
      <c r="E43" s="108">
        <f>IF('P3'!D14="","",'P3'!D14)</f>
        <v>25592</v>
      </c>
      <c r="F43" s="109" t="str">
        <f>IF('P3'!F14="","",'P3'!F14)</f>
        <v>Runar Saxegård</v>
      </c>
      <c r="G43" s="109" t="str">
        <f>IF('P3'!G14="","",'P3'!G14)</f>
        <v>Lenja AK</v>
      </c>
      <c r="H43" s="110">
        <f>IF('P3'!N14=0,"",'P3'!N14)</f>
        <v>65</v>
      </c>
      <c r="I43" s="110">
        <f>IF('P3'!O14=0,"",'P3'!O14)</f>
        <v>90</v>
      </c>
      <c r="J43" s="110">
        <f>IF('P3'!P14=0,"",'P3'!P14)</f>
        <v>155</v>
      </c>
      <c r="K43" s="111">
        <f>IF('P3'!Q14=0,"",'P3'!Q14)</f>
        <v>162.1303885830903</v>
      </c>
      <c r="L43">
        <v>10</v>
      </c>
    </row>
    <row r="44" spans="1:11" ht="15">
      <c r="A44" s="105"/>
      <c r="B44" s="106"/>
      <c r="C44" s="107"/>
      <c r="D44" s="106"/>
      <c r="E44" s="108"/>
      <c r="F44" s="109"/>
      <c r="G44" s="109"/>
      <c r="H44" s="110"/>
      <c r="I44" s="110"/>
      <c r="J44" s="110"/>
      <c r="K44" s="111"/>
    </row>
    <row r="45" spans="1:12" ht="15">
      <c r="A45" s="105">
        <v>1</v>
      </c>
      <c r="B45" s="106">
        <f>IF('P11'!A17="","",'P11'!A17)</f>
        <v>85</v>
      </c>
      <c r="C45" s="107">
        <f>IF('P11'!B17="","",'P11'!B17)</f>
        <v>83.26</v>
      </c>
      <c r="D45" s="106" t="str">
        <f>IF('P11'!C17="","",'P11'!C17)</f>
        <v>M4</v>
      </c>
      <c r="E45" s="108">
        <f>IF('P11'!D17="","",'P11'!D17)</f>
        <v>23084</v>
      </c>
      <c r="F45" s="109" t="str">
        <f>IF('P11'!F17="","",'P11'!F17)</f>
        <v>Bjørnar Olsen</v>
      </c>
      <c r="G45" s="109" t="str">
        <f>IF('P11'!G17="","",'P11'!G17)</f>
        <v>Grenland AK</v>
      </c>
      <c r="H45" s="110">
        <f>IF('P11'!N17=0,"",'P11'!N17)</f>
        <v>98</v>
      </c>
      <c r="I45" s="110">
        <f>IF('P11'!O17=0,"",'P11'!O17)</f>
        <v>117</v>
      </c>
      <c r="J45" s="110">
        <f>IF('P11'!P17=0,"",'P11'!P17)</f>
        <v>215</v>
      </c>
      <c r="K45" s="112">
        <f>IF('P11'!Q17=0,"",'P11'!Q17)</f>
        <v>259.619416437016</v>
      </c>
      <c r="L45">
        <v>12</v>
      </c>
    </row>
    <row r="46" spans="1:11" ht="15">
      <c r="A46" s="105"/>
      <c r="B46" s="106"/>
      <c r="C46" s="107"/>
      <c r="D46" s="106"/>
      <c r="E46" s="108"/>
      <c r="F46" s="109"/>
      <c r="G46" s="109"/>
      <c r="H46" s="110"/>
      <c r="I46" s="110"/>
      <c r="J46" s="110"/>
      <c r="K46" s="112"/>
    </row>
    <row r="47" spans="1:12" ht="15">
      <c r="A47" s="105">
        <v>1</v>
      </c>
      <c r="B47" s="106">
        <f>IF('P3'!A19="","",'P3'!A19)</f>
        <v>94</v>
      </c>
      <c r="C47" s="107">
        <f>IF('P3'!B19="","",'P3'!B19)</f>
        <v>92.72</v>
      </c>
      <c r="D47" s="106" t="str">
        <f>IF('P3'!C19="","",'P3'!C19)</f>
        <v>M4</v>
      </c>
      <c r="E47" s="108">
        <f>IF('P3'!D19="","",'P3'!D19)</f>
        <v>22864</v>
      </c>
      <c r="F47" s="109" t="str">
        <f>IF('P3'!F19="","",'P3'!F19)</f>
        <v>Petter N. Sæterdal</v>
      </c>
      <c r="G47" s="109" t="str">
        <f>IF('P3'!G19="","",'P3'!G19)</f>
        <v>AK Bjørgvin</v>
      </c>
      <c r="H47" s="110">
        <f>IF('P3'!N19=0,"",'P3'!N19)</f>
        <v>102</v>
      </c>
      <c r="I47" s="110">
        <f>IF('P3'!O19=0,"",'P3'!O19)</f>
        <v>117</v>
      </c>
      <c r="J47" s="110">
        <f>IF('P3'!P19=0,"",'P3'!P19)</f>
        <v>219</v>
      </c>
      <c r="K47" s="111">
        <f>IF('P3'!Q19=0,"",'P3'!Q19)</f>
        <v>251.32532562993563</v>
      </c>
      <c r="L47">
        <v>12</v>
      </c>
    </row>
    <row r="48" spans="1:12" ht="15">
      <c r="A48" s="105">
        <v>2</v>
      </c>
      <c r="B48" s="106">
        <f>IF('P3'!A17="","",'P3'!A17)</f>
        <v>94</v>
      </c>
      <c r="C48" s="107">
        <f>IF('P3'!B17="","",'P3'!B17)</f>
        <v>89.66</v>
      </c>
      <c r="D48" s="106" t="str">
        <f>IF('P3'!C17="","",'P3'!C17)</f>
        <v>M4</v>
      </c>
      <c r="E48" s="108">
        <f>IF('P3'!D17="","",'P3'!D17)</f>
        <v>22528</v>
      </c>
      <c r="F48" s="109" t="str">
        <f>IF('P3'!F17="","",'P3'!F17)</f>
        <v>Terje Gulvik</v>
      </c>
      <c r="G48" s="109" t="str">
        <f>IF('P3'!G17="","",'P3'!G17)</f>
        <v>Larvik AK</v>
      </c>
      <c r="H48" s="110">
        <f>IF('P3'!N17=0,"",'P3'!N17)</f>
        <v>92</v>
      </c>
      <c r="I48" s="110">
        <f>IF('P3'!O17=0,"",'P3'!O17)</f>
        <v>119</v>
      </c>
      <c r="J48" s="110">
        <f>IF('P3'!P17=0,"",'P3'!P17)</f>
        <v>211</v>
      </c>
      <c r="K48" s="111">
        <f>IF('P3'!Q17=0,"",'P3'!Q17)</f>
        <v>245.8080208048399</v>
      </c>
      <c r="L48">
        <v>10</v>
      </c>
    </row>
    <row r="49" spans="1:12" ht="15">
      <c r="A49" s="105">
        <v>3</v>
      </c>
      <c r="B49" s="106">
        <f>IF('P3'!A18="","",'P3'!A18)</f>
        <v>94</v>
      </c>
      <c r="C49" s="107">
        <f>IF('P3'!B18="","",'P3'!B18)</f>
        <v>93.28</v>
      </c>
      <c r="D49" s="106" t="str">
        <f>IF('P3'!C18="","",'P3'!C18)</f>
        <v>M4</v>
      </c>
      <c r="E49" s="108">
        <f>IF('P3'!D18="","",'P3'!D18)</f>
        <v>23441</v>
      </c>
      <c r="F49" s="109" t="str">
        <f>IF('P3'!F18="","",'P3'!F18)</f>
        <v>Ole Jakob Aas</v>
      </c>
      <c r="G49" s="109" t="str">
        <f>IF('P3'!G18="","",'P3'!G18)</f>
        <v>T &amp; IL National</v>
      </c>
      <c r="H49" s="110">
        <f>IF('P3'!N18=0,"",'P3'!N18)</f>
        <v>94</v>
      </c>
      <c r="I49" s="110">
        <f>IF('P3'!O18=0,"",'P3'!O18)</f>
        <v>117</v>
      </c>
      <c r="J49" s="110">
        <f>IF('P3'!P18=0,"",'P3'!P18)</f>
        <v>211</v>
      </c>
      <c r="K49" s="111">
        <f>IF('P3'!Q18=0,"",'P3'!Q18)</f>
        <v>241.51280858196998</v>
      </c>
      <c r="L49">
        <v>9</v>
      </c>
    </row>
    <row r="50" spans="1:12" ht="15">
      <c r="A50" s="105">
        <v>4</v>
      </c>
      <c r="B50" s="106">
        <f>IF('P3'!A16="","",'P3'!A16)</f>
        <v>94</v>
      </c>
      <c r="C50" s="107">
        <f>IF('P3'!B16="","",'P3'!B16)</f>
        <v>87.6</v>
      </c>
      <c r="D50" s="106" t="str">
        <f>IF('P3'!C16="","",'P3'!C16)</f>
        <v>M4</v>
      </c>
      <c r="E50" s="108">
        <f>IF('P3'!D16="","",'P3'!D16)</f>
        <v>23840</v>
      </c>
      <c r="F50" s="109" t="str">
        <f>IF('P3'!F16="","",'P3'!F16)</f>
        <v>Tryggve Duun</v>
      </c>
      <c r="G50" s="109" t="str">
        <f>IF('P3'!G16="","",'P3'!G16)</f>
        <v>Trondheim AK</v>
      </c>
      <c r="H50" s="110">
        <f>IF('P3'!N16=0,"",'P3'!N16)</f>
        <v>73</v>
      </c>
      <c r="I50" s="110">
        <f>IF('P3'!O16=0,"",'P3'!O16)</f>
        <v>92</v>
      </c>
      <c r="J50" s="110">
        <f>IF('P3'!P16=0,"",'P3'!P16)</f>
        <v>165</v>
      </c>
      <c r="K50" s="111">
        <f>IF('P3'!Q16=0,"",'P3'!Q16)</f>
        <v>194.31763012641204</v>
      </c>
      <c r="L50">
        <v>8</v>
      </c>
    </row>
    <row r="51" spans="1:11" ht="15">
      <c r="A51" s="105"/>
      <c r="B51" s="106"/>
      <c r="C51" s="107"/>
      <c r="D51" s="106"/>
      <c r="E51" s="108"/>
      <c r="F51" s="109"/>
      <c r="G51" s="109"/>
      <c r="H51" s="110"/>
      <c r="I51" s="110"/>
      <c r="J51" s="110"/>
      <c r="K51" s="111"/>
    </row>
    <row r="52" spans="1:12" ht="15">
      <c r="A52" s="105">
        <v>1</v>
      </c>
      <c r="B52" s="106">
        <f>IF('P14'!A17="","",'P14'!A17)</f>
        <v>105</v>
      </c>
      <c r="C52" s="107">
        <f>IF('P14'!B17="","",'P14'!B17)</f>
        <v>97.3</v>
      </c>
      <c r="D52" s="106" t="str">
        <f>IF('P14'!C17="","",'P14'!C17)</f>
        <v>M4</v>
      </c>
      <c r="E52" s="108">
        <f>IF('P14'!D17="","",'P14'!D17)</f>
        <v>24011</v>
      </c>
      <c r="F52" s="109" t="str">
        <f>IF('P14'!F17="","",'P14'!F17)</f>
        <v>Alexander Bahmanyar</v>
      </c>
      <c r="G52" s="109" t="str">
        <f>IF('P14'!G17="","",'P14'!G17)</f>
        <v>Spydeberg Atletene</v>
      </c>
      <c r="H52" s="110">
        <f>IF('P14'!N17=0,"",'P14'!N17)</f>
        <v>105</v>
      </c>
      <c r="I52" s="110">
        <f>IF('P14'!O17=0,"",'P14'!O17)</f>
        <v>141</v>
      </c>
      <c r="J52" s="110">
        <f>IF('P14'!P17=0,"",'P14'!P17)</f>
        <v>246</v>
      </c>
      <c r="K52" s="112">
        <f>IF('P14'!Q17=0,"",'P14'!Q17)</f>
        <v>276.66142399201357</v>
      </c>
      <c r="L52">
        <v>12</v>
      </c>
    </row>
    <row r="53" spans="1:12" ht="15">
      <c r="A53" s="105">
        <v>2</v>
      </c>
      <c r="B53" s="106">
        <f>IF('P3'!A20="","",'P3'!A20)</f>
        <v>105</v>
      </c>
      <c r="C53" s="107">
        <f>IF('P3'!B20="","",'P3'!B20)</f>
        <v>103.52</v>
      </c>
      <c r="D53" s="106" t="str">
        <f>IF('P3'!C20="","",'P3'!C20)</f>
        <v>M4</v>
      </c>
      <c r="E53" s="108">
        <f>IF('P3'!D20="","",'P3'!D20)</f>
        <v>22967</v>
      </c>
      <c r="F53" s="109" t="str">
        <f>IF('P3'!F20="","",'P3'!F20)</f>
        <v>Freddy Svendsen</v>
      </c>
      <c r="G53" s="109" t="str">
        <f>IF('P3'!G20="","",'P3'!G20)</f>
        <v>Lenja AK</v>
      </c>
      <c r="H53" s="110">
        <f>IF('P3'!N20=0,"",'P3'!N20)</f>
        <v>65</v>
      </c>
      <c r="I53" s="110">
        <f>IF('P3'!O20=0,"",'P3'!O20)</f>
        <v>75</v>
      </c>
      <c r="J53" s="110">
        <f>IF('P3'!P20=0,"",'P3'!P20)</f>
        <v>140</v>
      </c>
      <c r="K53" s="111">
        <f>IF('P3'!Q20=0,"",'P3'!Q20)</f>
        <v>153.7737189191293</v>
      </c>
      <c r="L53">
        <v>10</v>
      </c>
    </row>
    <row r="54" spans="1:11" ht="15">
      <c r="A54" s="105"/>
      <c r="B54" s="106"/>
      <c r="C54" s="107"/>
      <c r="D54" s="106"/>
      <c r="E54" s="108"/>
      <c r="F54" s="109"/>
      <c r="G54" s="109"/>
      <c r="H54" s="110"/>
      <c r="I54" s="110"/>
      <c r="J54" s="110"/>
      <c r="K54" s="112"/>
    </row>
    <row r="55" spans="1:12" ht="15">
      <c r="A55" s="105">
        <v>1</v>
      </c>
      <c r="B55" s="106">
        <f>IF('P1'!A11="","",'P1'!A11)</f>
        <v>85</v>
      </c>
      <c r="C55" s="107">
        <f>IF('P1'!B11="","",'P1'!B11)</f>
        <v>84.72</v>
      </c>
      <c r="D55" s="106" t="str">
        <f>IF('P1'!C11="","",'P1'!C11)</f>
        <v>M5</v>
      </c>
      <c r="E55" s="108">
        <f>IF('P1'!D11="","",'P1'!D11)</f>
        <v>21177</v>
      </c>
      <c r="F55" s="109" t="str">
        <f>IF('P1'!F11="","",'P1'!F11)</f>
        <v>Vidar Sæland</v>
      </c>
      <c r="G55" s="109" t="str">
        <f>IF('P1'!G11="","",'P1'!G11)</f>
        <v>Vigrestad IK</v>
      </c>
      <c r="H55" s="110">
        <f>IF('P1'!N11=0,"",'P1'!N11)</f>
        <v>84</v>
      </c>
      <c r="I55" s="110">
        <f>IF('P1'!O11=0,"",'P1'!O11)</f>
        <v>107</v>
      </c>
      <c r="J55" s="110">
        <f>IF('P1'!P11=0,"",'P1'!P11)</f>
        <v>191</v>
      </c>
      <c r="K55" s="112">
        <f>IF('P1'!Q11=0,"",'P1'!Q11)</f>
        <v>228.62627550648563</v>
      </c>
      <c r="L55">
        <v>12</v>
      </c>
    </row>
    <row r="56" spans="1:12" ht="15">
      <c r="A56" s="105">
        <v>2</v>
      </c>
      <c r="B56" s="106">
        <f>IF('P1'!A10="","",'P1'!A10)</f>
        <v>85</v>
      </c>
      <c r="C56" s="107">
        <f>IF('P1'!B10="","",'P1'!B10)</f>
        <v>83.48</v>
      </c>
      <c r="D56" s="106" t="str">
        <f>IF('P1'!C10="","",'P1'!C10)</f>
        <v>M5</v>
      </c>
      <c r="E56" s="108">
        <f>IF('P1'!D10="","",'P1'!D10)</f>
        <v>21818</v>
      </c>
      <c r="F56" s="109" t="str">
        <f>IF('P1'!F10="","",'P1'!F10)</f>
        <v>Ketil Johnsen</v>
      </c>
      <c r="G56" s="109" t="str">
        <f>IF('P1'!G10="","",'P1'!G10)</f>
        <v>Trondheim AK</v>
      </c>
      <c r="H56" s="110">
        <f>IF('P1'!N10=0,"",'P1'!N10)</f>
        <v>69</v>
      </c>
      <c r="I56" s="110">
        <f>IF('P1'!O10=0,"",'P1'!O10)</f>
        <v>90</v>
      </c>
      <c r="J56" s="110">
        <f>IF('P1'!P10=0,"",'P1'!P10)</f>
        <v>159</v>
      </c>
      <c r="K56" s="112">
        <f>IF('P1'!Q10=0,"",'P1'!Q10)</f>
        <v>191.73979400978408</v>
      </c>
      <c r="L56">
        <v>10</v>
      </c>
    </row>
    <row r="57" spans="1:11" ht="15">
      <c r="A57" s="105"/>
      <c r="B57" s="106"/>
      <c r="C57" s="107"/>
      <c r="D57" s="106"/>
      <c r="E57" s="108"/>
      <c r="F57" s="109"/>
      <c r="G57" s="109"/>
      <c r="H57" s="110"/>
      <c r="I57" s="110"/>
      <c r="J57" s="110"/>
      <c r="K57" s="112"/>
    </row>
    <row r="58" spans="1:12" ht="15">
      <c r="A58" s="105">
        <v>1</v>
      </c>
      <c r="B58" s="106">
        <f>IF('P1'!A12="","",'P1'!A12)</f>
        <v>94</v>
      </c>
      <c r="C58" s="107">
        <f>IF('P1'!B12="","",'P1'!B12)</f>
        <v>90.66</v>
      </c>
      <c r="D58" s="106" t="str">
        <f>IF('P1'!C12="","",'P1'!C12)</f>
        <v>M5</v>
      </c>
      <c r="E58" s="108">
        <f>IF('P1'!D12="","",'P1'!D12)</f>
        <v>22050</v>
      </c>
      <c r="F58" s="109" t="str">
        <f>IF('P1'!F12="","",'P1'!F12)</f>
        <v>Trond Kvilhaug</v>
      </c>
      <c r="G58" s="109" t="str">
        <f>IF('P1'!G12="","",'P1'!G12)</f>
        <v>Nidelv IL</v>
      </c>
      <c r="H58" s="110">
        <f>IF('P1'!N12=0,"",'P1'!N12)</f>
        <v>80</v>
      </c>
      <c r="I58" s="110">
        <f>IF('P1'!O12=0,"",'P1'!O12)</f>
        <v>100</v>
      </c>
      <c r="J58" s="110">
        <f>IF('P1'!P12=0,"",'P1'!P12)</f>
        <v>180</v>
      </c>
      <c r="K58" s="112">
        <f>IF('P1'!Q12=0,"",'P1'!Q12)</f>
        <v>208.63799537224622</v>
      </c>
      <c r="L58">
        <v>12</v>
      </c>
    </row>
    <row r="59" spans="1:12" ht="15">
      <c r="A59" s="105">
        <v>2</v>
      </c>
      <c r="B59" s="106">
        <f>IF('P1'!A9="","",'P1'!A9)</f>
        <v>94</v>
      </c>
      <c r="C59" s="107">
        <f>IF('P1'!B9="","",'P1'!B9)</f>
        <v>85.22</v>
      </c>
      <c r="D59" s="106" t="str">
        <f>IF('P1'!C9="","",'P1'!C9)</f>
        <v>M5</v>
      </c>
      <c r="E59" s="108">
        <f>IF('P1'!D9="","",'P1'!D9)</f>
        <v>20790</v>
      </c>
      <c r="F59" s="109" t="str">
        <f>IF('P1'!F9="","",'P1'!F9)</f>
        <v>Tormod Andersen</v>
      </c>
      <c r="G59" s="109" t="str">
        <f>IF('P1'!G9="","",'P1'!G9)</f>
        <v>Lenja AK</v>
      </c>
      <c r="H59" s="110">
        <f>IF('P1'!N9=0,"",'P1'!N9)</f>
        <v>65</v>
      </c>
      <c r="I59" s="110">
        <f>IF('P1'!O9=0,"",'P1'!O9)</f>
        <v>80</v>
      </c>
      <c r="J59" s="110">
        <f>IF('P1'!P9=0,"",'P1'!P9)</f>
        <v>145</v>
      </c>
      <c r="K59" s="112">
        <f>IF('P1'!Q9=0,"",'P1'!Q9)</f>
        <v>173.05850564977194</v>
      </c>
      <c r="L59">
        <v>10</v>
      </c>
    </row>
    <row r="60" spans="1:11" ht="15">
      <c r="A60" s="105"/>
      <c r="B60" s="106"/>
      <c r="C60" s="107"/>
      <c r="D60" s="106"/>
      <c r="E60" s="108"/>
      <c r="F60" s="109"/>
      <c r="G60" s="109"/>
      <c r="H60" s="110"/>
      <c r="I60" s="110"/>
      <c r="J60" s="110"/>
      <c r="K60" s="112"/>
    </row>
    <row r="61" spans="1:12" ht="15">
      <c r="A61" s="105">
        <v>1</v>
      </c>
      <c r="B61" s="106" t="str">
        <f>IF('P1'!A13="","",'P1'!A13)</f>
        <v>+105</v>
      </c>
      <c r="C61" s="107">
        <f>IF('P1'!B13="","",'P1'!B13)</f>
        <v>105.96</v>
      </c>
      <c r="D61" s="106" t="str">
        <f>IF('P1'!C13="","",'P1'!C13)</f>
        <v>M5</v>
      </c>
      <c r="E61" s="108">
        <f>IF('P1'!D13="","",'P1'!D13)</f>
        <v>21088</v>
      </c>
      <c r="F61" s="109" t="str">
        <f>IF('P1'!F13="","",'P1'!F13)</f>
        <v>Rune Johansen</v>
      </c>
      <c r="G61" s="109" t="str">
        <f>IF('P1'!G13="","",'P1'!G13)</f>
        <v>Lenja AK</v>
      </c>
      <c r="H61" s="110">
        <f>IF('P1'!N13=0,"",'P1'!N13)</f>
        <v>74</v>
      </c>
      <c r="I61" s="110">
        <f>IF('P1'!O13=0,"",'P1'!O13)</f>
        <v>117</v>
      </c>
      <c r="J61" s="110">
        <f>IF('P1'!P13=0,"",'P1'!P13)</f>
        <v>191</v>
      </c>
      <c r="K61" s="112">
        <f>IF('P1'!Q13=0,"",'P1'!Q13)</f>
        <v>208.07883022165075</v>
      </c>
      <c r="L61">
        <v>12</v>
      </c>
    </row>
    <row r="62" spans="1:11" ht="15">
      <c r="A62" s="105"/>
      <c r="B62" s="106"/>
      <c r="C62" s="107"/>
      <c r="D62" s="106"/>
      <c r="E62" s="108"/>
      <c r="F62" s="109"/>
      <c r="G62" s="109"/>
      <c r="H62" s="110"/>
      <c r="I62" s="110"/>
      <c r="J62" s="110"/>
      <c r="K62" s="112"/>
    </row>
    <row r="63" spans="1:12" ht="15">
      <c r="A63" s="105">
        <v>1</v>
      </c>
      <c r="B63" s="106">
        <f>IF('P1'!A15="","",'P1'!A15)</f>
        <v>77</v>
      </c>
      <c r="C63" s="107">
        <f>IF('P1'!B15="","",'P1'!B15)</f>
        <v>75.94</v>
      </c>
      <c r="D63" s="106" t="str">
        <f>IF('P1'!C15="","",'P1'!C15)</f>
        <v>M6</v>
      </c>
      <c r="E63" s="108">
        <f>IF('P1'!D15="","",'P1'!D15)</f>
        <v>20075</v>
      </c>
      <c r="F63" s="109" t="str">
        <f>IF('P1'!F15="","",'P1'!F15)</f>
        <v>Egon Vee Haugen</v>
      </c>
      <c r="G63" s="109" t="str">
        <f>IF('P1'!G15="","",'P1'!G15)</f>
        <v>Grenland AK</v>
      </c>
      <c r="H63" s="110">
        <f>IF('P1'!N15=0,"",'P1'!N15)</f>
        <v>75</v>
      </c>
      <c r="I63" s="110">
        <f>IF('P1'!O15=0,"",'P1'!O15)</f>
        <v>85</v>
      </c>
      <c r="J63" s="110">
        <f>IF('P1'!P15=0,"",'P1'!P15)</f>
        <v>160</v>
      </c>
      <c r="K63" s="112">
        <f>IF('P1'!Q15=0,"",'P1'!Q15)</f>
        <v>203.0836959880587</v>
      </c>
      <c r="L63">
        <v>12</v>
      </c>
    </row>
    <row r="64" spans="1:11" ht="15">
      <c r="A64" s="105"/>
      <c r="B64" s="106"/>
      <c r="C64" s="107"/>
      <c r="D64" s="106"/>
      <c r="E64" s="108"/>
      <c r="F64" s="109"/>
      <c r="G64" s="109"/>
      <c r="H64" s="110"/>
      <c r="I64" s="110"/>
      <c r="J64" s="110"/>
      <c r="K64" s="112"/>
    </row>
    <row r="65" spans="1:12" ht="15">
      <c r="A65" s="105">
        <v>1</v>
      </c>
      <c r="B65" s="106">
        <f>IF('P1'!A16="","",'P1'!A16)</f>
        <v>85</v>
      </c>
      <c r="C65" s="107">
        <f>IF('P1'!B16="","",'P1'!B16)</f>
        <v>78.22</v>
      </c>
      <c r="D65" s="106" t="str">
        <f>IF('P1'!C16="","",'P1'!C16)</f>
        <v>M6</v>
      </c>
      <c r="E65" s="108">
        <f>IF('P1'!D16="","",'P1'!D16)</f>
        <v>20296</v>
      </c>
      <c r="F65" s="109" t="str">
        <f>IF('P1'!F16="","",'P1'!F16)</f>
        <v>Jan Egil Trøan</v>
      </c>
      <c r="G65" s="109" t="str">
        <f>IF('P1'!G16="","",'P1'!G16)</f>
        <v>Trondheim AK</v>
      </c>
      <c r="H65" s="110">
        <f>IF('P1'!N16=0,"",'P1'!N16)</f>
        <v>70</v>
      </c>
      <c r="I65" s="110">
        <f>IF('P1'!O16=0,"",'P1'!O16)</f>
        <v>91</v>
      </c>
      <c r="J65" s="110">
        <f>IF('P1'!P16=0,"",'P1'!P16)</f>
        <v>161</v>
      </c>
      <c r="K65" s="112">
        <f>IF('P1'!Q16=0,"",'P1'!Q16)</f>
        <v>200.97528218692545</v>
      </c>
      <c r="L65">
        <v>12</v>
      </c>
    </row>
    <row r="66" spans="1:11" ht="15">
      <c r="A66" s="105"/>
      <c r="B66" s="106"/>
      <c r="C66" s="107"/>
      <c r="D66" s="106"/>
      <c r="E66" s="108"/>
      <c r="F66" s="109"/>
      <c r="G66" s="109"/>
      <c r="H66" s="110"/>
      <c r="I66" s="110"/>
      <c r="J66" s="110"/>
      <c r="K66" s="112"/>
    </row>
    <row r="67" spans="1:12" ht="15">
      <c r="A67" s="105">
        <v>1</v>
      </c>
      <c r="B67" s="106">
        <f>IF('P1'!A18="","",'P1'!A18)</f>
        <v>94</v>
      </c>
      <c r="C67" s="107">
        <f>IF('P1'!B18="","",'P1'!B18)</f>
        <v>93.68</v>
      </c>
      <c r="D67" s="106" t="str">
        <f>IF('P1'!C18="","",'P1'!C18)</f>
        <v>M6</v>
      </c>
      <c r="E67" s="108">
        <f>IF('P1'!D18="","",'P1'!D18)</f>
        <v>19656</v>
      </c>
      <c r="F67" s="109" t="str">
        <f>IF('P1'!F18="","",'P1'!F18)</f>
        <v>Johan Thonerud</v>
      </c>
      <c r="G67" s="109" t="str">
        <f>IF('P1'!G18="","",'P1'!G18)</f>
        <v>Spydeberg Atletene</v>
      </c>
      <c r="H67" s="110">
        <f>IF('P1'!N18=0,"",'P1'!N18)</f>
        <v>78</v>
      </c>
      <c r="I67" s="110">
        <f>IF('P1'!O18=0,"",'P1'!O18)</f>
        <v>98</v>
      </c>
      <c r="J67" s="110">
        <f>IF('P1'!P18=0,"",'P1'!P18)</f>
        <v>176</v>
      </c>
      <c r="K67" s="112">
        <f>IF('P1'!Q18=0,"",'P1'!Q18)</f>
        <v>201.08091014974286</v>
      </c>
      <c r="L67">
        <v>12</v>
      </c>
    </row>
    <row r="68" spans="1:12" ht="15">
      <c r="A68" s="105">
        <v>2</v>
      </c>
      <c r="B68" s="106">
        <f>IF('P1'!A17="","",'P1'!A17)</f>
        <v>94</v>
      </c>
      <c r="C68" s="107">
        <f>IF('P1'!B17="","",'P1'!B17)</f>
        <v>93.28</v>
      </c>
      <c r="D68" s="106" t="str">
        <f>IF('P1'!C17="","",'P1'!C17)</f>
        <v>M6</v>
      </c>
      <c r="E68" s="108">
        <f>IF('P1'!D17="","",'P1'!D17)</f>
        <v>18809</v>
      </c>
      <c r="F68" s="109" t="str">
        <f>IF('P1'!F17="","",'P1'!F17)</f>
        <v>Terje Grimstad</v>
      </c>
      <c r="G68" s="109" t="str">
        <f>IF('P1'!G17="","",'P1'!G17)</f>
        <v>Larvik AK</v>
      </c>
      <c r="H68" s="110">
        <f>IF('P1'!N17=0,"",'P1'!N17)</f>
        <v>70</v>
      </c>
      <c r="I68" s="110">
        <f>IF('P1'!O17=0,"",'P1'!O17)</f>
        <v>95</v>
      </c>
      <c r="J68" s="110">
        <f>IF('P1'!P17=0,"",'P1'!P17)</f>
        <v>165</v>
      </c>
      <c r="K68" s="112">
        <f>IF('P1'!Q17=0,"",'P1'!Q17)</f>
        <v>188.8607270901661</v>
      </c>
      <c r="L68">
        <v>10</v>
      </c>
    </row>
    <row r="69" spans="1:11" ht="15">
      <c r="A69" s="105"/>
      <c r="B69" s="106"/>
      <c r="C69" s="107"/>
      <c r="D69" s="106"/>
      <c r="E69" s="108"/>
      <c r="F69" s="109"/>
      <c r="G69" s="109"/>
      <c r="H69" s="110"/>
      <c r="I69" s="110"/>
      <c r="J69" s="110"/>
      <c r="K69" s="112"/>
    </row>
    <row r="70" spans="1:12" ht="15">
      <c r="A70" s="105">
        <v>1</v>
      </c>
      <c r="B70" s="106" t="str">
        <f>IF('P1'!A19="","",'P1'!A19)</f>
        <v>+105</v>
      </c>
      <c r="C70" s="107">
        <f>IF('P1'!B19="","",'P1'!B19)</f>
        <v>106.32</v>
      </c>
      <c r="D70" s="106" t="str">
        <f>IF('P1'!C19="","",'P1'!C19)</f>
        <v>M6</v>
      </c>
      <c r="E70" s="108">
        <f>IF('P1'!D19="","",'P1'!D19)</f>
        <v>19590</v>
      </c>
      <c r="F70" s="109" t="str">
        <f>IF('P1'!F19="","",'P1'!F19)</f>
        <v>Rune Pettersen</v>
      </c>
      <c r="G70" s="109" t="str">
        <f>IF('P1'!G19="","",'P1'!G19)</f>
        <v>Larvik AK</v>
      </c>
      <c r="H70" s="110">
        <f>IF('P1'!N19=0,"",'P1'!N19)</f>
        <v>63</v>
      </c>
      <c r="I70" s="110">
        <f>IF('P1'!O19=0,"",'P1'!O19)</f>
        <v>95</v>
      </c>
      <c r="J70" s="110">
        <f>IF('P1'!P19=0,"",'P1'!P19)</f>
        <v>158</v>
      </c>
      <c r="K70" s="112">
        <f>IF('P1'!Q19=0,"",'P1'!Q19)</f>
        <v>171.9281341847929</v>
      </c>
      <c r="L70">
        <v>12</v>
      </c>
    </row>
    <row r="71" spans="1:11" ht="15">
      <c r="A71" s="105"/>
      <c r="B71" s="106"/>
      <c r="C71" s="107"/>
      <c r="D71" s="106"/>
      <c r="E71" s="108"/>
      <c r="F71" s="109"/>
      <c r="G71" s="109"/>
      <c r="H71" s="110"/>
      <c r="I71" s="110"/>
      <c r="J71" s="110"/>
      <c r="K71" s="112"/>
    </row>
    <row r="72" spans="1:12" ht="15">
      <c r="A72" s="105">
        <v>1</v>
      </c>
      <c r="B72" s="106">
        <f>IF('P2'!A9="","",'P2'!A9)</f>
        <v>69</v>
      </c>
      <c r="C72" s="107">
        <f>IF('P2'!B9="","",'P2'!B9)</f>
        <v>63.88</v>
      </c>
      <c r="D72" s="106" t="str">
        <f>IF('P2'!C9="","",'P2'!C9)</f>
        <v>M7</v>
      </c>
      <c r="E72" s="108">
        <f>IF('P2'!D9="","",'P2'!D9)</f>
        <v>17503</v>
      </c>
      <c r="F72" s="109" t="str">
        <f>IF('P2'!F9="","",'P2'!F9)</f>
        <v>Richard Bergmann</v>
      </c>
      <c r="G72" s="109" t="str">
        <f>IF('P2'!G9="","",'P2'!G9)</f>
        <v>Nidelv IL</v>
      </c>
      <c r="H72" s="110">
        <f>IF('P2'!N9=0,"",'P2'!N9)</f>
        <v>33</v>
      </c>
      <c r="I72" s="110">
        <f>IF('P2'!O9=0,"",'P2'!O9)</f>
        <v>42</v>
      </c>
      <c r="J72" s="110">
        <f>IF('P2'!P9=0,"",'P2'!P9)</f>
        <v>75</v>
      </c>
      <c r="K72" s="111">
        <f>IF('P2'!Q9=0,"",'P2'!Q9)</f>
        <v>106.21339415274085</v>
      </c>
      <c r="L72">
        <v>12</v>
      </c>
    </row>
    <row r="73" spans="1:11" ht="15">
      <c r="A73" s="105"/>
      <c r="B73" s="106"/>
      <c r="C73" s="107"/>
      <c r="D73" s="106"/>
      <c r="E73" s="108"/>
      <c r="F73" s="109"/>
      <c r="G73" s="109"/>
      <c r="H73" s="110"/>
      <c r="I73" s="110"/>
      <c r="J73" s="110"/>
      <c r="K73" s="111"/>
    </row>
    <row r="74" spans="1:12" ht="15">
      <c r="A74" s="105">
        <v>1</v>
      </c>
      <c r="B74" s="106">
        <f>IF('P2'!A10="","",'P2'!A10)</f>
        <v>85</v>
      </c>
      <c r="C74" s="107">
        <f>IF('P2'!B10="","",'P2'!B10)</f>
        <v>82.26</v>
      </c>
      <c r="D74" s="106" t="str">
        <f>IF('P2'!C10="","",'P2'!C10)</f>
        <v>M7</v>
      </c>
      <c r="E74" s="108">
        <f>IF('P2'!D10="","",'P2'!D10)</f>
        <v>16960</v>
      </c>
      <c r="F74" s="109" t="str">
        <f>IF('P2'!F10="","",'P2'!F10)</f>
        <v>William Wågan</v>
      </c>
      <c r="G74" s="109" t="str">
        <f>IF('P2'!G10="","",'P2'!G10)</f>
        <v>Namsos VK</v>
      </c>
      <c r="H74" s="110">
        <f>IF('P2'!N10=0,"",'P2'!N10)</f>
        <v>42</v>
      </c>
      <c r="I74" s="110">
        <f>IF('P2'!O10=0,"",'P2'!O10)</f>
        <v>58</v>
      </c>
      <c r="J74" s="110">
        <f>IF('P2'!P10=0,"",'P2'!P10)</f>
        <v>100</v>
      </c>
      <c r="K74" s="111">
        <f>IF('P2'!Q10=0,"",'P2'!Q10)</f>
        <v>121.50595663281933</v>
      </c>
      <c r="L74">
        <v>12</v>
      </c>
    </row>
    <row r="75" spans="1:11" ht="15">
      <c r="A75" s="105"/>
      <c r="B75" s="106"/>
      <c r="C75" s="107"/>
      <c r="D75" s="106"/>
      <c r="E75" s="108"/>
      <c r="F75" s="109"/>
      <c r="G75" s="109"/>
      <c r="H75" s="110"/>
      <c r="I75" s="110"/>
      <c r="J75" s="110"/>
      <c r="K75" s="111"/>
    </row>
    <row r="76" spans="1:12" ht="15">
      <c r="A76" s="105">
        <v>1</v>
      </c>
      <c r="B76" s="106">
        <f>IF('P2'!A11="","",'P2'!A11)</f>
        <v>94</v>
      </c>
      <c r="C76" s="107">
        <f>IF('P2'!B11="","",'P2'!B11)</f>
        <v>93.06</v>
      </c>
      <c r="D76" s="106" t="str">
        <f>IF('P2'!C11="","",'P2'!C11)</f>
        <v>M7</v>
      </c>
      <c r="E76" s="108">
        <f>IF('P2'!D11="","",'P2'!D11)</f>
        <v>17025</v>
      </c>
      <c r="F76" s="109" t="str">
        <f>IF('P2'!F11="","",'P2'!F11)</f>
        <v>Jostein Myrvang</v>
      </c>
      <c r="G76" s="109" t="str">
        <f>IF('P2'!G11="","",'P2'!G11)</f>
        <v>Larvik AK</v>
      </c>
      <c r="H76" s="110">
        <f>IF('P2'!N11=0,"",'P2'!N11)</f>
        <v>50</v>
      </c>
      <c r="I76" s="110">
        <f>IF('P2'!O11=0,"",'P2'!O11)</f>
        <v>72</v>
      </c>
      <c r="J76" s="110">
        <f>IF('P2'!P11=0,"",'P2'!P11)</f>
        <v>122</v>
      </c>
      <c r="K76" s="111">
        <f>IF('P2'!Q11=0,"",'P2'!Q11)</f>
        <v>139.78517094915054</v>
      </c>
      <c r="L76">
        <v>12</v>
      </c>
    </row>
    <row r="77" spans="1:11" ht="15">
      <c r="A77" s="105"/>
      <c r="B77" s="106"/>
      <c r="C77" s="107"/>
      <c r="D77" s="106"/>
      <c r="E77" s="108"/>
      <c r="F77" s="109"/>
      <c r="G77" s="109"/>
      <c r="H77" s="110"/>
      <c r="I77" s="110"/>
      <c r="J77" s="110"/>
      <c r="K77" s="111"/>
    </row>
    <row r="78" spans="1:12" ht="15">
      <c r="A78" s="105">
        <v>1</v>
      </c>
      <c r="B78" s="106">
        <f>IF('P2'!A12="","",'P2'!A12)</f>
        <v>94</v>
      </c>
      <c r="C78" s="107">
        <f>IF('P2'!B12="","",'P2'!B12)</f>
        <v>93.88</v>
      </c>
      <c r="D78" s="106" t="str">
        <f>IF('P2'!C12="","",'P2'!C12)</f>
        <v>M8</v>
      </c>
      <c r="E78" s="108">
        <f>IF('P2'!D12="","",'P2'!D12)</f>
        <v>16079</v>
      </c>
      <c r="F78" s="109" t="str">
        <f>IF('P2'!F12="","",'P2'!F12)</f>
        <v>Leif Hepsø</v>
      </c>
      <c r="G78" s="109" t="str">
        <f>IF('P2'!G12="","",'P2'!G12)</f>
        <v>Namsos VK</v>
      </c>
      <c r="H78" s="110">
        <f>IF('P2'!N12=0,"",'P2'!N12)</f>
        <v>60</v>
      </c>
      <c r="I78" s="110">
        <f>IF('P2'!O12=0,"",'P2'!O12)</f>
        <v>88</v>
      </c>
      <c r="J78" s="110">
        <f>IF('P2'!P12=0,"",'P2'!P12)</f>
        <v>148</v>
      </c>
      <c r="K78" s="111">
        <f>IF('P2'!Q12=0,"",'P2'!Q12)</f>
        <v>168.93648298704932</v>
      </c>
      <c r="L78">
        <v>12</v>
      </c>
    </row>
    <row r="79" spans="1:11" ht="15">
      <c r="A79" s="105"/>
      <c r="B79" s="106"/>
      <c r="C79" s="107"/>
      <c r="D79" s="106"/>
      <c r="E79" s="108"/>
      <c r="F79" s="109"/>
      <c r="G79" s="109"/>
      <c r="H79" s="110"/>
      <c r="I79" s="110"/>
      <c r="J79" s="110"/>
      <c r="K79" s="111"/>
    </row>
    <row r="80" spans="1:12" ht="15">
      <c r="A80" s="105">
        <v>1</v>
      </c>
      <c r="B80" s="106">
        <f>IF('P2'!A13="","",'P2'!A13)</f>
        <v>105</v>
      </c>
      <c r="C80" s="107">
        <f>IF('P2'!B13="","",'P2'!B13)</f>
        <v>96.22</v>
      </c>
      <c r="D80" s="106" t="str">
        <f>IF('P2'!C13="","",'P2'!C13)</f>
        <v>M8</v>
      </c>
      <c r="E80" s="108">
        <f>IF('P2'!D13="","",'P2'!D13)</f>
        <v>16495</v>
      </c>
      <c r="F80" s="109" t="str">
        <f>IF('P2'!F13="","",'P2'!F13)</f>
        <v>Eskil Lian</v>
      </c>
      <c r="G80" s="109" t="str">
        <f>IF('P2'!G13="","",'P2'!G13)</f>
        <v>Trondheim AK</v>
      </c>
      <c r="H80" s="110">
        <f>IF('P2'!N13=0,"",'P2'!N13)</f>
        <v>74</v>
      </c>
      <c r="I80" s="110">
        <f>IF('P2'!O13=0,"",'P2'!O13)</f>
        <v>90</v>
      </c>
      <c r="J80" s="110">
        <f>IF('P2'!P13=0,"",'P2'!P13)</f>
        <v>164</v>
      </c>
      <c r="K80" s="111">
        <f>IF('P2'!Q13=0,"",'P2'!Q13)</f>
        <v>185.27961716041025</v>
      </c>
      <c r="L80">
        <v>12</v>
      </c>
    </row>
    <row r="81" spans="1:12" ht="15">
      <c r="A81" s="105">
        <v>2</v>
      </c>
      <c r="B81" s="106">
        <f>IF('P2'!A14="","",'P2'!A14)</f>
        <v>105</v>
      </c>
      <c r="C81" s="107">
        <f>IF('P2'!B14="","",'P2'!B14)</f>
        <v>102</v>
      </c>
      <c r="D81" s="106" t="str">
        <f>IF('P2'!C14="","",'P2'!C14)</f>
        <v>M8</v>
      </c>
      <c r="E81" s="108">
        <f>IF('P2'!D14="","",'P2'!D14)</f>
        <v>16309</v>
      </c>
      <c r="F81" s="109" t="str">
        <f>IF('P2'!F14="","",'P2'!F14)</f>
        <v>Øistein Smith Larsen</v>
      </c>
      <c r="G81" s="109" t="str">
        <f>IF('P2'!G14="","",'P2'!G14)</f>
        <v>Larvik AK</v>
      </c>
      <c r="H81" s="110">
        <f>IF('P2'!N14=0,"",'P2'!N14)</f>
        <v>67</v>
      </c>
      <c r="I81" s="110">
        <f>IF('P2'!O14=0,"",'P2'!O14)</f>
        <v>92</v>
      </c>
      <c r="J81" s="110">
        <f>IF('P2'!P14=0,"",'P2'!P14)</f>
        <v>159</v>
      </c>
      <c r="K81" s="111">
        <f>IF('P2'!Q14=0,"",'P2'!Q14)</f>
        <v>175.58835484031087</v>
      </c>
      <c r="L81">
        <v>10</v>
      </c>
    </row>
    <row r="82" spans="1:11" ht="15">
      <c r="A82" s="105"/>
      <c r="B82" s="106"/>
      <c r="C82" s="107"/>
      <c r="D82" s="106"/>
      <c r="E82" s="108"/>
      <c r="F82" s="109"/>
      <c r="G82" s="109"/>
      <c r="H82" s="110"/>
      <c r="I82" s="110"/>
      <c r="J82" s="110"/>
      <c r="K82" s="111"/>
    </row>
    <row r="83" spans="1:12" ht="15">
      <c r="A83" s="105">
        <v>1</v>
      </c>
      <c r="B83" s="106" t="str">
        <f>IF('P2'!A15="","",'P2'!A15)</f>
        <v>+105</v>
      </c>
      <c r="C83" s="107">
        <f>IF('P2'!B15="","",'P2'!B15)</f>
        <v>105.12</v>
      </c>
      <c r="D83" s="106" t="str">
        <f>IF('P2'!C15="","",'P2'!C15)</f>
        <v>M8</v>
      </c>
      <c r="E83" s="108">
        <f>IF('P2'!D15="","",'P2'!D15)</f>
        <v>16227</v>
      </c>
      <c r="F83" s="109" t="str">
        <f>IF('P2'!F15="","",'P2'!F15)</f>
        <v>Jan Nystrøm</v>
      </c>
      <c r="G83" s="109" t="str">
        <f>IF('P2'!G15="","",'P2'!G15)</f>
        <v>Trondheim AK</v>
      </c>
      <c r="H83" s="110">
        <f>IF('P2'!N15=0,"",'P2'!N15)</f>
        <v>68</v>
      </c>
      <c r="I83" s="110">
        <f>IF('P2'!O15=0,"",'P2'!O15)</f>
        <v>90</v>
      </c>
      <c r="J83" s="110">
        <f>IF('P2'!P15=0,"",'P2'!P15)</f>
        <v>158</v>
      </c>
      <c r="K83" s="111">
        <f>IF('P2'!Q15=0,"",'P2'!Q15)</f>
        <v>172.60342512452033</v>
      </c>
      <c r="L83">
        <v>12</v>
      </c>
    </row>
    <row r="84" spans="1:12" ht="15">
      <c r="A84" s="105">
        <v>2</v>
      </c>
      <c r="B84" s="106" t="str">
        <f>IF('P2'!A16="","",'P2'!A16)</f>
        <v>+105</v>
      </c>
      <c r="C84" s="107">
        <f>IF('P2'!B16="","",'P2'!B16)</f>
        <v>112.4</v>
      </c>
      <c r="D84" s="106" t="str">
        <f>IF('P2'!C16="","",'P2'!C16)</f>
        <v>M8</v>
      </c>
      <c r="E84" s="108">
        <f>IF('P2'!D16="","",'P2'!D16)</f>
        <v>16053</v>
      </c>
      <c r="F84" s="109" t="str">
        <f>IF('P2'!F16="","",'P2'!F16)</f>
        <v>Kolbjørn Bjerkholt</v>
      </c>
      <c r="G84" s="109" t="str">
        <f>IF('P2'!G16="","",'P2'!G16)</f>
        <v>Larvik AK</v>
      </c>
      <c r="H84" s="110">
        <f>IF('P2'!N16=0,"",'P2'!N16)</f>
        <v>68</v>
      </c>
      <c r="I84" s="110">
        <f>IF('P2'!O16=0,"",'P2'!O16)</f>
        <v>80</v>
      </c>
      <c r="J84" s="110">
        <f>IF('P2'!P16=0,"",'P2'!P16)</f>
        <v>148</v>
      </c>
      <c r="K84" s="111">
        <f>IF('P2'!Q16=0,"",'P2'!Q16)</f>
        <v>158.1862546196776</v>
      </c>
      <c r="L84">
        <v>10</v>
      </c>
    </row>
    <row r="85" spans="1:11" ht="15">
      <c r="A85" s="105"/>
      <c r="B85" s="106"/>
      <c r="C85" s="107"/>
      <c r="D85" s="106"/>
      <c r="E85" s="108"/>
      <c r="F85" s="109"/>
      <c r="G85" s="109"/>
      <c r="H85" s="110"/>
      <c r="I85" s="110"/>
      <c r="J85" s="110"/>
      <c r="K85" s="111"/>
    </row>
    <row r="86" spans="1:12" ht="15">
      <c r="A86" s="105">
        <v>1</v>
      </c>
      <c r="B86" s="106">
        <f>IF('P2'!A17="","",'P2'!A17)</f>
        <v>77</v>
      </c>
      <c r="C86" s="107">
        <f>IF('P2'!B17="","",'P2'!B17)</f>
        <v>76.14</v>
      </c>
      <c r="D86" s="106" t="str">
        <f>IF('P2'!C17="","",'P2'!C17)</f>
        <v>M9</v>
      </c>
      <c r="E86" s="108">
        <f>IF('P2'!D17="","",'P2'!D17)</f>
        <v>14425</v>
      </c>
      <c r="F86" s="109" t="str">
        <f>IF('P2'!F17="","",'P2'!F17)</f>
        <v>Hans Martin Arnesen</v>
      </c>
      <c r="G86" s="109" t="str">
        <f>IF('P2'!G17="","",'P2'!G17)</f>
        <v>IL Kraftsport</v>
      </c>
      <c r="H86" s="110">
        <f>IF('P2'!N17=0,"",'P2'!N17)</f>
        <v>51</v>
      </c>
      <c r="I86" s="110">
        <f>IF('P2'!O17=0,"",'P2'!O17)</f>
        <v>71</v>
      </c>
      <c r="J86" s="110">
        <f>IF('P2'!P17=0,"",'P2'!P17)</f>
        <v>122</v>
      </c>
      <c r="K86" s="111">
        <f>IF('P2'!Q17=0,"",'P2'!Q17)</f>
        <v>154.61823426640498</v>
      </c>
      <c r="L86">
        <v>12</v>
      </c>
    </row>
    <row r="87" spans="1:11" ht="15">
      <c r="A87" s="105"/>
      <c r="B87" s="106"/>
      <c r="C87" s="107"/>
      <c r="D87" s="106"/>
      <c r="E87" s="108"/>
      <c r="F87" s="109"/>
      <c r="G87" s="109"/>
      <c r="H87" s="110"/>
      <c r="I87" s="110"/>
      <c r="J87" s="110"/>
      <c r="K87" s="111"/>
    </row>
    <row r="88" spans="1:12" ht="15">
      <c r="A88" s="105">
        <v>1</v>
      </c>
      <c r="B88" s="106">
        <f>IF('P2'!A19="","",'P2'!A19)</f>
        <v>85</v>
      </c>
      <c r="C88" s="107">
        <f>IF('P2'!B19="","",'P2'!B19)</f>
        <v>84.96</v>
      </c>
      <c r="D88" s="106" t="str">
        <f>IF('P2'!C19="","",'P2'!C19)</f>
        <v>M9</v>
      </c>
      <c r="E88" s="108">
        <f>IF('P2'!D19="","",'P2'!D19)</f>
        <v>14143</v>
      </c>
      <c r="F88" s="109" t="str">
        <f>IF('P2'!F19="","",'P2'!F19)</f>
        <v>Johan Nystrøm</v>
      </c>
      <c r="G88" s="109" t="str">
        <f>IF('P2'!G19="","",'P2'!G19)</f>
        <v>Trondheim AK</v>
      </c>
      <c r="H88" s="110">
        <f>IF('P2'!N19=0,"",'P2'!N19)</f>
        <v>57</v>
      </c>
      <c r="I88" s="110">
        <f>IF('P2'!O19=0,"",'P2'!O19)</f>
        <v>71</v>
      </c>
      <c r="J88" s="110">
        <f>IF('P2'!P19=0,"",'P2'!P19)</f>
        <v>128</v>
      </c>
      <c r="K88" s="111">
        <f>IF('P2'!Q19=0,"",'P2'!Q19)</f>
        <v>153.00018664098127</v>
      </c>
      <c r="L88">
        <v>12</v>
      </c>
    </row>
    <row r="89" spans="1:11" ht="15">
      <c r="A89" s="105"/>
      <c r="B89" s="106"/>
      <c r="C89" s="107"/>
      <c r="D89" s="106"/>
      <c r="E89" s="108"/>
      <c r="F89" s="109"/>
      <c r="G89" s="109"/>
      <c r="H89" s="110"/>
      <c r="I89" s="110"/>
      <c r="J89" s="110"/>
      <c r="K89" s="111"/>
    </row>
    <row r="90" spans="1:12" ht="15">
      <c r="A90" s="105">
        <v>1</v>
      </c>
      <c r="B90" s="106">
        <f>IF('P2'!A20="","",'P2'!A20)</f>
        <v>94</v>
      </c>
      <c r="C90" s="107">
        <f>IF('P2'!B20="","",'P2'!B20)</f>
        <v>93.58</v>
      </c>
      <c r="D90" s="106" t="str">
        <f>IF('P2'!C20="","",'P2'!C20)</f>
        <v>M9</v>
      </c>
      <c r="E90" s="108">
        <f>IF('P2'!D20="","",'P2'!D20)</f>
        <v>14941</v>
      </c>
      <c r="F90" s="109" t="str">
        <f>IF('P2'!F20="","",'P2'!F20)</f>
        <v>Per Marstad</v>
      </c>
      <c r="G90" s="109" t="str">
        <f>IF('P2'!G20="","",'P2'!G20)</f>
        <v>Tønsberg-Kam.</v>
      </c>
      <c r="H90" s="110">
        <f>IF('P2'!N20=0,"",'P2'!N20)</f>
        <v>60</v>
      </c>
      <c r="I90" s="110">
        <f>IF('P2'!O20=0,"",'P2'!O20)</f>
        <v>68</v>
      </c>
      <c r="J90" s="110">
        <f>IF('P2'!P20=0,"",'P2'!P20)</f>
        <v>128</v>
      </c>
      <c r="K90" s="111">
        <f>IF('P2'!Q20=0,"",'P2'!Q20)</f>
        <v>146.30770382060857</v>
      </c>
      <c r="L90">
        <v>12</v>
      </c>
    </row>
    <row r="91" spans="1:12" ht="15">
      <c r="A91" s="105">
        <v>2</v>
      </c>
      <c r="B91" s="106">
        <f>IF('P2'!A18="","",'P2'!A18)</f>
        <v>94</v>
      </c>
      <c r="C91" s="107">
        <f>IF('P2'!B18="","",'P2'!B18)</f>
        <v>90.42</v>
      </c>
      <c r="D91" s="106" t="str">
        <f>IF('P2'!C18="","",'P2'!C18)</f>
        <v>M9</v>
      </c>
      <c r="E91" s="108">
        <f>IF('P2'!D18="","",'P2'!D18)</f>
        <v>14761</v>
      </c>
      <c r="F91" s="109" t="str">
        <f>IF('P2'!F18="","",'P2'!F18)</f>
        <v>Roald Bjerkholt</v>
      </c>
      <c r="G91" s="109" t="str">
        <f>IF('P2'!G18="","",'P2'!G18)</f>
        <v>Larvik AK</v>
      </c>
      <c r="H91" s="110">
        <f>IF('P2'!N18=0,"",'P2'!N18)</f>
        <v>45</v>
      </c>
      <c r="I91" s="110">
        <f>IF('P2'!O18=0,"",'P2'!O18)</f>
        <v>62</v>
      </c>
      <c r="J91" s="110">
        <f>IF('P2'!P18=0,"",'P2'!P18)</f>
        <v>107</v>
      </c>
      <c r="K91" s="111">
        <f>IF('P2'!Q18=0,"",'P2'!Q18)</f>
        <v>124.17248013839549</v>
      </c>
      <c r="L91">
        <v>10</v>
      </c>
    </row>
    <row r="92" spans="1:11" ht="15">
      <c r="A92" s="105"/>
      <c r="B92" s="106"/>
      <c r="C92" s="107"/>
      <c r="D92" s="106"/>
      <c r="E92" s="108"/>
      <c r="F92" s="109"/>
      <c r="G92" s="109"/>
      <c r="H92" s="110"/>
      <c r="I92" s="110"/>
      <c r="J92" s="110"/>
      <c r="K92" s="111"/>
    </row>
    <row r="93" spans="1:12" ht="15">
      <c r="A93" s="105">
        <v>1</v>
      </c>
      <c r="B93" s="106">
        <f>IF('P2'!A21="","",'P2'!A21)</f>
        <v>105</v>
      </c>
      <c r="C93" s="107">
        <f>IF('P2'!B21="","",'P2'!B21)</f>
        <v>101.38</v>
      </c>
      <c r="D93" s="106" t="str">
        <f>IF('P2'!C21="","",'P2'!C21)</f>
        <v>M9</v>
      </c>
      <c r="E93" s="108">
        <f>IF('P2'!D21="","",'P2'!D21)</f>
        <v>14019</v>
      </c>
      <c r="F93" s="109" t="str">
        <f>IF('P2'!F21="","",'P2'!F21)</f>
        <v>Aage Sletsjøe</v>
      </c>
      <c r="G93" s="109" t="str">
        <f>IF('P2'!G21="","",'P2'!G21)</f>
        <v>Larvik AK</v>
      </c>
      <c r="H93" s="110">
        <f>IF('P2'!N21=0,"",'P2'!N21)</f>
        <v>54</v>
      </c>
      <c r="I93" s="110">
        <f>IF('P2'!O21=0,"",'P2'!O21)</f>
        <v>70</v>
      </c>
      <c r="J93" s="110">
        <f>IF('P2'!P21=0,"",'P2'!P21)</f>
        <v>124</v>
      </c>
      <c r="K93" s="111">
        <f>IF('P2'!Q21=0,"",'P2'!Q21)</f>
        <v>137.24790084546754</v>
      </c>
      <c r="L93">
        <v>12</v>
      </c>
    </row>
    <row r="94" spans="1:11" ht="15">
      <c r="A94" s="105"/>
      <c r="B94" s="106"/>
      <c r="C94" s="107"/>
      <c r="D94" s="106"/>
      <c r="E94" s="108"/>
      <c r="F94" s="109"/>
      <c r="G94" s="109"/>
      <c r="H94" s="110"/>
      <c r="I94" s="110"/>
      <c r="J94" s="110"/>
      <c r="K94" s="111"/>
    </row>
    <row r="95" spans="1:12" ht="15">
      <c r="A95" s="105">
        <v>1</v>
      </c>
      <c r="B95" s="106" t="str">
        <f>IF('P2'!A22="","",'P2'!A22)</f>
        <v>+105</v>
      </c>
      <c r="C95" s="107">
        <f>IF('P2'!B22="","",'P2'!B22)</f>
        <v>113.8</v>
      </c>
      <c r="D95" s="106" t="str">
        <f>IF('P2'!C22="","",'P2'!C22)</f>
        <v>M9</v>
      </c>
      <c r="E95" s="108">
        <f>IF('P2'!D22="","",'P2'!D22)</f>
        <v>13922</v>
      </c>
      <c r="F95" s="109" t="str">
        <f>IF('P2'!F22="","",'P2'!F22)</f>
        <v>Kåre Sømme</v>
      </c>
      <c r="G95" s="109" t="str">
        <f>IF('P2'!G22="","",'P2'!G22)</f>
        <v>Haugesund VK</v>
      </c>
      <c r="H95" s="110">
        <f>IF('P2'!N22=0,"",'P2'!N22)</f>
        <v>43</v>
      </c>
      <c r="I95" s="110">
        <f>IF('P2'!O22=0,"",'P2'!O22)</f>
        <v>50</v>
      </c>
      <c r="J95" s="110">
        <f>IF('P2'!P22=0,"",'P2'!P22)</f>
        <v>93</v>
      </c>
      <c r="K95" s="111">
        <f>IF('P2'!Q22=0,"",'P2'!Q22)</f>
        <v>99.03384848755422</v>
      </c>
      <c r="L95">
        <v>12</v>
      </c>
    </row>
    <row r="96" spans="1:12" ht="15">
      <c r="A96" s="105"/>
      <c r="B96" s="106"/>
      <c r="C96" s="107"/>
      <c r="D96" s="106"/>
      <c r="E96" s="108"/>
      <c r="F96" s="109"/>
      <c r="G96" s="109"/>
      <c r="H96" s="110"/>
      <c r="I96" s="110"/>
      <c r="J96" s="110"/>
      <c r="K96" s="111"/>
      <c r="L96">
        <f>SUM(L5:L95)</f>
        <v>601</v>
      </c>
    </row>
    <row r="97" spans="1:11" ht="15">
      <c r="A97" s="105"/>
      <c r="B97" s="106">
        <f>IF('P14'!A24="","",'P14'!A24)</f>
      </c>
      <c r="C97" s="107">
        <f>IF('P14'!B24="","",'P14'!B24)</f>
      </c>
      <c r="D97" s="106">
        <f>IF('P14'!C24="","",'P14'!C24)</f>
      </c>
      <c r="E97" s="108">
        <f>IF('P14'!D24="","",'P14'!D24)</f>
      </c>
      <c r="F97" s="109">
        <f>IF('P14'!F24="","",'P14'!F24)</f>
      </c>
      <c r="G97" s="109">
        <f>IF('P14'!G24="","",'P14'!G24)</f>
      </c>
      <c r="H97" s="110">
        <f>IF('P14'!N24=0,"",'P14'!N24)</f>
      </c>
      <c r="I97" s="110">
        <f>IF('P14'!O24=0,"",'P14'!O24)</f>
      </c>
      <c r="J97" s="110">
        <f>IF('P14'!P24=0,"",'P14'!P24)</f>
      </c>
      <c r="K97" s="112">
        <f>IF('P14'!Q24=0,"",'P14'!Q24)</f>
      </c>
    </row>
    <row r="98" spans="3:11" ht="17.25">
      <c r="C98" s="72"/>
      <c r="E98" s="191" t="s">
        <v>141</v>
      </c>
      <c r="F98" s="191"/>
      <c r="G98" s="191"/>
      <c r="K98"/>
    </row>
    <row r="99" spans="3:11" ht="17.25">
      <c r="C99" s="72"/>
      <c r="E99" s="165">
        <v>1</v>
      </c>
      <c r="F99" s="166" t="s">
        <v>70</v>
      </c>
      <c r="G99" s="167">
        <f>SUM(L6,L24,L35,L48,L68,L70,L76,L81,L84,L91,L93)</f>
        <v>120</v>
      </c>
      <c r="K99"/>
    </row>
    <row r="100" spans="3:11" ht="17.25">
      <c r="C100" s="72"/>
      <c r="E100" s="165">
        <v>2</v>
      </c>
      <c r="F100" s="166" t="s">
        <v>57</v>
      </c>
      <c r="G100" s="167">
        <f>SUM(L29,L40,L50,L56,L65,L80,L83,L88)</f>
        <v>88</v>
      </c>
      <c r="K100"/>
    </row>
    <row r="101" spans="3:11" ht="17.25">
      <c r="C101" s="72"/>
      <c r="E101" s="165">
        <v>3</v>
      </c>
      <c r="F101" s="166" t="s">
        <v>55</v>
      </c>
      <c r="G101" s="167">
        <f>SUM(L31,L43,L53,L59,L61)</f>
        <v>54</v>
      </c>
      <c r="K101"/>
    </row>
    <row r="102" spans="3:11" ht="17.25">
      <c r="C102" s="72"/>
      <c r="E102" s="165">
        <v>4</v>
      </c>
      <c r="F102" s="166" t="s">
        <v>59</v>
      </c>
      <c r="G102" s="167">
        <f>SUM(L16,L18,L39,L55)</f>
        <v>48</v>
      </c>
      <c r="K102"/>
    </row>
    <row r="103" spans="3:11" ht="17.25">
      <c r="C103" s="72"/>
      <c r="E103" s="165">
        <v>5</v>
      </c>
      <c r="F103" s="166" t="s">
        <v>94</v>
      </c>
      <c r="G103" s="167">
        <f>SUM(L8,L26,L95)</f>
        <v>36</v>
      </c>
      <c r="K103"/>
    </row>
    <row r="104" spans="3:11" ht="17.25">
      <c r="C104" s="72"/>
      <c r="E104" s="165">
        <v>5</v>
      </c>
      <c r="F104" s="166" t="s">
        <v>50</v>
      </c>
      <c r="G104" s="167">
        <f>SUM(L33,L52,L67)</f>
        <v>36</v>
      </c>
      <c r="K104"/>
    </row>
    <row r="105" spans="3:11" ht="17.25">
      <c r="C105" s="72"/>
      <c r="E105" s="165">
        <v>7</v>
      </c>
      <c r="F105" s="166" t="s">
        <v>110</v>
      </c>
      <c r="G105" s="167">
        <f>SUM(L21,L22,L47)</f>
        <v>34</v>
      </c>
      <c r="K105"/>
    </row>
    <row r="106" spans="3:11" ht="17.25">
      <c r="C106" s="72"/>
      <c r="E106" s="165">
        <v>7</v>
      </c>
      <c r="F106" s="166" t="s">
        <v>61</v>
      </c>
      <c r="G106" s="167">
        <f>SUM(L27,L58,L72)</f>
        <v>34</v>
      </c>
      <c r="K106"/>
    </row>
    <row r="107" spans="3:11" ht="17.25">
      <c r="C107" s="72"/>
      <c r="E107" s="165">
        <v>9</v>
      </c>
      <c r="F107" s="166" t="s">
        <v>133</v>
      </c>
      <c r="G107" s="167">
        <f>SUM(L10,L12)</f>
        <v>24</v>
      </c>
      <c r="K107"/>
    </row>
    <row r="108" spans="3:11" ht="17.25">
      <c r="C108" s="72"/>
      <c r="E108" s="165">
        <v>9</v>
      </c>
      <c r="F108" s="166" t="s">
        <v>67</v>
      </c>
      <c r="G108" s="167">
        <f>SUM(L45,L63)</f>
        <v>24</v>
      </c>
      <c r="K108"/>
    </row>
    <row r="109" spans="3:11" ht="17.25">
      <c r="C109" s="72"/>
      <c r="E109" s="165">
        <v>9</v>
      </c>
      <c r="F109" s="166" t="s">
        <v>76</v>
      </c>
      <c r="G109" s="167">
        <f>SUM(L74,L78)</f>
        <v>24</v>
      </c>
      <c r="K109"/>
    </row>
    <row r="110" spans="3:11" ht="17.25">
      <c r="C110" s="72"/>
      <c r="E110" s="165">
        <v>12</v>
      </c>
      <c r="F110" s="166" t="s">
        <v>108</v>
      </c>
      <c r="G110" s="167">
        <f>SUM(L19,L49)</f>
        <v>19</v>
      </c>
      <c r="K110"/>
    </row>
    <row r="111" spans="3:11" ht="17.25">
      <c r="C111" s="72"/>
      <c r="E111" s="165">
        <v>13</v>
      </c>
      <c r="F111" s="166" t="s">
        <v>87</v>
      </c>
      <c r="G111" s="167">
        <f>SUM(L86)</f>
        <v>12</v>
      </c>
      <c r="J111" s="169"/>
      <c r="K111"/>
    </row>
    <row r="112" spans="3:11" ht="17.25">
      <c r="C112" s="72"/>
      <c r="E112" s="165">
        <v>13</v>
      </c>
      <c r="F112" s="166" t="s">
        <v>114</v>
      </c>
      <c r="G112" s="167">
        <f>SUM(L5)</f>
        <v>12</v>
      </c>
      <c r="K112"/>
    </row>
    <row r="113" spans="3:11" ht="17.25">
      <c r="C113" s="72"/>
      <c r="E113" s="165">
        <v>13</v>
      </c>
      <c r="F113" s="166" t="s">
        <v>63</v>
      </c>
      <c r="G113" s="167">
        <f>SUM(L37)</f>
        <v>12</v>
      </c>
      <c r="K113"/>
    </row>
    <row r="114" spans="3:11" ht="17.25">
      <c r="C114" s="72"/>
      <c r="E114" s="165">
        <v>13</v>
      </c>
      <c r="F114" s="166" t="s">
        <v>103</v>
      </c>
      <c r="G114" s="167">
        <f>SUM(L42)</f>
        <v>12</v>
      </c>
      <c r="K114"/>
    </row>
    <row r="115" spans="3:18" ht="17.25">
      <c r="C115" s="72"/>
      <c r="E115" s="165">
        <v>13</v>
      </c>
      <c r="F115" s="166" t="s">
        <v>91</v>
      </c>
      <c r="G115" s="167">
        <f>SUM(L90)</f>
        <v>12</v>
      </c>
      <c r="K115"/>
      <c r="R115">
        <v>6</v>
      </c>
    </row>
    <row r="116" ht="12">
      <c r="G116" s="170">
        <f>SUM(G99:G115)</f>
        <v>601</v>
      </c>
    </row>
  </sheetData>
  <sheetProtection/>
  <mergeCells count="6">
    <mergeCell ref="A1:K1"/>
    <mergeCell ref="F2:G2"/>
    <mergeCell ref="H2:K2"/>
    <mergeCell ref="A3:K3"/>
    <mergeCell ref="A14:K14"/>
    <mergeCell ref="E98:G9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  <rowBreaks count="1" manualBreakCount="1">
    <brk id="95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0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1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72" customWidth="1"/>
  </cols>
  <sheetData>
    <row r="1" spans="1:11" s="69" customFormat="1" ht="34.5">
      <c r="A1" s="193" t="s">
        <v>138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70" customFormat="1" ht="26.25" customHeight="1">
      <c r="A2" s="177" t="str">
        <f>IF('P1'!H5&gt;0,'P1'!H5,"")</f>
        <v>Spydeberg Atletene</v>
      </c>
      <c r="B2" s="177"/>
      <c r="C2" s="177"/>
      <c r="D2" s="177"/>
      <c r="E2" s="177"/>
      <c r="F2" s="194" t="str">
        <f>IF('P1'!M5&gt;0,'P1'!M5,"")</f>
        <v>Spydeberghallen</v>
      </c>
      <c r="G2" s="194"/>
      <c r="H2" s="194" t="s">
        <v>305</v>
      </c>
      <c r="I2" s="194"/>
      <c r="J2" s="194"/>
      <c r="K2" s="194"/>
    </row>
    <row r="3" spans="1:11" s="68" customFormat="1" ht="27">
      <c r="A3" s="192" t="s">
        <v>139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ht="12">
      <c r="A4" s="48"/>
    </row>
    <row r="5" spans="1:11" ht="15">
      <c r="A5" s="105">
        <v>1</v>
      </c>
      <c r="B5" s="106">
        <f>IF('P12'!A15="","",'P12'!A15)</f>
        <v>75</v>
      </c>
      <c r="C5" s="107">
        <f>IF('P12'!B15="","",'P12'!B15)</f>
        <v>69.4</v>
      </c>
      <c r="D5" s="106" t="str">
        <f>IF('P12'!C15="","",'P12'!C15)</f>
        <v>SK</v>
      </c>
      <c r="E5" s="108">
        <f>IF('P12'!D15="","",'P12'!D15)</f>
        <v>30112</v>
      </c>
      <c r="F5" s="109" t="str">
        <f>IF('P12'!F15="","",'P12'!F15)</f>
        <v>Ruth Kasirye</v>
      </c>
      <c r="G5" s="109" t="str">
        <f>IF('P12'!G15="","",'P12'!G15)</f>
        <v>Tønsberg-Kam.</v>
      </c>
      <c r="H5" s="110">
        <f>IF('P12'!N15=0,"",'P12'!N15)</f>
        <v>105</v>
      </c>
      <c r="I5" s="110">
        <f>IF('P12'!O15=0,"",'P12'!O15)</f>
        <v>125</v>
      </c>
      <c r="J5" s="110">
        <f>IF('P12'!P15=0,"",'P12'!P15)</f>
        <v>230</v>
      </c>
      <c r="K5" s="112">
        <f>IF('P12'!Q15=0,"",'P12'!Q15)</f>
        <v>287.63091461167204</v>
      </c>
    </row>
    <row r="6" spans="1:11" ht="15">
      <c r="A6" s="105">
        <v>2</v>
      </c>
      <c r="B6" s="106">
        <f>IF('P6'!A11="","",'P6'!A11)</f>
        <v>53</v>
      </c>
      <c r="C6" s="107">
        <f>IF('P6'!B11="","",'P6'!B11)</f>
        <v>50.94</v>
      </c>
      <c r="D6" s="106" t="str">
        <f>IF('P6'!C11="","",'P6'!C11)</f>
        <v>SK</v>
      </c>
      <c r="E6" s="108">
        <f>IF('P6'!D11="","",'P6'!D11)</f>
        <v>34413</v>
      </c>
      <c r="F6" s="109" t="str">
        <f>IF('P6'!F11="","",'P6'!F11)</f>
        <v>Sarah Hovden Øvsthus</v>
      </c>
      <c r="G6" s="109" t="str">
        <f>IF('P6'!G11="","",'P6'!G11)</f>
        <v>Flaktveit IK</v>
      </c>
      <c r="H6" s="110">
        <f>IF('P6'!N11=0,"",'P6'!N11)</f>
        <v>70</v>
      </c>
      <c r="I6" s="110">
        <f>IF('P6'!O11=0,"",'P6'!O11)</f>
        <v>88</v>
      </c>
      <c r="J6" s="110">
        <f>IF('P6'!P11=0,"",'P6'!P11)</f>
        <v>158</v>
      </c>
      <c r="K6" s="111">
        <f>IF('P6'!Q11=0,"",'P6'!Q11)</f>
        <v>246.16930962271607</v>
      </c>
    </row>
    <row r="7" spans="1:11" ht="15">
      <c r="A7" s="105">
        <v>3</v>
      </c>
      <c r="B7" s="106">
        <f>IF('P6'!A14="","",'P6'!A14)</f>
        <v>58</v>
      </c>
      <c r="C7" s="107">
        <f>IF('P6'!B14="","",'P6'!B14)</f>
        <v>57.16</v>
      </c>
      <c r="D7" s="106" t="str">
        <f>IF('P6'!C14="","",'P6'!C14)</f>
        <v>SK</v>
      </c>
      <c r="E7" s="108">
        <f>IF('P6'!D14="","",'P6'!D14)</f>
        <v>31500</v>
      </c>
      <c r="F7" s="109" t="str">
        <f>IF('P6'!F14="","",'P6'!F14)</f>
        <v>Kristin Holte</v>
      </c>
      <c r="G7" s="109" t="str">
        <f>IF('P6'!G14="","",'P6'!G14)</f>
        <v>Gjøvik AK</v>
      </c>
      <c r="H7" s="110">
        <f>IF('P6'!N14=0,"",'P6'!N14)</f>
        <v>71</v>
      </c>
      <c r="I7" s="110">
        <f>IF('P6'!O14=0,"",'P6'!O14)</f>
        <v>90</v>
      </c>
      <c r="J7" s="110">
        <f>IF('P6'!P14=0,"",'P6'!P14)</f>
        <v>161</v>
      </c>
      <c r="K7" s="111">
        <f>IF('P6'!Q14=0,"",'P6'!Q14)</f>
        <v>229.114701241127</v>
      </c>
    </row>
    <row r="8" spans="1:11" ht="15">
      <c r="A8" s="105">
        <v>4</v>
      </c>
      <c r="B8" s="106">
        <f>IF('P8'!A14="","",'P8'!A14)</f>
        <v>63</v>
      </c>
      <c r="C8" s="107">
        <f>IF('P8'!B14="","",'P8'!B14)</f>
        <v>61.74</v>
      </c>
      <c r="D8" s="106" t="str">
        <f>IF('P8'!C14="","",'P8'!C14)</f>
        <v>SK</v>
      </c>
      <c r="E8" s="108">
        <f>IF('P8'!D14="","",'P8'!D14)</f>
        <v>32737</v>
      </c>
      <c r="F8" s="109" t="str">
        <f>IF('P8'!F14="","",'P8'!F14)</f>
        <v>Ine Andersson</v>
      </c>
      <c r="G8" s="109" t="str">
        <f>IF('P8'!G14="","",'P8'!G14)</f>
        <v>Tambarskjelvar IL</v>
      </c>
      <c r="H8" s="110">
        <f>IF('P8'!N14=0,"",'P8'!N14)</f>
        <v>76</v>
      </c>
      <c r="I8" s="110">
        <f>IF('P8'!O14=0,"",'P8'!O14)</f>
        <v>90</v>
      </c>
      <c r="J8" s="110">
        <f>IF('P8'!P14=0,"",'P8'!P14)</f>
        <v>166</v>
      </c>
      <c r="K8" s="111">
        <f>IF('P8'!Q14=0,"",'P8'!Q14)</f>
        <v>223.62311082494054</v>
      </c>
    </row>
    <row r="9" spans="1:11" ht="15">
      <c r="A9" s="105">
        <v>5</v>
      </c>
      <c r="B9" s="106">
        <f>IF('P10'!A16="","",'P10'!A16)</f>
        <v>69</v>
      </c>
      <c r="C9" s="107">
        <f>IF('P10'!B16="","",'P10'!B16)</f>
        <v>64.58</v>
      </c>
      <c r="D9" s="106" t="str">
        <f>IF('P10'!C16="","",'P10'!C16)</f>
        <v>SK</v>
      </c>
      <c r="E9" s="108">
        <f>IF('P10'!D16="","",'P10'!D16)</f>
        <v>33735</v>
      </c>
      <c r="F9" s="109" t="str">
        <f>IF('P10'!F16="","",'P10'!F16)</f>
        <v>Marit Årdalsbakke</v>
      </c>
      <c r="G9" s="109" t="str">
        <f>IF('P10'!G16="","",'P10'!G16)</f>
        <v>Tambarskjelvar IL</v>
      </c>
      <c r="H9" s="110">
        <f>IF('P10'!N16=0,"",'P10'!N16)</f>
        <v>80</v>
      </c>
      <c r="I9" s="110">
        <f>IF('P10'!O16=0,"",'P10'!O16)</f>
        <v>90</v>
      </c>
      <c r="J9" s="110">
        <f>IF('P10'!P16=0,"",'P10'!P16)</f>
        <v>170</v>
      </c>
      <c r="K9" s="111">
        <f>IF('P10'!Q16=0,"",'P10'!Q16)</f>
        <v>222.27416513008924</v>
      </c>
    </row>
    <row r="10" spans="1:11" ht="15">
      <c r="A10" s="105">
        <v>6</v>
      </c>
      <c r="B10" s="106">
        <f>IF('P6'!A19="","",'P6'!A19)</f>
        <v>58</v>
      </c>
      <c r="C10" s="107">
        <f>IF('P6'!B19="","",'P6'!B19)</f>
        <v>56.54</v>
      </c>
      <c r="D10" s="106" t="str">
        <f>IF('P6'!C19="","",'P6'!C19)</f>
        <v>SK</v>
      </c>
      <c r="E10" s="108">
        <f>IF('P6'!D19="","",'P6'!D19)</f>
        <v>33955</v>
      </c>
      <c r="F10" s="109" t="str">
        <f>IF('P6'!F19="","",'P6'!F19)</f>
        <v>Sandra Trædal</v>
      </c>
      <c r="G10" s="109" t="str">
        <f>IF('P6'!G19="","",'P6'!G19)</f>
        <v>Tambarskjelvar IL</v>
      </c>
      <c r="H10" s="110">
        <f>IF('P6'!N19=0,"",'P6'!N19)</f>
        <v>67</v>
      </c>
      <c r="I10" s="110">
        <f>IF('P6'!O19=0,"",'P6'!O19)</f>
        <v>85</v>
      </c>
      <c r="J10" s="110">
        <f>IF('P6'!P19=0,"",'P6'!P19)</f>
        <v>152</v>
      </c>
      <c r="K10" s="111">
        <f>IF('P6'!Q19=0,"",'P6'!Q19)</f>
        <v>218.07366447091567</v>
      </c>
    </row>
    <row r="11" spans="1:11" ht="15">
      <c r="A11" s="105">
        <v>7</v>
      </c>
      <c r="B11" s="106">
        <f>IF('P8'!A9="","",'P8'!A9)</f>
        <v>63</v>
      </c>
      <c r="C11" s="107">
        <f>IF('P8'!B9="","",'P8'!B9)</f>
        <v>62.3</v>
      </c>
      <c r="D11" s="106" t="str">
        <f>IF('P8'!C9="","",'P8'!C9)</f>
        <v>UK</v>
      </c>
      <c r="E11" s="108">
        <f>IF('P8'!D9="","",'P8'!D9)</f>
        <v>35975</v>
      </c>
      <c r="F11" s="109" t="str">
        <f>IF('P8'!F9="","",'P8'!F9)</f>
        <v>Nora Skuggedal</v>
      </c>
      <c r="G11" s="109" t="str">
        <f>IF('P8'!G9="","",'P8'!G9)</f>
        <v>Larvik AK</v>
      </c>
      <c r="H11" s="110">
        <f>IF('P8'!N9=0,"",'P8'!N9)</f>
        <v>66</v>
      </c>
      <c r="I11" s="110">
        <f>IF('P8'!O9=0,"",'P8'!O9)</f>
        <v>85</v>
      </c>
      <c r="J11" s="110">
        <f>IF('P8'!P9=0,"",'P8'!P9)</f>
        <v>151</v>
      </c>
      <c r="K11" s="111">
        <f>IF('P8'!Q9=0,"",'P8'!Q9)</f>
        <v>202.1747253734916</v>
      </c>
    </row>
    <row r="12" spans="1:11" ht="15">
      <c r="A12" s="105">
        <v>8</v>
      </c>
      <c r="B12" s="106">
        <f>IF('P6'!A20="","",'P6'!A20)</f>
        <v>58</v>
      </c>
      <c r="C12" s="107">
        <f>IF('P6'!B20="","",'P6'!B20)</f>
        <v>57.78</v>
      </c>
      <c r="D12" s="106" t="str">
        <f>IF('P6'!C20="","",'P6'!C20)</f>
        <v>SK</v>
      </c>
      <c r="E12" s="108">
        <f>IF('P6'!D20="","",'P6'!D20)</f>
        <v>32986</v>
      </c>
      <c r="F12" s="109" t="str">
        <f>IF('P6'!F20="","",'P6'!F20)</f>
        <v>Zekiye C. Nyland</v>
      </c>
      <c r="G12" s="109" t="str">
        <f>IF('P6'!G20="","",'P6'!G20)</f>
        <v>Tysvær VK</v>
      </c>
      <c r="H12" s="110">
        <f>IF('P6'!N20=0,"",'P6'!N20)</f>
        <v>60</v>
      </c>
      <c r="I12" s="110">
        <f>IF('P6'!O20=0,"",'P6'!O20)</f>
        <v>83</v>
      </c>
      <c r="J12" s="110">
        <f>IF('P6'!P20=0,"",'P6'!P20)</f>
        <v>143</v>
      </c>
      <c r="K12" s="111">
        <f>IF('P6'!Q20=0,"",'P6'!Q20)</f>
        <v>201.88696753330672</v>
      </c>
    </row>
    <row r="13" spans="1:11" ht="15">
      <c r="A13" s="105">
        <v>9</v>
      </c>
      <c r="B13" s="106">
        <f>IF('P8'!A10="","",'P8'!A10)</f>
        <v>63</v>
      </c>
      <c r="C13" s="107">
        <f>IF('P8'!B10="","",'P8'!B10)</f>
        <v>62.04</v>
      </c>
      <c r="D13" s="106" t="str">
        <f>IF('P8'!C10="","",'P8'!C10)</f>
        <v>JK</v>
      </c>
      <c r="E13" s="108">
        <f>IF('P8'!D10="","",'P8'!D10)</f>
        <v>35431</v>
      </c>
      <c r="F13" s="109" t="str">
        <f>IF('P8'!F10="","",'P8'!F10)</f>
        <v>Emma Hald</v>
      </c>
      <c r="G13" s="109" t="str">
        <f>IF('P8'!G10="","",'P8'!G10)</f>
        <v>Haugesund VK</v>
      </c>
      <c r="H13" s="110">
        <f>IF('P8'!N10=0,"",'P8'!N10)</f>
        <v>70</v>
      </c>
      <c r="I13" s="110">
        <f>IF('P8'!O10=0,"",'P8'!O10)</f>
        <v>80</v>
      </c>
      <c r="J13" s="110">
        <f>IF('P8'!P10=0,"",'P8'!P10)</f>
        <v>150</v>
      </c>
      <c r="K13" s="111">
        <f>IF('P8'!Q10=0,"",'P8'!Q10)</f>
        <v>201.404489047339</v>
      </c>
    </row>
    <row r="14" spans="1:11" ht="15">
      <c r="A14" s="105">
        <v>10</v>
      </c>
      <c r="B14" s="106">
        <f>IF('P6'!A17="","",'P6'!A17)</f>
        <v>58</v>
      </c>
      <c r="C14" s="107">
        <f>IF('P6'!B17="","",'P6'!B17)</f>
        <v>57.08</v>
      </c>
      <c r="D14" s="106" t="str">
        <f>IF('P6'!C17="","",'P6'!C17)</f>
        <v>SK</v>
      </c>
      <c r="E14" s="108">
        <f>IF('P6'!D17="","",'P6'!D17)</f>
        <v>33717</v>
      </c>
      <c r="F14" s="109" t="str">
        <f>IF('P6'!F17="","",'P6'!F17)</f>
        <v>Tina Madeleine Larsen</v>
      </c>
      <c r="G14" s="109" t="str">
        <f>IF('P6'!G17="","",'P6'!G17)</f>
        <v>Spydeberg Atletene</v>
      </c>
      <c r="H14" s="110">
        <f>IF('P6'!N17=0,"",'P6'!N17)</f>
        <v>60</v>
      </c>
      <c r="I14" s="110">
        <f>IF('P6'!O17=0,"",'P6'!O17)</f>
        <v>81</v>
      </c>
      <c r="J14" s="110">
        <f>IF('P6'!P17=0,"",'P6'!P17)</f>
        <v>141</v>
      </c>
      <c r="K14" s="111">
        <f>IF('P6'!Q17=0,"",'P6'!Q17)</f>
        <v>200.86191303419236</v>
      </c>
    </row>
    <row r="15" spans="1:11" ht="15">
      <c r="A15" s="105">
        <v>11</v>
      </c>
      <c r="B15" s="106">
        <f>IF('P6'!A10="","",'P6'!A10)</f>
        <v>53</v>
      </c>
      <c r="C15" s="107">
        <f>IF('P6'!B10="","",'P6'!B10)</f>
        <v>52.74</v>
      </c>
      <c r="D15" s="106" t="str">
        <f>IF('P6'!C10="","",'P6'!C10)</f>
        <v>JK</v>
      </c>
      <c r="E15" s="108">
        <f>IF('P6'!D10="","",'P6'!D10)</f>
        <v>35320</v>
      </c>
      <c r="F15" s="109" t="str">
        <f>IF('P6'!F10="","",'P6'!F10)</f>
        <v>Rebekka Tao Jacobsen</v>
      </c>
      <c r="G15" s="109" t="str">
        <f>IF('P6'!G10="","",'P6'!G10)</f>
        <v>Larvik AK</v>
      </c>
      <c r="H15" s="110">
        <f>IF('P6'!N10=0,"",'P6'!N10)</f>
        <v>59</v>
      </c>
      <c r="I15" s="110">
        <f>IF('P6'!O10=0,"",'P6'!O10)</f>
        <v>71</v>
      </c>
      <c r="J15" s="110">
        <f>IF('P6'!P10=0,"",'P6'!P10)</f>
        <v>130</v>
      </c>
      <c r="K15" s="111">
        <f>IF('P6'!Q10=0,"",'P6'!Q10)</f>
        <v>196.87305942685558</v>
      </c>
    </row>
    <row r="16" spans="1:11" ht="15">
      <c r="A16" s="105">
        <v>12</v>
      </c>
      <c r="B16" s="106">
        <f>IF('P10'!A12="","",'P10'!A12)</f>
        <v>69</v>
      </c>
      <c r="C16" s="107">
        <f>IF('P10'!B12="","",'P10'!B12)</f>
        <v>64.12</v>
      </c>
      <c r="D16" s="106" t="str">
        <f>IF('P10'!C12="","",'P10'!C12)</f>
        <v>SK</v>
      </c>
      <c r="E16" s="108">
        <f>IF('P10'!D12="","",'P10'!D12)</f>
        <v>31365</v>
      </c>
      <c r="F16" s="109" t="str">
        <f>IF('P10'!F12="","",'P10'!F12)</f>
        <v>Marianne Hasfjord</v>
      </c>
      <c r="G16" s="109" t="str">
        <f>IF('P10'!G12="","",'P10'!G12)</f>
        <v>AK Bjørgvin</v>
      </c>
      <c r="H16" s="110">
        <f>IF('P10'!N12=0,"",'P10'!N12)</f>
        <v>60</v>
      </c>
      <c r="I16" s="110">
        <f>IF('P10'!O12=0,"",'P10'!O12)</f>
        <v>86</v>
      </c>
      <c r="J16" s="110">
        <f>IF('P10'!P12=0,"",'P10'!P12)</f>
        <v>146</v>
      </c>
      <c r="K16" s="111">
        <f>IF('P10'!Q12=0,"",'P10'!Q12)</f>
        <v>191.78229764643044</v>
      </c>
    </row>
    <row r="17" spans="1:11" ht="15">
      <c r="A17" s="105">
        <v>13</v>
      </c>
      <c r="B17" s="106">
        <f>IF('P10'!A10="","",'P10'!A10)</f>
        <v>69</v>
      </c>
      <c r="C17" s="107">
        <f>IF('P10'!B10="","",'P10'!B10)</f>
        <v>65.52</v>
      </c>
      <c r="D17" s="106" t="str">
        <f>IF('P10'!C10="","",'P10'!C10)</f>
        <v>SK</v>
      </c>
      <c r="E17" s="108">
        <f>IF('P10'!D10="","",'P10'!D10)</f>
        <v>34325</v>
      </c>
      <c r="F17" s="109" t="str">
        <f>IF('P10'!F10="","",'P10'!F10)</f>
        <v>Anna Tolås Omdal</v>
      </c>
      <c r="G17" s="109" t="str">
        <f>IF('P10'!G10="","",'P10'!G10)</f>
        <v>AK Bjørgvin</v>
      </c>
      <c r="H17" s="110">
        <f>IF('P10'!N10=0,"",'P10'!N10)</f>
        <v>67</v>
      </c>
      <c r="I17" s="110">
        <f>IF('P10'!O10=0,"",'P10'!O10)</f>
        <v>79</v>
      </c>
      <c r="J17" s="110">
        <f>IF('P10'!P10=0,"",'P10'!P10)</f>
        <v>146</v>
      </c>
      <c r="K17" s="111">
        <f>IF('P10'!Q10=0,"",'P10'!Q10)</f>
        <v>189.13468804081785</v>
      </c>
    </row>
    <row r="18" spans="1:11" ht="15">
      <c r="A18" s="105">
        <v>14</v>
      </c>
      <c r="B18" s="106">
        <f>IF('P12'!A11="","",'P12'!A11)</f>
        <v>75</v>
      </c>
      <c r="C18" s="107">
        <f>IF('P12'!B11="","",'P12'!B11)</f>
        <v>72.12</v>
      </c>
      <c r="D18" s="106" t="str">
        <f>IF('P12'!C11="","",'P12'!C11)</f>
        <v>SK</v>
      </c>
      <c r="E18" s="108">
        <f>IF('P12'!D11="","",'P12'!D11)</f>
        <v>33204</v>
      </c>
      <c r="F18" s="109" t="str">
        <f>IF('P12'!F11="","",'P12'!F11)</f>
        <v>Stine Mari Hasfjord</v>
      </c>
      <c r="G18" s="109" t="str">
        <f>IF('P12'!G11="","",'P12'!G11)</f>
        <v>AK Bjørgvin</v>
      </c>
      <c r="H18" s="110">
        <f>IF('P12'!N11=0,"",'P12'!N11)</f>
        <v>63</v>
      </c>
      <c r="I18" s="110">
        <f>IF('P12'!O11=0,"",'P12'!O11)</f>
        <v>91</v>
      </c>
      <c r="J18" s="110">
        <f>IF('P12'!P11=0,"",'P12'!P11)</f>
        <v>154</v>
      </c>
      <c r="K18" s="112">
        <f>IF('P12'!Q11=0,"",'P12'!Q11)</f>
        <v>188.37436047253541</v>
      </c>
    </row>
    <row r="19" spans="1:11" ht="15">
      <c r="A19" s="105">
        <v>15</v>
      </c>
      <c r="B19" s="106">
        <f>IF('P12'!A13="","",'P12'!A13)</f>
        <v>75</v>
      </c>
      <c r="C19" s="107">
        <f>IF('P12'!B13="","",'P12'!B13)</f>
        <v>71.92</v>
      </c>
      <c r="D19" s="106" t="str">
        <f>IF('P12'!C13="","",'P12'!C13)</f>
        <v>SK</v>
      </c>
      <c r="E19" s="108">
        <f>IF('P12'!D13="","",'P12'!D13)</f>
        <v>32978</v>
      </c>
      <c r="F19" s="109" t="str">
        <f>IF('P12'!F13="","",'P12'!F13)</f>
        <v>Asta Rønning Fjærli</v>
      </c>
      <c r="G19" s="109" t="str">
        <f>IF('P12'!G13="","",'P12'!G13)</f>
        <v>Trondheim AK</v>
      </c>
      <c r="H19" s="110">
        <f>IF('P12'!N13=0,"",'P12'!N13)</f>
        <v>68</v>
      </c>
      <c r="I19" s="110">
        <f>IF('P12'!O13=0,"",'P12'!O13)</f>
        <v>85</v>
      </c>
      <c r="J19" s="110">
        <f>IF('P12'!P13=0,"",'P12'!P13)</f>
        <v>153</v>
      </c>
      <c r="K19" s="112">
        <f>IF('P12'!Q13=0,"",'P12'!Q13)</f>
        <v>187.4431901875987</v>
      </c>
    </row>
    <row r="20" spans="1:11" ht="15">
      <c r="A20" s="105">
        <v>16</v>
      </c>
      <c r="B20" s="106">
        <f>IF('P12'!A14="","",'P12'!A14)</f>
        <v>75</v>
      </c>
      <c r="C20" s="107">
        <f>IF('P12'!B14="","",'P12'!B14)</f>
        <v>70.26</v>
      </c>
      <c r="D20" s="106" t="str">
        <f>IF('P12'!C14="","",'P12'!C14)</f>
        <v>SK</v>
      </c>
      <c r="E20" s="108">
        <f>IF('P12'!D14="","",'P12'!D14)</f>
        <v>30837</v>
      </c>
      <c r="F20" s="109" t="str">
        <f>IF('P12'!F14="","",'P12'!F14)</f>
        <v>Ingvild Brynjulfsen</v>
      </c>
      <c r="G20" s="109" t="str">
        <f>IF('P12'!G14="","",'P12'!G14)</f>
        <v>Trondheim AK</v>
      </c>
      <c r="H20" s="110">
        <f>IF('P12'!N14=0,"",'P12'!N14)</f>
        <v>69</v>
      </c>
      <c r="I20" s="110">
        <f>IF('P12'!O14=0,"",'P12'!O14)</f>
        <v>80</v>
      </c>
      <c r="J20" s="110">
        <f>IF('P12'!P14=0,"",'P12'!P14)</f>
        <v>149</v>
      </c>
      <c r="K20" s="112">
        <f>IF('P12'!Q14=0,"",'P12'!Q14)</f>
        <v>184.99586665495673</v>
      </c>
    </row>
    <row r="21" spans="1:11" ht="15">
      <c r="A21" s="105">
        <v>17</v>
      </c>
      <c r="B21" s="106">
        <f>IF('P10'!A11="","",'P10'!A11)</f>
        <v>69</v>
      </c>
      <c r="C21" s="107">
        <f>IF('P10'!B11="","",'P10'!B11)</f>
        <v>67.9</v>
      </c>
      <c r="D21" s="106" t="str">
        <f>IF('P10'!C11="","",'P10'!C11)</f>
        <v>SK</v>
      </c>
      <c r="E21" s="108">
        <f>IF('P10'!D11="","",'P10'!D11)</f>
        <v>34001</v>
      </c>
      <c r="F21" s="109" t="str">
        <f>IF('P10'!F11="","",'P10'!F11)</f>
        <v>Ingvild Prestegård</v>
      </c>
      <c r="G21" s="109" t="str">
        <f>IF('P10'!G11="","",'P10'!G11)</f>
        <v>AK Bjørgvin</v>
      </c>
      <c r="H21" s="110">
        <f>IF('P10'!N11=0,"",'P10'!N11)</f>
        <v>65</v>
      </c>
      <c r="I21" s="110">
        <f>IF('P10'!O11=0,"",'P10'!O11)</f>
        <v>79</v>
      </c>
      <c r="J21" s="110">
        <f>IF('P10'!P11=0,"",'P10'!P11)</f>
        <v>144</v>
      </c>
      <c r="K21" s="111">
        <f>IF('P10'!Q11=0,"",'P10'!Q11)</f>
        <v>182.45398299543498</v>
      </c>
    </row>
    <row r="22" spans="1:11" ht="15">
      <c r="A22" s="105">
        <v>18</v>
      </c>
      <c r="B22" s="106">
        <f>IF('P6'!A12="","",'P6'!A12)</f>
        <v>53</v>
      </c>
      <c r="C22" s="107">
        <f>IF('P6'!B12="","",'P6'!B12)</f>
        <v>51.8</v>
      </c>
      <c r="D22" s="106" t="str">
        <f>IF('P6'!C12="","",'P6'!C12)</f>
        <v>SK</v>
      </c>
      <c r="E22" s="108">
        <f>IF('P6'!D12="","",'P6'!D12)</f>
        <v>31230</v>
      </c>
      <c r="F22" s="109" t="str">
        <f>IF('P6'!F12="","",'P6'!F12)</f>
        <v>Hege Torsvik</v>
      </c>
      <c r="G22" s="109" t="str">
        <f>IF('P6'!G12="","",'P6'!G12)</f>
        <v>Hillevåg AK</v>
      </c>
      <c r="H22" s="110">
        <f>IF('P6'!N12=0,"",'P6'!N12)</f>
        <v>50</v>
      </c>
      <c r="I22" s="110">
        <f>IF('P6'!O12=0,"",'P6'!O12)</f>
        <v>68</v>
      </c>
      <c r="J22" s="110">
        <f>IF('P6'!P12=0,"",'P6'!P12)</f>
        <v>118</v>
      </c>
      <c r="K22" s="111">
        <f>IF('P6'!Q12=0,"",'P6'!Q12)</f>
        <v>181.32661850266163</v>
      </c>
    </row>
    <row r="23" spans="1:11" ht="15">
      <c r="A23" s="105">
        <v>19</v>
      </c>
      <c r="B23" s="106">
        <f>IF('P8'!A16="","",'P8'!A16)</f>
        <v>63</v>
      </c>
      <c r="C23" s="107">
        <f>IF('P8'!B16="","",'P8'!B16)</f>
        <v>59.8</v>
      </c>
      <c r="D23" s="106" t="str">
        <f>IF('P8'!C16="","",'P8'!C16)</f>
        <v>SK</v>
      </c>
      <c r="E23" s="108">
        <f>IF('P8'!D16="","",'P8'!D16)</f>
        <v>32946</v>
      </c>
      <c r="F23" s="109" t="str">
        <f>IF('P8'!F16="","",'P8'!F16)</f>
        <v>Mari Rotmo</v>
      </c>
      <c r="G23" s="109" t="str">
        <f>IF('P8'!G16="","",'P8'!G16)</f>
        <v>Trondheim AK</v>
      </c>
      <c r="H23" s="110">
        <f>IF('P8'!N16=0,"",'P8'!N16)</f>
        <v>54</v>
      </c>
      <c r="I23" s="110">
        <f>IF('P8'!O16=0,"",'P8'!O16)</f>
        <v>77</v>
      </c>
      <c r="J23" s="110">
        <f>IF('P8'!P16=0,"",'P8'!P16)</f>
        <v>131</v>
      </c>
      <c r="K23" s="111">
        <f>IF('P8'!Q16=0,"",'P8'!Q16)</f>
        <v>180.42711243085608</v>
      </c>
    </row>
    <row r="24" spans="1:11" ht="15">
      <c r="A24" s="105">
        <v>20</v>
      </c>
      <c r="B24" s="106">
        <f>IF('P6'!A15="","",'P6'!A15)</f>
        <v>58</v>
      </c>
      <c r="C24" s="107">
        <f>IF('P6'!B15="","",'P6'!B15)</f>
        <v>57.36</v>
      </c>
      <c r="D24" s="106" t="str">
        <f>IF('P6'!C15="","",'P6'!C15)</f>
        <v>SK</v>
      </c>
      <c r="E24" s="108">
        <f>IF('P6'!D15="","",'P6'!D15)</f>
        <v>32317</v>
      </c>
      <c r="F24" s="109" t="str">
        <f>IF('P6'!F15="","",'P6'!F15)</f>
        <v>Thu Thi Minh Tran</v>
      </c>
      <c r="G24" s="109" t="str">
        <f>IF('P6'!G15="","",'P6'!G15)</f>
        <v>Hillevåg AK</v>
      </c>
      <c r="H24" s="110">
        <f>IF('P6'!N15=0,"",'P6'!N15)</f>
        <v>53</v>
      </c>
      <c r="I24" s="110">
        <f>IF('P6'!O15=0,"",'P6'!O15)</f>
        <v>73</v>
      </c>
      <c r="J24" s="110">
        <f>IF('P6'!P15=0,"",'P6'!P15)</f>
        <v>126</v>
      </c>
      <c r="K24" s="111">
        <f>IF('P6'!Q15=0,"",'P6'!Q15)</f>
        <v>178.84416422077348</v>
      </c>
    </row>
    <row r="25" spans="1:11" ht="15">
      <c r="A25" s="105">
        <v>21</v>
      </c>
      <c r="B25" s="106">
        <f>IF('P12'!A10="","",'P12'!A10)</f>
        <v>75</v>
      </c>
      <c r="C25" s="107">
        <f>IF('P12'!B10="","",'P12'!B10)</f>
        <v>69.68</v>
      </c>
      <c r="D25" s="106" t="str">
        <f>IF('P12'!C10="","",'P12'!C10)</f>
        <v>SK</v>
      </c>
      <c r="E25" s="108">
        <f>IF('P12'!D10="","",'P12'!D10)</f>
        <v>32302</v>
      </c>
      <c r="F25" s="109" t="str">
        <f>IF('P12'!F10="","",'P12'!F10)</f>
        <v>Anette Ellingsberg</v>
      </c>
      <c r="G25" s="109" t="str">
        <f>IF('P12'!G10="","",'P12'!G10)</f>
        <v>Trondheim AK</v>
      </c>
      <c r="H25" s="110">
        <f>IF('P12'!N10=0,"",'P12'!N10)</f>
        <v>63</v>
      </c>
      <c r="I25" s="110">
        <f>IF('P12'!O10=0,"",'P12'!O10)</f>
        <v>75</v>
      </c>
      <c r="J25" s="110">
        <f>IF('P12'!P10=0,"",'P12'!P10)</f>
        <v>138</v>
      </c>
      <c r="K25" s="112">
        <f>IF('P12'!Q10=0,"",'P12'!Q10)</f>
        <v>172.16989407153045</v>
      </c>
    </row>
    <row r="26" spans="1:11" ht="15">
      <c r="A26" s="105">
        <v>22</v>
      </c>
      <c r="B26" s="106">
        <f>IF('P8'!A15="","",'P8'!A15)</f>
        <v>63</v>
      </c>
      <c r="C26" s="107">
        <f>IF('P8'!B15="","",'P8'!B15)</f>
        <v>62.52</v>
      </c>
      <c r="D26" s="106" t="str">
        <f>IF('P8'!C15="","",'P8'!C15)</f>
        <v>SK</v>
      </c>
      <c r="E26" s="108">
        <f>IF('P8'!D15="","",'P8'!D15)</f>
        <v>34499</v>
      </c>
      <c r="F26" s="109" t="str">
        <f>IF('P8'!F15="","",'P8'!F15)</f>
        <v>Betina Kingell</v>
      </c>
      <c r="G26" s="109" t="str">
        <f>IF('P8'!G15="","",'P8'!G15)</f>
        <v>Trondheim AK</v>
      </c>
      <c r="H26" s="110">
        <f>IF('P8'!N15=0,"",'P8'!N15)</f>
        <v>56</v>
      </c>
      <c r="I26" s="110">
        <f>IF('P8'!O15=0,"",'P8'!O15)</f>
        <v>72</v>
      </c>
      <c r="J26" s="110">
        <f>IF('P8'!P15=0,"",'P8'!P15)</f>
        <v>128</v>
      </c>
      <c r="K26" s="111">
        <f>IF('P8'!Q15=0,"",'P8'!Q15)</f>
        <v>170.9737449592604</v>
      </c>
    </row>
    <row r="27" spans="1:11" ht="15">
      <c r="A27" s="105">
        <v>23</v>
      </c>
      <c r="B27" s="106">
        <f>IF('P6'!A9="","",'P6'!A9)</f>
        <v>48</v>
      </c>
      <c r="C27" s="107">
        <f>IF('P6'!B9="","",'P6'!B9)</f>
        <v>46.96</v>
      </c>
      <c r="D27" s="106" t="str">
        <f>IF('P6'!C9="","",'P6'!C9)</f>
        <v>UK</v>
      </c>
      <c r="E27" s="108">
        <f>IF('P6'!D9="","",'P6'!D9)</f>
        <v>35898</v>
      </c>
      <c r="F27" s="109" t="str">
        <f>IF('P6'!F9="","",'P6'!F9)</f>
        <v>Bettine Carlsen</v>
      </c>
      <c r="G27" s="109" t="str">
        <f>IF('P6'!G9="","",'P6'!G9)</f>
        <v>AK Bjørgvin</v>
      </c>
      <c r="H27" s="110">
        <f>IF('P6'!N9=0,"",'P6'!N9)</f>
        <v>40</v>
      </c>
      <c r="I27" s="110">
        <f>IF('P6'!O9=0,"",'P6'!O9)</f>
        <v>62</v>
      </c>
      <c r="J27" s="110">
        <f>IF('P6'!P9=0,"",'P6'!P9)</f>
        <v>102</v>
      </c>
      <c r="K27" s="111">
        <f>IF('P6'!Q9=0,"",'P6'!Q9)</f>
        <v>170.47858117476633</v>
      </c>
    </row>
    <row r="28" spans="1:11" ht="15">
      <c r="A28" s="105">
        <v>24</v>
      </c>
      <c r="B28" s="106">
        <f>IF('P6'!A13="","",'P6'!A13)</f>
        <v>58</v>
      </c>
      <c r="C28" s="107">
        <f>IF('P6'!B13="","",'P6'!B13)</f>
        <v>58</v>
      </c>
      <c r="D28" s="106" t="str">
        <f>IF('P6'!C13="","",'P6'!C13)</f>
        <v>JK</v>
      </c>
      <c r="E28" s="108">
        <f>IF('P6'!D13="","",'P6'!D13)</f>
        <v>34746</v>
      </c>
      <c r="F28" s="109" t="str">
        <f>IF('P6'!F13="","",'P6'!F13)</f>
        <v>Helene Angelica Markhus</v>
      </c>
      <c r="G28" s="109" t="str">
        <f>IF('P6'!G13="","",'P6'!G13)</f>
        <v>Flaktveit IK</v>
      </c>
      <c r="H28" s="110">
        <f>IF('P6'!N13=0,"",'P6'!N13)</f>
        <v>50</v>
      </c>
      <c r="I28" s="110">
        <f>IF('P6'!O13=0,"",'P6'!O13)</f>
        <v>68</v>
      </c>
      <c r="J28" s="110">
        <f>IF('P6'!P13=0,"",'P6'!P13)</f>
        <v>118</v>
      </c>
      <c r="K28" s="111">
        <f>IF('P6'!Q13=0,"",'P6'!Q13)</f>
        <v>166.12945217533266</v>
      </c>
    </row>
    <row r="29" spans="1:11" ht="15">
      <c r="A29" s="105">
        <v>25</v>
      </c>
      <c r="B29" s="106">
        <f>IF('P6'!A18="","",'P6'!A18)</f>
        <v>58</v>
      </c>
      <c r="C29" s="107">
        <f>IF('P6'!B18="","",'P6'!B18)</f>
        <v>56.64</v>
      </c>
      <c r="D29" s="106" t="str">
        <f>IF('P6'!C18="","",'P6'!C18)</f>
        <v>JK</v>
      </c>
      <c r="E29" s="108">
        <f>IF('P6'!D18="","",'P6'!D18)</f>
        <v>35232</v>
      </c>
      <c r="F29" s="109" t="str">
        <f>IF('P6'!F18="","",'P6'!F18)</f>
        <v>Kamilla Storstein Grønnestad</v>
      </c>
      <c r="G29" s="109" t="str">
        <f>IF('P6'!G18="","",'P6'!G18)</f>
        <v>Haugesund VK</v>
      </c>
      <c r="H29" s="110">
        <f>IF('P6'!N18=0,"",'P6'!N18)</f>
        <v>47</v>
      </c>
      <c r="I29" s="110">
        <f>IF('P6'!O18=0,"",'P6'!O18)</f>
        <v>68</v>
      </c>
      <c r="J29" s="110">
        <f>IF('P6'!P18=0,"",'P6'!P18)</f>
        <v>115</v>
      </c>
      <c r="K29" s="111">
        <f>IF('P6'!Q18=0,"",'P6'!Q18)</f>
        <v>164.77160118527908</v>
      </c>
    </row>
    <row r="30" spans="1:11" ht="15">
      <c r="A30" s="105">
        <v>26</v>
      </c>
      <c r="B30" s="106">
        <f>IF('P12'!A12="","",'P12'!A12)</f>
        <v>75</v>
      </c>
      <c r="C30" s="107">
        <f>IF('P12'!B12="","",'P12'!B12)</f>
        <v>74.16</v>
      </c>
      <c r="D30" s="106" t="str">
        <f>IF('P12'!C12="","",'P12'!C12)</f>
        <v>SK</v>
      </c>
      <c r="E30" s="108">
        <f>IF('P12'!D12="","",'P12'!D12)</f>
        <v>31662</v>
      </c>
      <c r="F30" s="109" t="str">
        <f>IF('P12'!F12="","",'P12'!F12)</f>
        <v>Rebecca Tiffin</v>
      </c>
      <c r="G30" s="109" t="str">
        <f>IF('P12'!G12="","",'P12'!G12)</f>
        <v>Oslo AK</v>
      </c>
      <c r="H30" s="110">
        <f>IF('P12'!N12=0,"",'P12'!N12)</f>
        <v>62</v>
      </c>
      <c r="I30" s="110">
        <f>IF('P12'!O12=0,"",'P12'!O12)</f>
        <v>74</v>
      </c>
      <c r="J30" s="110">
        <f>IF('P12'!P12=0,"",'P12'!P12)</f>
        <v>136</v>
      </c>
      <c r="K30" s="112">
        <f>IF('P12'!Q12=0,"",'P12'!Q12)</f>
        <v>163.82606366796736</v>
      </c>
    </row>
    <row r="31" spans="1:11" ht="15">
      <c r="A31" s="105">
        <v>27</v>
      </c>
      <c r="B31" s="106">
        <f>IF('P10'!A17="","",'P10'!A17)</f>
        <v>69</v>
      </c>
      <c r="C31" s="107">
        <f>IF('P10'!B17="","",'P10'!B17)</f>
        <v>68.6</v>
      </c>
      <c r="D31" s="106" t="str">
        <f>IF('P10'!C17="","",'P10'!C17)</f>
        <v>K2</v>
      </c>
      <c r="E31" s="108">
        <f>IF('P10'!D17="","",'P10'!D17)</f>
        <v>26306</v>
      </c>
      <c r="F31" s="109" t="str">
        <f>IF('P10'!F17="","",'P10'!F17)</f>
        <v>Anna Waage</v>
      </c>
      <c r="G31" s="109" t="str">
        <f>IF('P10'!G17="","",'P10'!G17)</f>
        <v>Flaktveit IK</v>
      </c>
      <c r="H31" s="110">
        <f>IF('P10'!N17=0,"",'P10'!N17)</f>
        <v>54</v>
      </c>
      <c r="I31" s="110">
        <f>IF('P10'!O17=0,"",'P10'!O17)</f>
        <v>76</v>
      </c>
      <c r="J31" s="110">
        <f>IF('P10'!P17=0,"",'P10'!P17)</f>
        <v>130</v>
      </c>
      <c r="K31" s="111">
        <f>IF('P10'!Q17=0,"",'P10'!Q17)</f>
        <v>163.6991768594519</v>
      </c>
    </row>
    <row r="32" spans="1:11" ht="15">
      <c r="A32" s="105">
        <v>28</v>
      </c>
      <c r="B32" s="106">
        <f>IF('P8'!A12="","",'P8'!A12)</f>
        <v>63</v>
      </c>
      <c r="C32" s="107">
        <f>IF('P8'!B12="","",'P8'!B12)</f>
        <v>60.9</v>
      </c>
      <c r="D32" s="106" t="str">
        <f>IF('P8'!C12="","",'P8'!C12)</f>
        <v>SK</v>
      </c>
      <c r="E32" s="108">
        <f>IF('P8'!D12="","",'P8'!D12)</f>
        <v>33596</v>
      </c>
      <c r="F32" s="109" t="str">
        <f>IF('P8'!F12="","",'P8'!F12)</f>
        <v>Lene Christine Telle</v>
      </c>
      <c r="G32" s="109" t="str">
        <f>IF('P8'!G12="","",'P8'!G12)</f>
        <v>Haugesund VK</v>
      </c>
      <c r="H32" s="110">
        <f>IF('P8'!N12=0,"",'P8'!N12)</f>
        <v>52</v>
      </c>
      <c r="I32" s="110">
        <f>IF('P8'!O12=0,"",'P8'!O12)</f>
        <v>67</v>
      </c>
      <c r="J32" s="110">
        <f>IF('P8'!P12=0,"",'P8'!P12)</f>
        <v>119</v>
      </c>
      <c r="K32" s="111">
        <f>IF('P8'!Q12=0,"",'P8'!Q12)</f>
        <v>161.82359060609485</v>
      </c>
    </row>
    <row r="33" spans="1:11" ht="15">
      <c r="A33" s="105">
        <v>29</v>
      </c>
      <c r="B33" s="106">
        <f>IF('P10'!A13="","",'P10'!A13)</f>
        <v>69</v>
      </c>
      <c r="C33" s="107">
        <f>IF('P10'!B13="","",'P10'!B13)</f>
        <v>68.6</v>
      </c>
      <c r="D33" s="106" t="str">
        <f>IF('P10'!C13="","",'P10'!C13)</f>
        <v>SK</v>
      </c>
      <c r="E33" s="108">
        <f>IF('P10'!D13="","",'P10'!D13)</f>
        <v>30584</v>
      </c>
      <c r="F33" s="109" t="str">
        <f>IF('P10'!F13="","",'P10'!F13)</f>
        <v>Ingunn Selvåg</v>
      </c>
      <c r="G33" s="109" t="str">
        <f>IF('P10'!G13="","",'P10'!G13)</f>
        <v>Gjøvik AK</v>
      </c>
      <c r="H33" s="110">
        <f>IF('P10'!N13=0,"",'P10'!N13)</f>
        <v>52</v>
      </c>
      <c r="I33" s="110">
        <f>IF('P10'!O13=0,"",'P10'!O13)</f>
        <v>76</v>
      </c>
      <c r="J33" s="110">
        <f>IF('P10'!P13=0,"",'P10'!P13)</f>
        <v>128</v>
      </c>
      <c r="K33" s="111">
        <f>IF('P10'!Q13=0,"",'P10'!Q13)</f>
        <v>161.18072798469112</v>
      </c>
    </row>
    <row r="34" spans="1:11" ht="15">
      <c r="A34" s="105">
        <v>30</v>
      </c>
      <c r="B34" s="106">
        <f>IF('P10'!A9="","",'P10'!A9)</f>
        <v>69</v>
      </c>
      <c r="C34" s="107">
        <f>IF('P10'!B9="","",'P10'!B9)</f>
        <v>68.32</v>
      </c>
      <c r="D34" s="106" t="str">
        <f>IF('P10'!C9="","",'P10'!C9)</f>
        <v>UK</v>
      </c>
      <c r="E34" s="108">
        <f>IF('P10'!D9="","",'P10'!D9)</f>
        <v>36232</v>
      </c>
      <c r="F34" s="109" t="str">
        <f>IF('P10'!F9="","",'P10'!F9)</f>
        <v>Maren Fikse</v>
      </c>
      <c r="G34" s="109" t="str">
        <f>IF('P10'!G9="","",'P10'!G9)</f>
        <v>Gjøvik AK</v>
      </c>
      <c r="H34" s="110">
        <f>IF('P10'!N9=0,"",'P10'!N9)</f>
        <v>53</v>
      </c>
      <c r="I34" s="110">
        <f>IF('P10'!O9=0,"",'P10'!O9)</f>
        <v>74</v>
      </c>
      <c r="J34" s="110">
        <f>IF('P10'!P9=0,"",'P10'!P9)</f>
        <v>127</v>
      </c>
      <c r="K34" s="111">
        <f>IF('P10'!Q9=0,"",'P10'!Q9)</f>
        <v>160.31507980816562</v>
      </c>
    </row>
    <row r="35" spans="1:11" ht="15">
      <c r="A35" s="105">
        <v>31</v>
      </c>
      <c r="B35" s="106">
        <f>IF('P6'!A16="","",'P6'!A16)</f>
        <v>58</v>
      </c>
      <c r="C35" s="107">
        <f>IF('P6'!B16="","",'P6'!B16)</f>
        <v>56.4</v>
      </c>
      <c r="D35" s="106" t="str">
        <f>IF('P6'!C16="","",'P6'!C16)</f>
        <v>SK</v>
      </c>
      <c r="E35" s="108">
        <f>IF('P6'!D16="","",'P6'!D16)</f>
        <v>31978</v>
      </c>
      <c r="F35" s="109" t="str">
        <f>IF('P6'!F16="","",'P6'!F16)</f>
        <v>Alexandra Säldebring</v>
      </c>
      <c r="G35" s="109" t="str">
        <f>IF('P6'!G16="","",'P6'!G16)</f>
        <v>IL Kraftsport</v>
      </c>
      <c r="H35" s="110">
        <f>IF('P6'!N16=0,"",'P6'!N16)</f>
        <v>50</v>
      </c>
      <c r="I35" s="110">
        <f>IF('P6'!O16=0,"",'P6'!O16)</f>
        <v>60</v>
      </c>
      <c r="J35" s="110">
        <f>IF('P6'!P16=0,"",'P6'!P16)</f>
        <v>110</v>
      </c>
      <c r="K35" s="111">
        <f>IF('P6'!Q16=0,"",'P6'!Q16)</f>
        <v>158.11059317267657</v>
      </c>
    </row>
    <row r="36" spans="1:11" ht="15">
      <c r="A36" s="105">
        <v>32</v>
      </c>
      <c r="B36" s="106" t="str">
        <f>IF('P12'!A16="","",'P12'!A16)</f>
        <v>+75</v>
      </c>
      <c r="C36" s="107">
        <f>IF('P12'!B16="","",'P12'!B16)</f>
        <v>75.38</v>
      </c>
      <c r="D36" s="106" t="str">
        <f>IF('P12'!C16="","",'P12'!C16)</f>
        <v>SK</v>
      </c>
      <c r="E36" s="108">
        <f>IF('P12'!D16="","",'P12'!D16)</f>
        <v>34500</v>
      </c>
      <c r="F36" s="109" t="str">
        <f>IF('P12'!F16="","",'P12'!F16)</f>
        <v>Martine H. Sønju</v>
      </c>
      <c r="G36" s="109" t="str">
        <f>IF('P12'!G16="","",'P12'!G16)</f>
        <v>Gjøvik AK</v>
      </c>
      <c r="H36" s="110">
        <f>IF('P12'!N16=0,"",'P12'!N16)</f>
        <v>60</v>
      </c>
      <c r="I36" s="110">
        <f>IF('P12'!O16=0,"",'P12'!O16)</f>
        <v>70</v>
      </c>
      <c r="J36" s="110">
        <f>IF('P12'!P16=0,"",'P12'!P16)</f>
        <v>130</v>
      </c>
      <c r="K36" s="112">
        <f>IF('P12'!Q16=0,"",'P12'!Q16)</f>
        <v>155.24418534637923</v>
      </c>
    </row>
    <row r="37" spans="1:11" ht="15">
      <c r="A37" s="105">
        <v>33</v>
      </c>
      <c r="B37" s="106">
        <f>IF('P10'!A14="","",'P10'!A14)</f>
        <v>69</v>
      </c>
      <c r="C37" s="107">
        <f>IF('P10'!B14="","",'P10'!B14)</f>
        <v>68.78</v>
      </c>
      <c r="D37" s="106" t="str">
        <f>IF('P10'!C14="","",'P10'!C14)</f>
        <v>SK</v>
      </c>
      <c r="E37" s="108">
        <f>IF('P10'!D14="","",'P10'!D14)</f>
        <v>33182</v>
      </c>
      <c r="F37" s="109" t="str">
        <f>IF('P10'!F14="","",'P10'!F14)</f>
        <v>Sara Stebbings</v>
      </c>
      <c r="G37" s="109" t="str">
        <f>IF('P10'!G14="","",'P10'!G14)</f>
        <v>Lørenskog AK</v>
      </c>
      <c r="H37" s="110">
        <f>IF('P10'!N14=0,"",'P10'!N14)</f>
        <v>56</v>
      </c>
      <c r="I37" s="110">
        <f>IF('P10'!O14=0,"",'P10'!O14)</f>
        <v>65</v>
      </c>
      <c r="J37" s="110">
        <f>IF('P10'!P14=0,"",'P10'!P14)</f>
        <v>121</v>
      </c>
      <c r="K37" s="111">
        <f>IF('P10'!Q14=0,"",'P10'!Q14)</f>
        <v>152.1274307740146</v>
      </c>
    </row>
    <row r="38" spans="1:11" ht="15">
      <c r="A38" s="105">
        <v>34</v>
      </c>
      <c r="B38" s="106">
        <f>IF('P8'!A17="","",'P8'!A17)</f>
        <v>63</v>
      </c>
      <c r="C38" s="107">
        <f>IF('P8'!B17="","",'P8'!B17)</f>
        <v>61.66</v>
      </c>
      <c r="D38" s="106" t="str">
        <f>IF('P8'!C17="","",'P8'!C17)</f>
        <v>K3</v>
      </c>
      <c r="E38" s="108">
        <f>IF('P8'!D17="","",'P8'!D17)</f>
        <v>25930</v>
      </c>
      <c r="F38" s="109" t="str">
        <f>IF('P8'!F17="","",'P8'!F17)</f>
        <v>Line Søfteland</v>
      </c>
      <c r="G38" s="109" t="str">
        <f>IF('P8'!G17="","",'P8'!G17)</f>
        <v>Flaktveit IK</v>
      </c>
      <c r="H38" s="110">
        <f>IF('P8'!N17=0,"",'P8'!N17)</f>
        <v>48</v>
      </c>
      <c r="I38" s="110">
        <f>IF('P8'!O17=0,"",'P8'!O17)</f>
        <v>64</v>
      </c>
      <c r="J38" s="110">
        <f>IF('P8'!P17=0,"",'P8'!P17)</f>
        <v>112</v>
      </c>
      <c r="K38" s="111">
        <f>IF('P8'!Q17=0,"",'P8'!Q17)</f>
        <v>151.0117234754665</v>
      </c>
    </row>
    <row r="39" spans="1:11" ht="15">
      <c r="A39" s="105">
        <v>35</v>
      </c>
      <c r="B39" s="106">
        <f>IF('P8'!A13="","",'P8'!A13)</f>
        <v>63</v>
      </c>
      <c r="C39" s="107">
        <f>IF('P8'!B13="","",'P8'!B13)</f>
        <v>62.16</v>
      </c>
      <c r="D39" s="106" t="str">
        <f>IF('P8'!C13="","",'P8'!C13)</f>
        <v>SK</v>
      </c>
      <c r="E39" s="108">
        <f>IF('P8'!D13="","",'P8'!D13)</f>
        <v>32706</v>
      </c>
      <c r="F39" s="109" t="str">
        <f>IF('P8'!F13="","",'P8'!F13)</f>
        <v>Anita Monsen</v>
      </c>
      <c r="G39" s="109" t="str">
        <f>IF('P8'!G13="","",'P8'!G13)</f>
        <v>Oslo AK</v>
      </c>
      <c r="H39" s="110">
        <f>IF('P8'!N13=0,"",'P8'!N13)</f>
        <v>48</v>
      </c>
      <c r="I39" s="110">
        <f>IF('P8'!O13=0,"",'P8'!O13)</f>
        <v>64</v>
      </c>
      <c r="J39" s="110">
        <f>IF('P8'!P13=0,"",'P8'!P13)</f>
        <v>112</v>
      </c>
      <c r="K39" s="111">
        <f>IF('P8'!Q13=0,"",'P8'!Q13)</f>
        <v>150.1854220442419</v>
      </c>
    </row>
    <row r="40" spans="1:11" ht="15">
      <c r="A40" s="105">
        <v>36</v>
      </c>
      <c r="B40" s="106">
        <f>IF('P8'!A11="","",'P8'!A11)</f>
        <v>63</v>
      </c>
      <c r="C40" s="107">
        <f>IF('P8'!B11="","",'P8'!B11)</f>
        <v>62.56</v>
      </c>
      <c r="D40" s="106" t="str">
        <f>IF('P8'!C11="","",'P8'!C11)</f>
        <v>SK</v>
      </c>
      <c r="E40" s="108">
        <f>IF('P8'!D11="","",'P8'!D11)</f>
        <v>32948</v>
      </c>
      <c r="F40" s="109" t="str">
        <f>IF('P8'!F11="","",'P8'!F11)</f>
        <v>Ingeborg Bern Egeland</v>
      </c>
      <c r="G40" s="109" t="str">
        <f>IF('P8'!G11="","",'P8'!G11)</f>
        <v>AK Bjørgvin</v>
      </c>
      <c r="H40" s="110">
        <f>IF('P8'!N11=0,"",'P8'!N11)</f>
        <v>46</v>
      </c>
      <c r="I40" s="110">
        <f>IF('P8'!O11=0,"",'P8'!O11)</f>
        <v>60</v>
      </c>
      <c r="J40" s="110">
        <f>IF('P8'!P11=0,"",'P8'!P11)</f>
        <v>106</v>
      </c>
      <c r="K40" s="111">
        <f>IF('P8'!Q11=0,"",'P8'!Q11)</f>
        <v>141.5268381412058</v>
      </c>
    </row>
    <row r="41" spans="1:11" ht="15">
      <c r="A41" s="105">
        <v>37</v>
      </c>
      <c r="B41" s="106" t="str">
        <f>IF('P12'!A17="","",'P12'!A17)</f>
        <v>+75</v>
      </c>
      <c r="C41" s="107">
        <f>IF('P12'!B17="","",'P12'!B17)</f>
        <v>84.3</v>
      </c>
      <c r="D41" s="106" t="str">
        <f>IF('P12'!C17="","",'P12'!C17)</f>
        <v>SK</v>
      </c>
      <c r="E41" s="108">
        <f>IF('P12'!D17="","",'P12'!D17)</f>
        <v>31608</v>
      </c>
      <c r="F41" s="109" t="str">
        <f>IF('P12'!F17="","",'P12'!F17)</f>
        <v>Silje Johansen</v>
      </c>
      <c r="G41" s="109" t="str">
        <f>IF('P12'!G17="","",'P12'!G17)</f>
        <v>Spydeberg Atletene</v>
      </c>
      <c r="H41" s="110">
        <f>IF('P12'!N17=0,"",'P12'!N17)</f>
        <v>56</v>
      </c>
      <c r="I41" s="110">
        <f>IF('P12'!O17=0,"",'P12'!O17)</f>
        <v>65</v>
      </c>
      <c r="J41" s="110">
        <f>IF('P12'!P17=0,"",'P12'!P17)</f>
        <v>121</v>
      </c>
      <c r="K41" s="112">
        <f>IF('P12'!Q17=0,"",'P12'!Q17)</f>
        <v>136.90787120497276</v>
      </c>
    </row>
    <row r="42" spans="1:11" ht="15">
      <c r="A42" s="105">
        <v>38</v>
      </c>
      <c r="B42" s="106">
        <f>IF('P10'!A15="","",'P10'!A15)</f>
        <v>69</v>
      </c>
      <c r="C42" s="107">
        <f>IF('P10'!B15="","",'P10'!B15)</f>
        <v>68.28</v>
      </c>
      <c r="D42" s="106" t="str">
        <f>IF('P10'!C15="","",'P10'!C15)</f>
        <v>SK</v>
      </c>
      <c r="E42" s="108">
        <f>IF('P10'!D15="","",'P10'!D15)</f>
        <v>31684</v>
      </c>
      <c r="F42" s="109" t="str">
        <f>IF('P10'!F15="","",'P10'!F15)</f>
        <v>Christine Arnesen</v>
      </c>
      <c r="G42" s="109" t="str">
        <f>IF('P10'!G15="","",'P10'!G15)</f>
        <v>Spydeberg Atletene</v>
      </c>
      <c r="H42" s="110">
        <f>IF('P10'!N15=0,"",'P10'!N15)</f>
        <v>40</v>
      </c>
      <c r="I42" s="110">
        <f>IF('P10'!O15=0,"",'P10'!O15)</f>
        <v>55</v>
      </c>
      <c r="J42" s="110">
        <f>IF('P10'!P15=0,"",'P10'!P15)</f>
        <v>95</v>
      </c>
      <c r="K42" s="111">
        <f>IF('P10'!Q15=0,"",'P10'!Q15)</f>
        <v>119.9630729316981</v>
      </c>
    </row>
    <row r="43" spans="1:11" ht="15">
      <c r="A43" s="105"/>
      <c r="B43" s="106">
        <f>IF('P12'!A9="","",'P12'!A9)</f>
        <v>75</v>
      </c>
      <c r="C43" s="107">
        <f>IF('P12'!B9="","",'P12'!B9)</f>
        <v>71.4</v>
      </c>
      <c r="D43" s="106" t="str">
        <f>IF('P12'!C9="","",'P12'!C9)</f>
        <v>SK</v>
      </c>
      <c r="E43" s="108">
        <f>IF('P12'!D9="","",'P12'!D9)</f>
        <v>31858</v>
      </c>
      <c r="F43" s="109" t="str">
        <f>IF('P12'!F9="","",'P12'!F9)</f>
        <v>Carolina Roa</v>
      </c>
      <c r="G43" s="109" t="str">
        <f>IF('P12'!G9="","",'P12'!G9)</f>
        <v>AK Bjørgvin</v>
      </c>
      <c r="H43" s="110">
        <f>IF('P12'!N9=0,"",'P12'!N9)</f>
      </c>
      <c r="I43" s="110">
        <f>IF('P12'!O9=0,"",'P12'!O9)</f>
        <v>85</v>
      </c>
      <c r="J43" s="110">
        <f>IF('P12'!P9=0,"",'P12'!P9)</f>
      </c>
      <c r="K43" s="112">
        <f>IF('P12'!Q9=0,"",'P12'!Q9)</f>
      </c>
    </row>
    <row r="44" ht="12">
      <c r="A44" s="48"/>
    </row>
    <row r="45" spans="1:11" s="68" customFormat="1" ht="27">
      <c r="A45" s="192" t="s">
        <v>304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</row>
    <row r="46" spans="1:11" ht="17.25">
      <c r="A46" s="50"/>
      <c r="B46" s="50"/>
      <c r="C46" s="50"/>
      <c r="D46" s="50"/>
      <c r="E46" s="52"/>
      <c r="F46" s="71"/>
      <c r="G46" s="71"/>
      <c r="H46" s="50"/>
      <c r="I46" s="50"/>
      <c r="J46" s="50"/>
      <c r="K46" s="73"/>
    </row>
    <row r="47" spans="1:11" ht="15">
      <c r="A47" s="105">
        <v>1</v>
      </c>
      <c r="B47" s="106" t="str">
        <f>IF('P14'!A21="","",'P14'!A21)</f>
        <v>+105</v>
      </c>
      <c r="C47" s="107">
        <f>IF('P14'!B21="","",'P14'!B21)</f>
        <v>112.96</v>
      </c>
      <c r="D47" s="106" t="str">
        <f>IF('P14'!C21="","",'P14'!C21)</f>
        <v>SM</v>
      </c>
      <c r="E47" s="108">
        <f>IF('P14'!D21="","",'P14'!D21)</f>
        <v>32866</v>
      </c>
      <c r="F47" s="109" t="str">
        <f>IF('P14'!F21="","",'P14'!F21)</f>
        <v>Kim Eirik Tollefsen</v>
      </c>
      <c r="G47" s="109" t="str">
        <f>IF('P14'!G21="","",'P14'!G21)</f>
        <v>Tønsberg-Kam.</v>
      </c>
      <c r="H47" s="110">
        <f>IF('P14'!N21=0,"",'P14'!N21)</f>
        <v>155</v>
      </c>
      <c r="I47" s="110">
        <f>IF('P14'!O21=0,"",'P14'!O21)</f>
        <v>188</v>
      </c>
      <c r="J47" s="110">
        <f>IF('P14'!P21=0,"",'P14'!P21)</f>
        <v>343</v>
      </c>
      <c r="K47" s="112">
        <f>IF('P14'!Q21=0,"",'P14'!Q21)</f>
        <v>366.0586849970283</v>
      </c>
    </row>
    <row r="48" spans="1:11" ht="15">
      <c r="A48" s="105">
        <v>2</v>
      </c>
      <c r="B48" s="106">
        <f>IF('P13'!A16="","",'P13'!A16)</f>
        <v>94</v>
      </c>
      <c r="C48" s="107">
        <f>IF('P13'!B16="","",'P13'!B16)</f>
        <v>92.48</v>
      </c>
      <c r="D48" s="106" t="str">
        <f>IF('P13'!C16="","",'P13'!C16)</f>
        <v>SM</v>
      </c>
      <c r="E48" s="108">
        <f>IF('P13'!D16="","",'P13'!D16)</f>
        <v>33929</v>
      </c>
      <c r="F48" s="109" t="str">
        <f>IF('P13'!F16="","",'P13'!F16)</f>
        <v>Sindre Rørstadbotnen</v>
      </c>
      <c r="G48" s="109" t="str">
        <f>IF('P13'!G16="","",'P13'!G16)</f>
        <v>Tambarskjelvar IL</v>
      </c>
      <c r="H48" s="110">
        <f>IF('P13'!N16=0,"",'P13'!N16)</f>
        <v>139</v>
      </c>
      <c r="I48" s="110">
        <f>IF('P13'!O16=0,"",'P13'!O16)</f>
        <v>179</v>
      </c>
      <c r="J48" s="110">
        <f>IF('P13'!P16=0,"",'P13'!P16)</f>
        <v>318</v>
      </c>
      <c r="K48" s="112">
        <f>IF('P13'!Q16=0,"",'P13'!Q16)</f>
        <v>365.351492016997</v>
      </c>
    </row>
    <row r="49" spans="1:11" ht="15">
      <c r="A49" s="105">
        <v>3</v>
      </c>
      <c r="B49" s="106">
        <f>IF('P14'!A10="","",'P14'!A10)</f>
        <v>105</v>
      </c>
      <c r="C49" s="107">
        <f>IF('P14'!B10="","",'P14'!B10)</f>
        <v>98.31</v>
      </c>
      <c r="D49" s="106" t="str">
        <f>IF('P14'!C10="","",'P14'!C10)</f>
        <v>SM</v>
      </c>
      <c r="E49" s="108">
        <f>IF('P14'!D10="","",'P14'!D10)</f>
        <v>29863</v>
      </c>
      <c r="F49" s="109" t="str">
        <f>IF('P14'!F10="","",'P14'!F10)</f>
        <v>Per Hordnes</v>
      </c>
      <c r="G49" s="109" t="str">
        <f>IF('P14'!G10="","",'P14'!G10)</f>
        <v>AK Bjørgvin</v>
      </c>
      <c r="H49" s="110">
        <f>IF('P14'!N10=0,"",'P14'!N10)</f>
        <v>141</v>
      </c>
      <c r="I49" s="110">
        <f>IF('P14'!O10=0,"",'P14'!O10)</f>
        <v>177</v>
      </c>
      <c r="J49" s="110">
        <f>IF('P14'!P10=0,"",'P14'!P10)</f>
        <v>318</v>
      </c>
      <c r="K49" s="112">
        <f>IF('P14'!Q10=0,"",'P14'!Q10)</f>
        <v>356.16477616640884</v>
      </c>
    </row>
    <row r="50" spans="1:11" ht="15">
      <c r="A50" s="105">
        <v>4</v>
      </c>
      <c r="B50" s="106">
        <f>IF('P7'!A15="","",'P7'!A15)</f>
        <v>69</v>
      </c>
      <c r="C50" s="107">
        <f>IF('P7'!B15="","",'P7'!B15)</f>
        <v>68.88</v>
      </c>
      <c r="D50" s="106" t="str">
        <f>IF('P7'!C15="","",'P7'!C15)</f>
        <v>SM</v>
      </c>
      <c r="E50" s="108">
        <f>IF('P7'!D15="","",'P7'!D15)</f>
        <v>34579</v>
      </c>
      <c r="F50" s="109" t="str">
        <f>IF('P7'!F15="","",'P7'!F15)</f>
        <v>Jantsen Øverås</v>
      </c>
      <c r="G50" s="109" t="str">
        <f>IF('P7'!G15="","",'P7'!G15)</f>
        <v>Tambarskjelvar IL</v>
      </c>
      <c r="H50" s="110">
        <f>IF('P7'!N15=0,"",'P7'!N15)</f>
        <v>115</v>
      </c>
      <c r="I50" s="110">
        <f>IF('P7'!O15=0,"",'P7'!O15)</f>
        <v>147</v>
      </c>
      <c r="J50" s="110">
        <f>IF('P7'!P15=0,"",'P7'!P15)</f>
        <v>262</v>
      </c>
      <c r="K50" s="111">
        <f>IF('P7'!Q15=0,"",'P7'!Q15)</f>
        <v>352.8510761268912</v>
      </c>
    </row>
    <row r="51" spans="1:11" ht="15">
      <c r="A51" s="105">
        <v>5</v>
      </c>
      <c r="B51" s="106">
        <f>IF('P9'!A17="","",'P9'!A17)</f>
        <v>77</v>
      </c>
      <c r="C51" s="107">
        <f>IF('P9'!B17="","",'P9'!B17)</f>
        <v>76.42</v>
      </c>
      <c r="D51" s="106" t="str">
        <f>IF('P9'!C17="","",'P9'!C17)</f>
        <v>M1</v>
      </c>
      <c r="E51" s="108">
        <f>IF('P9'!D17="","",'P9'!D17)</f>
        <v>28656</v>
      </c>
      <c r="F51" s="109" t="str">
        <f>IF('P9'!F17="","",'P9'!F17)</f>
        <v>Ronny Matnisdal</v>
      </c>
      <c r="G51" s="109" t="str">
        <f>IF('P9'!G17="","",'P9'!G17)</f>
        <v>Vigrestad IK</v>
      </c>
      <c r="H51" s="110">
        <f>IF('P9'!N17=0,"",'P9'!N17)</f>
        <v>130</v>
      </c>
      <c r="I51" s="110">
        <f>IF('P9'!O17=0,"",'P9'!O17)</f>
        <v>148</v>
      </c>
      <c r="J51" s="110">
        <f>IF('P9'!P17=0,"",'P9'!P17)</f>
        <v>278</v>
      </c>
      <c r="K51" s="111">
        <f>IF('P9'!Q17=0,"",'P9'!Q17)</f>
        <v>351.5897007694986</v>
      </c>
    </row>
    <row r="52" spans="1:11" ht="15">
      <c r="A52" s="105">
        <v>6</v>
      </c>
      <c r="B52" s="106">
        <f>IF('P13'!A17="","",'P13'!A17)</f>
        <v>94</v>
      </c>
      <c r="C52" s="107">
        <f>IF('P13'!B17="","",'P13'!B17)</f>
        <v>92.45</v>
      </c>
      <c r="D52" s="106" t="str">
        <f>IF('P13'!C17="","",'P13'!C17)</f>
        <v>SM</v>
      </c>
      <c r="E52" s="108">
        <f>IF('P13'!D17="","",'P13'!D17)</f>
        <v>32285</v>
      </c>
      <c r="F52" s="109" t="str">
        <f>IF('P13'!F17="","",'P13'!F17)</f>
        <v>Jarleif Amdal</v>
      </c>
      <c r="G52" s="109" t="str">
        <f>IF('P13'!G17="","",'P13'!G17)</f>
        <v>Tønsberg-Kam.</v>
      </c>
      <c r="H52" s="110">
        <f>IF('P13'!N17=0,"",'P13'!N17)</f>
        <v>134</v>
      </c>
      <c r="I52" s="110">
        <f>IF('P13'!O17=0,"",'P13'!O17)</f>
        <v>168</v>
      </c>
      <c r="J52" s="110">
        <f>IF('P13'!P17=0,"",'P13'!P17)</f>
        <v>302</v>
      </c>
      <c r="K52" s="112">
        <f>IF('P13'!Q17=0,"",'P13'!Q17)</f>
        <v>347.01831201948596</v>
      </c>
    </row>
    <row r="53" spans="1:11" ht="15">
      <c r="A53" s="105">
        <v>7</v>
      </c>
      <c r="B53" s="106">
        <f>IF('P13'!A14="","",'P13'!A14)</f>
        <v>94</v>
      </c>
      <c r="C53" s="107">
        <f>IF('P13'!B14="","",'P13'!B14)</f>
        <v>92.84</v>
      </c>
      <c r="D53" s="106" t="str">
        <f>IF('P13'!C14="","",'P13'!C14)</f>
        <v>SM</v>
      </c>
      <c r="E53" s="108">
        <f>IF('P13'!D14="","",'P13'!D14)</f>
        <v>32393</v>
      </c>
      <c r="F53" s="109" t="str">
        <f>IF('P13'!F14="","",'P13'!F14)</f>
        <v>Håvard Grostad</v>
      </c>
      <c r="G53" s="109" t="str">
        <f>IF('P13'!G14="","",'P13'!G14)</f>
        <v>Nidelv IL</v>
      </c>
      <c r="H53" s="110">
        <f>IF('P13'!N14=0,"",'P13'!N14)</f>
        <v>139</v>
      </c>
      <c r="I53" s="110">
        <f>IF('P13'!O14=0,"",'P13'!O14)</f>
        <v>163</v>
      </c>
      <c r="J53" s="110">
        <f>IF('P13'!P14=0,"",'P13'!P14)</f>
        <v>302</v>
      </c>
      <c r="K53" s="112">
        <f>IF('P13'!Q14=0,"",'P13'!Q14)</f>
        <v>346.3813486424189</v>
      </c>
    </row>
    <row r="54" spans="1:11" ht="15">
      <c r="A54" s="105">
        <v>8</v>
      </c>
      <c r="B54" s="106" t="str">
        <f>IF('P14'!A20="","",'P14'!A20)</f>
        <v>+105</v>
      </c>
      <c r="C54" s="107">
        <f>IF('P14'!B20="","",'P14'!B20)</f>
        <v>129.52</v>
      </c>
      <c r="D54" s="106" t="str">
        <f>IF('P14'!C20="","",'P14'!C20)</f>
        <v>SM</v>
      </c>
      <c r="E54" s="108">
        <f>IF('P14'!D20="","",'P14'!D20)</f>
        <v>33062</v>
      </c>
      <c r="F54" s="109" t="str">
        <f>IF('P14'!F20="","",'P14'!F20)</f>
        <v>Vebjørn Varlid</v>
      </c>
      <c r="G54" s="109" t="str">
        <f>IF('P14'!G20="","",'P14'!G20)</f>
        <v>Tambarskjelvar IL</v>
      </c>
      <c r="H54" s="110">
        <f>IF('P14'!N20=0,"",'P14'!N20)</f>
        <v>156</v>
      </c>
      <c r="I54" s="110">
        <f>IF('P14'!O20=0,"",'P14'!O20)</f>
        <v>175</v>
      </c>
      <c r="J54" s="110">
        <f>IF('P14'!P20=0,"",'P14'!P20)</f>
        <v>331</v>
      </c>
      <c r="K54" s="112">
        <f>IF('P14'!Q20=0,"",'P14'!Q20)</f>
        <v>341.2607413662802</v>
      </c>
    </row>
    <row r="55" spans="1:11" ht="15">
      <c r="A55" s="105">
        <v>9</v>
      </c>
      <c r="B55" s="106">
        <f>IF('P7'!A12="","",'P7'!A12)</f>
        <v>69</v>
      </c>
      <c r="C55" s="107">
        <f>IF('P7'!B12="","",'P7'!B12)</f>
        <v>67.46</v>
      </c>
      <c r="D55" s="106" t="str">
        <f>IF('P7'!C12="","",'P7'!C12)</f>
        <v>SM</v>
      </c>
      <c r="E55" s="108">
        <f>IF('P7'!D12="","",'P7'!D12)</f>
        <v>33342</v>
      </c>
      <c r="F55" s="109" t="str">
        <f>IF('P7'!F12="","",'P7'!F12)</f>
        <v>Daniel Roness</v>
      </c>
      <c r="G55" s="109" t="str">
        <f>IF('P7'!G12="","",'P7'!G12)</f>
        <v>Spydeberg Atletene</v>
      </c>
      <c r="H55" s="110">
        <f>IF('P7'!N12=0,"",'P7'!N12)</f>
        <v>110</v>
      </c>
      <c r="I55" s="110">
        <f>IF('P7'!O12=0,"",'P7'!O12)</f>
        <v>133</v>
      </c>
      <c r="J55" s="110">
        <f>IF('P7'!P12=0,"",'P7'!P12)</f>
        <v>243</v>
      </c>
      <c r="K55" s="111">
        <f>IF('P7'!Q12=0,"",'P7'!Q12)</f>
        <v>331.71105574469937</v>
      </c>
    </row>
    <row r="56" spans="1:11" ht="15">
      <c r="A56" s="105">
        <v>10</v>
      </c>
      <c r="B56" s="106">
        <f>IF('P9'!A16="","",'P9'!A16)</f>
        <v>77</v>
      </c>
      <c r="C56" s="107">
        <f>IF('P9'!B16="","",'P9'!B16)</f>
        <v>76.84</v>
      </c>
      <c r="D56" s="106" t="str">
        <f>IF('P9'!C16="","",'P9'!C16)</f>
        <v>SM</v>
      </c>
      <c r="E56" s="108">
        <f>IF('P9'!D16="","",'P9'!D16)</f>
        <v>32655</v>
      </c>
      <c r="F56" s="109" t="str">
        <f>IF('P9'!F16="","",'P9'!F16)</f>
        <v>Alexander Hanssen</v>
      </c>
      <c r="G56" s="109" t="str">
        <f>IF('P9'!G16="","",'P9'!G16)</f>
        <v>Nidelv IL</v>
      </c>
      <c r="H56" s="110">
        <f>IF('P9'!N16=0,"",'P9'!N16)</f>
        <v>117</v>
      </c>
      <c r="I56" s="110">
        <f>IF('P9'!O16=0,"",'P9'!O16)</f>
        <v>141</v>
      </c>
      <c r="J56" s="110">
        <f>IF('P9'!P16=0,"",'P9'!P16)</f>
        <v>258</v>
      </c>
      <c r="K56" s="111">
        <f>IF('P9'!Q16=0,"",'P9'!Q16)</f>
        <v>325.28235407111566</v>
      </c>
    </row>
    <row r="57" spans="1:11" ht="15">
      <c r="A57" s="105">
        <v>11</v>
      </c>
      <c r="B57" s="106">
        <f>IF('P9'!A15="","",'P9'!A15)</f>
        <v>77</v>
      </c>
      <c r="C57" s="107">
        <f>IF('P9'!B15="","",'P9'!B15)</f>
        <v>76.26</v>
      </c>
      <c r="D57" s="106" t="str">
        <f>IF('P9'!C15="","",'P9'!C15)</f>
        <v>SM</v>
      </c>
      <c r="E57" s="108">
        <f>IF('P9'!D15="","",'P9'!D15)</f>
        <v>31220</v>
      </c>
      <c r="F57" s="109" t="str">
        <f>IF('P9'!F15="","",'P9'!F15)</f>
        <v>Tomas Fjeldberg</v>
      </c>
      <c r="G57" s="109" t="str">
        <f>IF('P9'!G15="","",'P9'!G15)</f>
        <v>IL Kraftsport</v>
      </c>
      <c r="H57" s="110">
        <f>IF('P9'!N15=0,"",'P9'!N15)</f>
        <v>117</v>
      </c>
      <c r="I57" s="110">
        <f>IF('P9'!O15=0,"",'P9'!O15)</f>
        <v>135</v>
      </c>
      <c r="J57" s="110">
        <f>IF('P9'!P15=0,"",'P9'!P15)</f>
        <v>252</v>
      </c>
      <c r="K57" s="111">
        <f>IF('P9'!Q15=0,"",'P9'!Q15)</f>
        <v>319.08818045124906</v>
      </c>
    </row>
    <row r="58" spans="1:11" ht="15">
      <c r="A58" s="105">
        <v>12</v>
      </c>
      <c r="B58" s="106">
        <f>IF('P11'!A15="","",'P11'!A15)</f>
        <v>85</v>
      </c>
      <c r="C58" s="107">
        <f>IF('P11'!B15="","",'P11'!B15)</f>
        <v>84.36</v>
      </c>
      <c r="D58" s="106" t="str">
        <f>IF('P11'!C15="","",'P11'!C15)</f>
        <v>SM</v>
      </c>
      <c r="E58" s="108">
        <f>IF('P11'!D15="","",'P11'!D15)</f>
        <v>32519</v>
      </c>
      <c r="F58" s="109" t="str">
        <f>IF('P11'!F15="","",'P11'!F15)</f>
        <v>Leik Simon Aas</v>
      </c>
      <c r="G58" s="109" t="str">
        <f>IF('P11'!G15="","",'P11'!G15)</f>
        <v>T &amp; IL National</v>
      </c>
      <c r="H58" s="110">
        <f>IF('P11'!N15=0,"",'P11'!N15)</f>
        <v>120</v>
      </c>
      <c r="I58" s="110">
        <f>IF('P11'!O15=0,"",'P11'!O15)</f>
        <v>144</v>
      </c>
      <c r="J58" s="110">
        <f>IF('P11'!P15=0,"",'P11'!P15)</f>
        <v>264</v>
      </c>
      <c r="K58" s="112">
        <f>IF('P11'!Q15=0,"",'P11'!Q15)</f>
        <v>316.68000964086315</v>
      </c>
    </row>
    <row r="59" spans="1:11" ht="15">
      <c r="A59" s="105">
        <v>13</v>
      </c>
      <c r="B59" s="106">
        <f>IF('P11'!A10="","",'P11'!A10)</f>
        <v>85</v>
      </c>
      <c r="C59" s="107">
        <f>IF('P11'!B10="","",'P11'!B10)</f>
        <v>83.06</v>
      </c>
      <c r="D59" s="106" t="str">
        <f>IF('P11'!C10="","",'P11'!C10)</f>
        <v>SM</v>
      </c>
      <c r="E59" s="108">
        <f>IF('P11'!D10="","",'P11'!D10)</f>
        <v>30929</v>
      </c>
      <c r="F59" s="109" t="str">
        <f>IF('P11'!F10="","",'P11'!F10)</f>
        <v>Pål Bjørhusdal</v>
      </c>
      <c r="G59" s="109" t="str">
        <f>IF('P11'!G10="","",'P11'!G10)</f>
        <v>AK Bjørgvin</v>
      </c>
      <c r="H59" s="110">
        <f>IF('P11'!N10=0,"",'P11'!N10)</f>
        <v>110</v>
      </c>
      <c r="I59" s="110">
        <f>IF('P11'!O10=0,"",'P11'!O10)</f>
        <v>150</v>
      </c>
      <c r="J59" s="110">
        <f>IF('P11'!P10=0,"",'P11'!P10)</f>
        <v>260</v>
      </c>
      <c r="K59" s="112">
        <f>IF('P11'!Q10=0,"",'P11'!Q10)</f>
        <v>314.34440835332526</v>
      </c>
    </row>
    <row r="60" spans="1:11" ht="15">
      <c r="A60" s="105">
        <v>14</v>
      </c>
      <c r="B60" s="106">
        <f>IF('P14'!A15="","",'P14'!A15)</f>
        <v>105</v>
      </c>
      <c r="C60" s="107">
        <f>IF('P14'!B15="","",'P14'!B15)</f>
        <v>104.46</v>
      </c>
      <c r="D60" s="106" t="str">
        <f>IF('P14'!C15="","",'P14'!C15)</f>
        <v>M1</v>
      </c>
      <c r="E60" s="108">
        <f>IF('P14'!D15="","",'P14'!D15)</f>
        <v>27849</v>
      </c>
      <c r="F60" s="109" t="str">
        <f>IF('P14'!F15="","",'P14'!F15)</f>
        <v>Børge Aadland</v>
      </c>
      <c r="G60" s="109" t="str">
        <f>IF('P14'!G15="","",'P14'!G15)</f>
        <v>AK Bjørgvin</v>
      </c>
      <c r="H60" s="110">
        <f>IF('P14'!N15=0,"",'P14'!N15)</f>
        <v>120</v>
      </c>
      <c r="I60" s="110">
        <f>IF('P14'!O15=0,"",'P14'!O15)</f>
        <v>165</v>
      </c>
      <c r="J60" s="110">
        <f>IF('P14'!P15=0,"",'P14'!P15)</f>
        <v>285</v>
      </c>
      <c r="K60" s="112">
        <f>IF('P14'!Q15=0,"",'P14'!Q15)</f>
        <v>312.0315388833473</v>
      </c>
    </row>
    <row r="61" spans="1:11" ht="15">
      <c r="A61" s="105">
        <v>15</v>
      </c>
      <c r="B61" s="106" t="str">
        <f>IF('P14'!A19="","",'P14'!A19)</f>
        <v>+105</v>
      </c>
      <c r="C61" s="107">
        <f>IF('P14'!B19="","",'P14'!B19)</f>
        <v>131.86</v>
      </c>
      <c r="D61" s="106" t="str">
        <f>IF('P14'!C19="","",'P14'!C19)</f>
        <v>SM</v>
      </c>
      <c r="E61" s="108">
        <f>IF('P14'!D19="","",'P14'!D19)</f>
        <v>29981</v>
      </c>
      <c r="F61" s="109" t="str">
        <f>IF('P14'!F19="","",'P14'!F19)</f>
        <v>Kenneth Heidenberg</v>
      </c>
      <c r="G61" s="109" t="str">
        <f>IF('P14'!G19="","",'P14'!G19)</f>
        <v>T &amp; IL National</v>
      </c>
      <c r="H61" s="110">
        <f>IF('P14'!N19=0,"",'P14'!N19)</f>
        <v>132</v>
      </c>
      <c r="I61" s="110">
        <f>IF('P14'!O19=0,"",'P14'!O19)</f>
        <v>165</v>
      </c>
      <c r="J61" s="110">
        <f>IF('P14'!P19=0,"",'P14'!P19)</f>
        <v>297</v>
      </c>
      <c r="K61" s="112">
        <f>IF('P14'!Q19=0,"",'P14'!Q19)</f>
        <v>305.1172416512244</v>
      </c>
    </row>
    <row r="62" spans="1:11" ht="15">
      <c r="A62" s="105">
        <v>16</v>
      </c>
      <c r="B62" s="106">
        <f>IF('P13'!A11="","",'P13'!A11)</f>
        <v>94</v>
      </c>
      <c r="C62" s="107">
        <f>IF('P13'!B11="","",'P13'!B11)</f>
        <v>92.61</v>
      </c>
      <c r="D62" s="106" t="str">
        <f>IF('P13'!C11="","",'P13'!C11)</f>
        <v>SM</v>
      </c>
      <c r="E62" s="108">
        <f>IF('P13'!D11="","",'P13'!D11)</f>
        <v>33365</v>
      </c>
      <c r="F62" s="109" t="str">
        <f>IF('P13'!F11="","",'P13'!F11)</f>
        <v>Phillip Houghton</v>
      </c>
      <c r="G62" s="109" t="str">
        <f>IF('P13'!G11="","",'P13'!G11)</f>
        <v>AK Bjørgvin</v>
      </c>
      <c r="H62" s="110">
        <f>IF('P13'!N11=0,"",'P13'!N11)</f>
        <v>115</v>
      </c>
      <c r="I62" s="110">
        <f>IF('P13'!O11=0,"",'P13'!O11)</f>
        <v>150</v>
      </c>
      <c r="J62" s="110">
        <f>IF('P13'!P11=0,"",'P13'!P11)</f>
        <v>265</v>
      </c>
      <c r="K62" s="112">
        <f>IF('P13'!Q11=0,"",'P13'!Q11)</f>
        <v>304.27266176198884</v>
      </c>
    </row>
    <row r="63" spans="1:11" ht="15">
      <c r="A63" s="105">
        <v>17</v>
      </c>
      <c r="B63" s="106">
        <f>IF('P9'!A14="","",'P9'!A14)</f>
        <v>77</v>
      </c>
      <c r="C63" s="107">
        <f>IF('P9'!B14="","",'P9'!B14)</f>
        <v>74.52</v>
      </c>
      <c r="D63" s="106" t="str">
        <f>IF('P9'!C14="","",'P9'!C14)</f>
        <v>SM</v>
      </c>
      <c r="E63" s="108">
        <f>IF('P9'!D14="","",'P9'!D14)</f>
        <v>32995</v>
      </c>
      <c r="F63" s="109" t="str">
        <f>IF('P9'!F14="","",'P9'!F14)</f>
        <v>Fredrik Kvist Gyllensten</v>
      </c>
      <c r="G63" s="109" t="str">
        <f>IF('P9'!G14="","",'P9'!G14)</f>
        <v>IL Kraftsport</v>
      </c>
      <c r="H63" s="110">
        <f>IF('P9'!N14=0,"",'P9'!N14)</f>
        <v>105</v>
      </c>
      <c r="I63" s="110">
        <f>IF('P9'!O14=0,"",'P9'!O14)</f>
        <v>130</v>
      </c>
      <c r="J63" s="110">
        <f>IF('P9'!P14=0,"",'P9'!P14)</f>
        <v>235</v>
      </c>
      <c r="K63" s="111">
        <f>IF('P9'!Q14=0,"",'P9'!Q14)</f>
        <v>301.56345366824144</v>
      </c>
    </row>
    <row r="64" spans="1:11" ht="15">
      <c r="A64" s="105">
        <v>18</v>
      </c>
      <c r="B64" s="106">
        <f>IF('P9'!A12="","",'P9'!A12)</f>
        <v>77</v>
      </c>
      <c r="C64" s="107">
        <f>IF('P9'!B12="","",'P9'!B12)</f>
        <v>76.34</v>
      </c>
      <c r="D64" s="106" t="str">
        <f>IF('P9'!C12="","",'P9'!C12)</f>
        <v>SM</v>
      </c>
      <c r="E64" s="108">
        <f>IF('P9'!D12="","",'P9'!D12)</f>
        <v>34330</v>
      </c>
      <c r="F64" s="109" t="str">
        <f>IF('P9'!F12="","",'P9'!F12)</f>
        <v>Roy Sømme Ommedal</v>
      </c>
      <c r="G64" s="109" t="str">
        <f>IF('P9'!G12="","",'P9'!G12)</f>
        <v>Vigrestad IK</v>
      </c>
      <c r="H64" s="110">
        <f>IF('P9'!N12=0,"",'P9'!N12)</f>
        <v>105</v>
      </c>
      <c r="I64" s="110">
        <f>IF('P9'!O12=0,"",'P9'!O12)</f>
        <v>130</v>
      </c>
      <c r="J64" s="110">
        <f>IF('P9'!P12=0,"",'P9'!P12)</f>
        <v>235</v>
      </c>
      <c r="K64" s="111">
        <f>IF('P9'!Q12=0,"",'P9'!Q12)</f>
        <v>297.3844970324318</v>
      </c>
    </row>
    <row r="65" spans="1:11" ht="15">
      <c r="A65" s="105">
        <v>19</v>
      </c>
      <c r="B65" s="106">
        <f>IF('P11'!A14="","",'P11'!A14)</f>
        <v>85</v>
      </c>
      <c r="C65" s="107">
        <f>IF('P11'!B14="","",'P11'!B14)</f>
        <v>83.14</v>
      </c>
      <c r="D65" s="106" t="str">
        <f>IF('P11'!C14="","",'P11'!C14)</f>
        <v>SM</v>
      </c>
      <c r="E65" s="108">
        <f>IF('P11'!D14="","",'P11'!D14)</f>
        <v>33128</v>
      </c>
      <c r="F65" s="109" t="str">
        <f>IF('P11'!F14="","",'P11'!F14)</f>
        <v>Robin Andresen</v>
      </c>
      <c r="G65" s="109" t="str">
        <f>IF('P11'!G14="","",'P11'!G14)</f>
        <v>Spydeberg Atletene</v>
      </c>
      <c r="H65" s="110">
        <f>IF('P11'!N14=0,"",'P11'!N14)</f>
        <v>112</v>
      </c>
      <c r="I65" s="110">
        <f>IF('P11'!O14=0,"",'P11'!O14)</f>
        <v>130</v>
      </c>
      <c r="J65" s="110">
        <f>IF('P11'!P14=0,"",'P11'!P14)</f>
        <v>242</v>
      </c>
      <c r="K65" s="112">
        <f>IF('P11'!Q14=0,"",'P11'!Q14)</f>
        <v>292.43807910256544</v>
      </c>
    </row>
    <row r="66" spans="1:11" ht="15">
      <c r="A66" s="105">
        <v>20</v>
      </c>
      <c r="B66" s="106">
        <f>IF('P7'!A13="","",'P7'!A13)</f>
        <v>69</v>
      </c>
      <c r="C66" s="107">
        <f>IF('P7'!B13="","",'P7'!B13)</f>
        <v>68.9</v>
      </c>
      <c r="D66" s="106" t="str">
        <f>IF('P7'!C13="","",'P7'!C13)</f>
        <v>SM</v>
      </c>
      <c r="E66" s="108">
        <f>IF('P7'!D13="","",'P7'!D13)</f>
        <v>33679</v>
      </c>
      <c r="F66" s="109" t="str">
        <f>IF('P7'!F13="","",'P7'!F13)</f>
        <v>Thomas Eide</v>
      </c>
      <c r="G66" s="109" t="str">
        <f>IF('P7'!G13="","",'P7'!G13)</f>
        <v>Stavanger VK</v>
      </c>
      <c r="H66" s="110">
        <f>IF('P7'!N13=0,"",'P7'!N13)</f>
        <v>95</v>
      </c>
      <c r="I66" s="110">
        <f>IF('P7'!O13=0,"",'P7'!O13)</f>
        <v>122</v>
      </c>
      <c r="J66" s="110">
        <f>IF('P7'!P13=0,"",'P7'!P13)</f>
        <v>217</v>
      </c>
      <c r="K66" s="111">
        <f>IF('P7'!Q13=0,"",'P7'!Q13)</f>
        <v>292.1925165416264</v>
      </c>
    </row>
    <row r="67" spans="1:11" ht="15">
      <c r="A67" s="105">
        <v>21</v>
      </c>
      <c r="B67" s="106">
        <f>IF('P11'!A20="","",'P11'!A20)</f>
        <v>85</v>
      </c>
      <c r="C67" s="107">
        <f>IF('P11'!B20="","",'P11'!B20)</f>
        <v>83.7</v>
      </c>
      <c r="D67" s="106" t="str">
        <f>IF('P11'!C20="","",'P11'!C20)</f>
        <v>SM</v>
      </c>
      <c r="E67" s="108">
        <f>IF('P11'!D20="","",'P11'!D20)</f>
        <v>32098</v>
      </c>
      <c r="F67" s="109" t="str">
        <f>IF('P11'!F20="","",'P11'!F20)</f>
        <v>Fabian Fosse</v>
      </c>
      <c r="G67" s="109" t="str">
        <f>IF('P11'!G20="","",'P11'!G20)</f>
        <v>AK Bjørgvin</v>
      </c>
      <c r="H67" s="110">
        <f>IF('P11'!N20=0,"",'P11'!N20)</f>
        <v>110</v>
      </c>
      <c r="I67" s="110">
        <f>IF('P11'!O20=0,"",'P11'!O20)</f>
        <v>132</v>
      </c>
      <c r="J67" s="110">
        <f>IF('P11'!P20=0,"",'P11'!P20)</f>
        <v>242</v>
      </c>
      <c r="K67" s="112">
        <f>IF('P11'!Q20=0,"",'P11'!Q20)</f>
        <v>291.44092395836833</v>
      </c>
    </row>
    <row r="68" spans="1:11" ht="15">
      <c r="A68" s="105">
        <v>22</v>
      </c>
      <c r="B68" s="106">
        <f>IF('P11'!A19="","",'P11'!A19)</f>
        <v>85</v>
      </c>
      <c r="C68" s="107">
        <f>IF('P11'!B19="","",'P11'!B19)</f>
        <v>84.28</v>
      </c>
      <c r="D68" s="106" t="str">
        <f>IF('P11'!C19="","",'P11'!C19)</f>
        <v>SM</v>
      </c>
      <c r="E68" s="108">
        <f>IF('P11'!D19="","",'P11'!D19)</f>
        <v>33792</v>
      </c>
      <c r="F68" s="109" t="str">
        <f>IF('P11'!F19="","",'P11'!F19)</f>
        <v>Jonas Hetland Mong</v>
      </c>
      <c r="G68" s="109" t="str">
        <f>IF('P11'!G19="","",'P11'!G19)</f>
        <v>Vigrestad IK</v>
      </c>
      <c r="H68" s="110">
        <f>IF('P11'!N19=0,"",'P11'!N19)</f>
        <v>112</v>
      </c>
      <c r="I68" s="110">
        <f>IF('P11'!O19=0,"",'P11'!O19)</f>
        <v>130</v>
      </c>
      <c r="J68" s="110">
        <f>IF('P11'!P19=0,"",'P11'!P19)</f>
        <v>242</v>
      </c>
      <c r="K68" s="112">
        <f>IF('P11'!Q19=0,"",'P11'!Q19)</f>
        <v>290.4281350455653</v>
      </c>
    </row>
    <row r="69" spans="1:11" ht="15">
      <c r="A69" s="105">
        <v>23</v>
      </c>
      <c r="B69" s="106">
        <f>IF('P5'!A10="","",'P5'!A10)</f>
        <v>77</v>
      </c>
      <c r="C69" s="107">
        <f>IF('P5'!B10="","",'P5'!B10)</f>
        <v>76.64</v>
      </c>
      <c r="D69" s="106" t="str">
        <f>IF('P5'!C10="","",'P5'!C10)</f>
        <v>SM</v>
      </c>
      <c r="E69" s="108">
        <f>IF('P5'!D10="","",'P5'!D10)</f>
        <v>30139</v>
      </c>
      <c r="F69" s="109" t="str">
        <f>IF('P5'!F10="","",'P5'!F10)</f>
        <v>Jostein Frøyd</v>
      </c>
      <c r="G69" s="109" t="str">
        <f>IF('P5'!G10="","",'P5'!G10)</f>
        <v>Larvik AK</v>
      </c>
      <c r="H69" s="110">
        <f>IF('P5'!N10=0,"",'P5'!N10)</f>
        <v>100</v>
      </c>
      <c r="I69" s="110">
        <f>IF('P5'!O10=0,"",'P5'!O10)</f>
        <v>130</v>
      </c>
      <c r="J69" s="110">
        <f>IF('P5'!P10=0,"",'P5'!P10)</f>
        <v>230</v>
      </c>
      <c r="K69" s="111">
        <f>IF('P5'!Q10=0,"",'P5'!Q10)</f>
        <v>290.4087570245249</v>
      </c>
    </row>
    <row r="70" spans="1:11" ht="15">
      <c r="A70" s="105">
        <v>24</v>
      </c>
      <c r="B70" s="106">
        <f>IF('P14'!A18="","",'P14'!A18)</f>
        <v>105</v>
      </c>
      <c r="C70" s="107">
        <f>IF('P14'!B18="","",'P14'!B18)</f>
        <v>95.6</v>
      </c>
      <c r="D70" s="106" t="str">
        <f>IF('P14'!C18="","",'P14'!C18)</f>
        <v>SM</v>
      </c>
      <c r="E70" s="108">
        <f>IF('P14'!D18="","",'P14'!D18)</f>
        <v>31951</v>
      </c>
      <c r="F70" s="109" t="str">
        <f>IF('P14'!F18="","",'P14'!F18)</f>
        <v>Tor Kristoffer Klethagen</v>
      </c>
      <c r="G70" s="109" t="str">
        <f>IF('P14'!G18="","",'P14'!G18)</f>
        <v>Gjøvik AK</v>
      </c>
      <c r="H70" s="110">
        <f>IF('P14'!N18=0,"",'P14'!N18)</f>
        <v>121</v>
      </c>
      <c r="I70" s="110">
        <f>IF('P14'!O18=0,"",'P14'!O18)</f>
        <v>135</v>
      </c>
      <c r="J70" s="110">
        <f>IF('P14'!P18=0,"",'P14'!P18)</f>
        <v>256</v>
      </c>
      <c r="K70" s="112">
        <f>IF('P14'!Q18=0,"",'P14'!Q18)</f>
        <v>289.9892812947968</v>
      </c>
    </row>
    <row r="71" spans="1:11" ht="15">
      <c r="A71" s="105">
        <v>25</v>
      </c>
      <c r="B71" s="106">
        <f>IF('P11'!A18="","",'P11'!A18)</f>
        <v>85</v>
      </c>
      <c r="C71" s="107">
        <f>IF('P11'!B18="","",'P11'!B18)</f>
        <v>81.04</v>
      </c>
      <c r="D71" s="106" t="str">
        <f>IF('P11'!C18="","",'P11'!C18)</f>
        <v>M1</v>
      </c>
      <c r="E71" s="108">
        <f>IF('P11'!D18="","",'P11'!D18)</f>
        <v>28620</v>
      </c>
      <c r="F71" s="109" t="str">
        <f>IF('P11'!F18="","",'P11'!F18)</f>
        <v>Kristian Høyland</v>
      </c>
      <c r="G71" s="109" t="str">
        <f>IF('P11'!G18="","",'P11'!G18)</f>
        <v>Vigrestad IK</v>
      </c>
      <c r="H71" s="110">
        <f>IF('P11'!N18=0,"",'P11'!N18)</f>
        <v>105</v>
      </c>
      <c r="I71" s="110">
        <f>IF('P11'!O18=0,"",'P11'!O18)</f>
        <v>130</v>
      </c>
      <c r="J71" s="110">
        <f>IF('P11'!P18=0,"",'P11'!P18)</f>
        <v>235</v>
      </c>
      <c r="K71" s="112">
        <f>IF('P11'!Q18=0,"",'P11'!Q18)</f>
        <v>287.78180024680626</v>
      </c>
    </row>
    <row r="72" spans="1:11" ht="15">
      <c r="A72" s="105">
        <v>26</v>
      </c>
      <c r="B72" s="106">
        <f>IF('P11'!A11="","",'P11'!A11)</f>
        <v>85</v>
      </c>
      <c r="C72" s="107">
        <f>IF('P11'!B11="","",'P11'!B11)</f>
        <v>84.52</v>
      </c>
      <c r="D72" s="106" t="str">
        <f>IF('P11'!C11="","",'P11'!C11)</f>
        <v>SM</v>
      </c>
      <c r="E72" s="108">
        <f>IF('P11'!D11="","",'P11'!D11)</f>
        <v>34077</v>
      </c>
      <c r="F72" s="109" t="str">
        <f>IF('P11'!F11="","",'P11'!F11)</f>
        <v>Kevin Lund</v>
      </c>
      <c r="G72" s="109" t="str">
        <f>IF('P11'!G11="","",'P11'!G11)</f>
        <v>Hitra VK</v>
      </c>
      <c r="H72" s="110">
        <f>IF('P11'!N11=0,"",'P11'!N11)</f>
        <v>110</v>
      </c>
      <c r="I72" s="110">
        <f>IF('P11'!O11=0,"",'P11'!O11)</f>
        <v>130</v>
      </c>
      <c r="J72" s="110">
        <f>IF('P11'!P11=0,"",'P11'!P11)</f>
        <v>240</v>
      </c>
      <c r="K72" s="112">
        <f>IF('P11'!Q11=0,"",'P11'!Q11)</f>
        <v>287.6180673902696</v>
      </c>
    </row>
    <row r="73" spans="1:11" ht="15">
      <c r="A73" s="105">
        <v>27</v>
      </c>
      <c r="B73" s="106">
        <f>IF('P13'!A13="","",'P13'!A13)</f>
        <v>94</v>
      </c>
      <c r="C73" s="107">
        <f>IF('P13'!B13="","",'P13'!B13)</f>
        <v>92.68</v>
      </c>
      <c r="D73" s="106" t="str">
        <f>IF('P13'!C13="","",'P13'!C13)</f>
        <v>SM</v>
      </c>
      <c r="E73" s="108">
        <f>IF('P13'!D13="","",'P13'!D13)</f>
        <v>32848</v>
      </c>
      <c r="F73" s="109" t="str">
        <f>IF('P13'!F13="","",'P13'!F13)</f>
        <v>Jonas Fiskum Pedersen</v>
      </c>
      <c r="G73" s="109" t="str">
        <f>IF('P13'!G13="","",'P13'!G13)</f>
        <v>Grenland AK</v>
      </c>
      <c r="H73" s="110">
        <f>IF('P13'!N13=0,"",'P13'!N13)</f>
        <v>113</v>
      </c>
      <c r="I73" s="110">
        <f>IF('P13'!O13=0,"",'P13'!O13)</f>
        <v>136</v>
      </c>
      <c r="J73" s="110">
        <f>IF('P13'!P13=0,"",'P13'!P13)</f>
        <v>249</v>
      </c>
      <c r="K73" s="112">
        <f>IF('P13'!Q13=0,"",'P13'!Q13)</f>
        <v>285.8072200863656</v>
      </c>
    </row>
    <row r="74" spans="1:11" ht="15">
      <c r="A74" s="105">
        <v>28</v>
      </c>
      <c r="B74" s="106">
        <f>IF('P9'!A13="","",'P9'!A13)</f>
        <v>77</v>
      </c>
      <c r="C74" s="107">
        <f>IF('P9'!B13="","",'P9'!B13)</f>
        <v>76</v>
      </c>
      <c r="D74" s="106" t="str">
        <f>IF('P9'!C13="","",'P9'!C13)</f>
        <v>SM</v>
      </c>
      <c r="E74" s="108">
        <f>IF('P9'!D13="","",'P9'!D13)</f>
        <v>33722</v>
      </c>
      <c r="F74" s="109" t="str">
        <f>IF('P9'!F13="","",'P9'!F13)</f>
        <v>Henrik Walter Pettersen</v>
      </c>
      <c r="G74" s="109" t="str">
        <f>IF('P9'!G13="","",'P9'!G13)</f>
        <v>Spydeberg Atletene</v>
      </c>
      <c r="H74" s="110">
        <f>IF('P9'!N13=0,"",'P9'!N13)</f>
        <v>105</v>
      </c>
      <c r="I74" s="110">
        <f>IF('P9'!O13=0,"",'P9'!O13)</f>
        <v>120</v>
      </c>
      <c r="J74" s="110">
        <f>IF('P9'!P13=0,"",'P9'!P13)</f>
        <v>225</v>
      </c>
      <c r="K74" s="111">
        <f>IF('P9'!Q13=0,"",'P9'!Q13)</f>
        <v>285.4571571819932</v>
      </c>
    </row>
    <row r="75" spans="1:11" ht="15">
      <c r="A75" s="105">
        <v>29</v>
      </c>
      <c r="B75" s="106" t="str">
        <f>IF('P14'!A22="","",'P14'!A22)</f>
        <v>+105</v>
      </c>
      <c r="C75" s="107">
        <f>IF('P14'!B22="","",'P14'!B22)</f>
        <v>119.04</v>
      </c>
      <c r="D75" s="106" t="str">
        <f>IF('P14'!C22="","",'P14'!C22)</f>
        <v>SM</v>
      </c>
      <c r="E75" s="108">
        <f>IF('P14'!D22="","",'P14'!D22)</f>
        <v>32442</v>
      </c>
      <c r="F75" s="109" t="str">
        <f>IF('P14'!F22="","",'P14'!F22)</f>
        <v>Jon Peter Ueland</v>
      </c>
      <c r="G75" s="109" t="str">
        <f>IF('P14'!G22="","",'P14'!G22)</f>
        <v>Vigrestad IK</v>
      </c>
      <c r="H75" s="110">
        <f>IF('P14'!N22=0,"",'P14'!N22)</f>
        <v>121</v>
      </c>
      <c r="I75" s="110">
        <f>IF('P14'!O22=0,"",'P14'!O22)</f>
        <v>150</v>
      </c>
      <c r="J75" s="110">
        <f>IF('P14'!P22=0,"",'P14'!P22)</f>
        <v>271</v>
      </c>
      <c r="K75" s="112">
        <f>IF('P14'!Q22=0,"",'P14'!Q22)</f>
        <v>284.9806865140377</v>
      </c>
    </row>
    <row r="76" spans="1:11" ht="15">
      <c r="A76" s="105">
        <v>30</v>
      </c>
      <c r="B76" s="106" t="str">
        <f>IF('P4'!A18="","",'P4'!A18)</f>
        <v>+105</v>
      </c>
      <c r="C76" s="107">
        <f>IF('P4'!B18="","",'P4'!B18)</f>
        <v>115.96</v>
      </c>
      <c r="D76" s="106" t="str">
        <f>IF('P4'!C18="","",'P4'!C18)</f>
        <v>M2</v>
      </c>
      <c r="E76" s="108">
        <f>IF('P4'!D18="","",'P4'!D18)</f>
        <v>26048</v>
      </c>
      <c r="F76" s="109" t="str">
        <f>IF('P4'!F18="","",'P4'!F18)</f>
        <v>Geir Johansen</v>
      </c>
      <c r="G76" s="109" t="str">
        <f>IF('P4'!G18="","",'P4'!G18)</f>
        <v>Lenja AK</v>
      </c>
      <c r="H76" s="110">
        <f>IF('P4'!N18=0,"",'P4'!N18)</f>
        <v>116</v>
      </c>
      <c r="I76" s="110">
        <f>IF('P4'!O18=0,"",'P4'!O18)</f>
        <v>151</v>
      </c>
      <c r="J76" s="110">
        <f>IF('P4'!P18=0,"",'P4'!P18)</f>
        <v>267</v>
      </c>
      <c r="K76" s="111">
        <f>IF('P4'!Q18=0,"",'P4'!Q18)</f>
        <v>282.7872650549261</v>
      </c>
    </row>
    <row r="77" spans="1:11" ht="15">
      <c r="A77" s="105">
        <v>31</v>
      </c>
      <c r="B77" s="106">
        <f>IF('P7'!A10="","",'P7'!A10)</f>
        <v>69</v>
      </c>
      <c r="C77" s="107">
        <f>IF('P7'!B10="","",'P7'!B10)</f>
        <v>69</v>
      </c>
      <c r="D77" s="106" t="str">
        <f>IF('P7'!C10="","",'P7'!C10)</f>
        <v>UM</v>
      </c>
      <c r="E77" s="108">
        <f>IF('P7'!D10="","",'P7'!D10)</f>
        <v>36192</v>
      </c>
      <c r="F77" s="109" t="str">
        <f>IF('P7'!F10="","",'P7'!F10)</f>
        <v>Eskil Andersen</v>
      </c>
      <c r="G77" s="109" t="str">
        <f>IF('P7'!G10="","",'P7'!G10)</f>
        <v>Stavanger VK</v>
      </c>
      <c r="H77" s="110">
        <f>IF('P7'!N10=0,"",'P7'!N10)</f>
        <v>98</v>
      </c>
      <c r="I77" s="110">
        <f>IF('P7'!O10=0,"",'P7'!O10)</f>
        <v>112</v>
      </c>
      <c r="J77" s="110">
        <f>IF('P7'!P10=0,"",'P7'!P10)</f>
        <v>210</v>
      </c>
      <c r="K77" s="111">
        <f>IF('P7'!Q10=0,"",'P7'!Q10)</f>
        <v>282.50450623745917</v>
      </c>
    </row>
    <row r="78" spans="1:11" ht="15">
      <c r="A78" s="105">
        <v>32</v>
      </c>
      <c r="B78" s="106">
        <f>IF('P4'!A16="","",'P4'!A16)</f>
        <v>94</v>
      </c>
      <c r="C78" s="107">
        <f>IF('P4'!B16="","",'P4'!B16)</f>
        <v>93</v>
      </c>
      <c r="D78" s="106" t="str">
        <f>IF('P4'!C16="","",'P4'!C16)</f>
        <v>M2</v>
      </c>
      <c r="E78" s="108">
        <f>IF('P4'!D16="","",'P4'!D16)</f>
        <v>26566</v>
      </c>
      <c r="F78" s="109" t="str">
        <f>IF('P4'!F16="","",'P4'!F16)</f>
        <v>Jarle Hammersvik</v>
      </c>
      <c r="G78" s="109" t="str">
        <f>IF('P4'!G16="","",'P4'!G16)</f>
        <v>Haugesund VK</v>
      </c>
      <c r="H78" s="110">
        <f>IF('P4'!N16=0,"",'P4'!N16)</f>
        <v>105</v>
      </c>
      <c r="I78" s="110">
        <f>IF('P4'!O16=0,"",'P4'!O16)</f>
        <v>140</v>
      </c>
      <c r="J78" s="110">
        <f>IF('P4'!P16=0,"",'P4'!P16)</f>
        <v>245</v>
      </c>
      <c r="K78" s="111">
        <f>IF('P4'!Q16=0,"",'P4'!Q16)</f>
        <v>280.79463033506863</v>
      </c>
    </row>
    <row r="79" spans="1:11" ht="15">
      <c r="A79" s="105">
        <v>33</v>
      </c>
      <c r="B79" s="106">
        <f>IF('P9'!A9="","",'P9'!A9)</f>
        <v>77</v>
      </c>
      <c r="C79" s="107">
        <f>IF('P9'!B9="","",'P9'!B9)</f>
        <v>76.12</v>
      </c>
      <c r="D79" s="106" t="str">
        <f>IF('P9'!C9="","",'P9'!C9)</f>
        <v>JM</v>
      </c>
      <c r="E79" s="108">
        <f>IF('P9'!D9="","",'P9'!D9)</f>
        <v>35355</v>
      </c>
      <c r="F79" s="109" t="str">
        <f>IF('P9'!F9="","",'P9'!F9)</f>
        <v>Jo-Magne Rønning Elden</v>
      </c>
      <c r="G79" s="109" t="str">
        <f>IF('P9'!G9="","",'P9'!G9)</f>
        <v>Nidelv IL</v>
      </c>
      <c r="H79" s="110">
        <f>IF('P9'!N9=0,"",'P9'!N9)</f>
        <v>100</v>
      </c>
      <c r="I79" s="110">
        <f>IF('P9'!O9=0,"",'P9'!O9)</f>
        <v>120</v>
      </c>
      <c r="J79" s="110">
        <f>IF('P9'!P9=0,"",'P9'!P9)</f>
        <v>220</v>
      </c>
      <c r="K79" s="111">
        <f>IF('P9'!Q9=0,"",'P9'!Q9)</f>
        <v>278.86166023405457</v>
      </c>
    </row>
    <row r="80" spans="1:11" ht="15">
      <c r="A80" s="105">
        <v>34</v>
      </c>
      <c r="B80" s="106">
        <f>IF('P14'!A17="","",'P14'!A17)</f>
        <v>105</v>
      </c>
      <c r="C80" s="107">
        <f>IF('P14'!B17="","",'P14'!B17)</f>
        <v>97.3</v>
      </c>
      <c r="D80" s="106" t="str">
        <f>IF('P14'!C17="","",'P14'!C17)</f>
        <v>M4</v>
      </c>
      <c r="E80" s="108">
        <f>IF('P14'!D17="","",'P14'!D17)</f>
        <v>24011</v>
      </c>
      <c r="F80" s="109" t="str">
        <f>IF('P14'!F17="","",'P14'!F17)</f>
        <v>Alexander Bahmanyar</v>
      </c>
      <c r="G80" s="109" t="str">
        <f>IF('P14'!G17="","",'P14'!G17)</f>
        <v>Spydeberg Atletene</v>
      </c>
      <c r="H80" s="110">
        <f>IF('P14'!N17=0,"",'P14'!N17)</f>
        <v>105</v>
      </c>
      <c r="I80" s="110">
        <f>IF('P14'!O17=0,"",'P14'!O17)</f>
        <v>141</v>
      </c>
      <c r="J80" s="110">
        <f>IF('P14'!P17=0,"",'P14'!P17)</f>
        <v>246</v>
      </c>
      <c r="K80" s="112">
        <f>IF('P14'!Q17=0,"",'P14'!Q17)</f>
        <v>276.66142399201357</v>
      </c>
    </row>
    <row r="81" spans="1:11" ht="15">
      <c r="A81" s="105">
        <v>35</v>
      </c>
      <c r="B81" s="106">
        <f>IF('P11'!A12="","",'P11'!A12)</f>
        <v>85</v>
      </c>
      <c r="C81" s="107">
        <f>IF('P11'!B12="","",'P11'!B12)</f>
        <v>82.16</v>
      </c>
      <c r="D81" s="106" t="str">
        <f>IF('P11'!C12="","",'P11'!C12)</f>
        <v>SM</v>
      </c>
      <c r="E81" s="108">
        <f>IF('P11'!D12="","",'P11'!D12)</f>
        <v>32516</v>
      </c>
      <c r="F81" s="109" t="str">
        <f>IF('P11'!F12="","",'P11'!F12)</f>
        <v>Anders Albert</v>
      </c>
      <c r="G81" s="109" t="str">
        <f>IF('P11'!G12="","",'P11'!G12)</f>
        <v>Nidelv IL</v>
      </c>
      <c r="H81" s="110">
        <f>IF('P11'!N12=0,"",'P11'!N12)</f>
        <v>96</v>
      </c>
      <c r="I81" s="110">
        <f>IF('P11'!O12=0,"",'P11'!O12)</f>
        <v>130</v>
      </c>
      <c r="J81" s="110">
        <f>IF('P11'!P12=0,"",'P11'!P12)</f>
        <v>226</v>
      </c>
      <c r="K81" s="112">
        <f>IF('P11'!Q12=0,"",'P11'!Q12)</f>
        <v>274.7768371849296</v>
      </c>
    </row>
    <row r="82" spans="1:11" ht="15">
      <c r="A82" s="105">
        <v>36</v>
      </c>
      <c r="B82" s="106">
        <f>IF('P13'!A12="","",'P13'!A12)</f>
        <v>94</v>
      </c>
      <c r="C82" s="107">
        <f>IF('P13'!B12="","",'P13'!B12)</f>
        <v>86.82</v>
      </c>
      <c r="D82" s="106" t="str">
        <f>IF('P13'!C12="","",'P13'!C12)</f>
        <v>SM</v>
      </c>
      <c r="E82" s="108">
        <f>IF('P13'!D12="","",'P13'!D12)</f>
        <v>32990</v>
      </c>
      <c r="F82" s="109" t="str">
        <f>IF('P13'!F12="","",'P13'!F12)</f>
        <v>Dag Aleksander Klethagen</v>
      </c>
      <c r="G82" s="109" t="str">
        <f>IF('P13'!G12="","",'P13'!G12)</f>
        <v>Gjøvik AK</v>
      </c>
      <c r="H82" s="110">
        <f>IF('P13'!N12=0,"",'P13'!N12)</f>
        <v>102</v>
      </c>
      <c r="I82" s="110">
        <f>IF('P13'!O12=0,"",'P13'!O12)</f>
        <v>130</v>
      </c>
      <c r="J82" s="110">
        <f>IF('P13'!P12=0,"",'P13'!P12)</f>
        <v>232</v>
      </c>
      <c r="K82" s="112">
        <f>IF('P13'!Q12=0,"",'P13'!Q12)</f>
        <v>274.39332411762956</v>
      </c>
    </row>
    <row r="83" spans="1:11" ht="15">
      <c r="A83" s="105">
        <v>37</v>
      </c>
      <c r="B83" s="106">
        <f>IF('P11'!A13="","",'P11'!A13)</f>
        <v>85</v>
      </c>
      <c r="C83" s="107">
        <f>IF('P11'!B13="","",'P11'!B13)</f>
        <v>83.7</v>
      </c>
      <c r="D83" s="106" t="str">
        <f>IF('P11'!C13="","",'P11'!C13)</f>
        <v>SM</v>
      </c>
      <c r="E83" s="108">
        <f>IF('P11'!D13="","",'P11'!D13)</f>
        <v>31742</v>
      </c>
      <c r="F83" s="109" t="str">
        <f>IF('P11'!F13="","",'P11'!F13)</f>
        <v>Morten Almås</v>
      </c>
      <c r="G83" s="109" t="str">
        <f>IF('P11'!G13="","",'P11'!G13)</f>
        <v>Nidelv IL</v>
      </c>
      <c r="H83" s="110">
        <f>IF('P11'!N13=0,"",'P11'!N13)</f>
        <v>102</v>
      </c>
      <c r="I83" s="110">
        <f>IF('P11'!O13=0,"",'P11'!O13)</f>
        <v>125</v>
      </c>
      <c r="J83" s="110">
        <f>IF('P11'!P13=0,"",'P11'!P13)</f>
        <v>227</v>
      </c>
      <c r="K83" s="112">
        <f>IF('P11'!Q13=0,"",'P11'!Q13)</f>
        <v>273.3764038783042</v>
      </c>
    </row>
    <row r="84" spans="1:11" ht="15">
      <c r="A84" s="105">
        <v>38</v>
      </c>
      <c r="B84" s="106">
        <f>IF('P9'!A11="","",'P9'!A11)</f>
        <v>77</v>
      </c>
      <c r="C84" s="107">
        <f>IF('P9'!B11="","",'P9'!B11)</f>
        <v>75.8</v>
      </c>
      <c r="D84" s="106" t="str">
        <f>IF('P9'!C11="","",'P9'!C11)</f>
        <v>SM</v>
      </c>
      <c r="E84" s="108">
        <f>IF('P9'!D11="","",'P9'!D11)</f>
        <v>33034</v>
      </c>
      <c r="F84" s="109" t="str">
        <f>IF('P9'!F11="","",'P9'!F11)</f>
        <v>Torstein Dæhlin</v>
      </c>
      <c r="G84" s="109" t="str">
        <f>IF('P9'!G11="","",'P9'!G11)</f>
        <v>Gjøvik AK</v>
      </c>
      <c r="H84" s="110">
        <f>IF('P9'!N11=0,"",'P9'!N11)</f>
        <v>95</v>
      </c>
      <c r="I84" s="110">
        <f>IF('P9'!O11=0,"",'P9'!O11)</f>
        <v>120</v>
      </c>
      <c r="J84" s="110">
        <f>IF('P9'!P11=0,"",'P9'!P11)</f>
        <v>215</v>
      </c>
      <c r="K84" s="111">
        <f>IF('P9'!Q11=0,"",'P9'!Q11)</f>
        <v>273.1830423758698</v>
      </c>
    </row>
    <row r="85" spans="1:11" ht="15">
      <c r="A85" s="105">
        <v>39</v>
      </c>
      <c r="B85" s="106">
        <f>IF('P11'!A9="","",'P11'!A9)</f>
        <v>85</v>
      </c>
      <c r="C85" s="107">
        <f>IF('P11'!B9="","",'P11'!B9)</f>
        <v>83.2</v>
      </c>
      <c r="D85" s="106" t="str">
        <f>IF('P11'!C9="","",'P11'!C9)</f>
        <v>JM</v>
      </c>
      <c r="E85" s="108">
        <f>IF('P11'!D9="","",'P11'!D9)</f>
        <v>34899</v>
      </c>
      <c r="F85" s="109" t="str">
        <f>IF('P11'!F9="","",'P11'!F9)</f>
        <v>Mats Olsen</v>
      </c>
      <c r="G85" s="109" t="str">
        <f>IF('P11'!G9="","",'P11'!G9)</f>
        <v>Grenland AK</v>
      </c>
      <c r="H85" s="110">
        <f>IF('P11'!N9=0,"",'P11'!N9)</f>
        <v>98</v>
      </c>
      <c r="I85" s="110">
        <f>IF('P11'!O9=0,"",'P11'!O9)</f>
        <v>128</v>
      </c>
      <c r="J85" s="110">
        <f>IF('P11'!P9=0,"",'P11'!P9)</f>
        <v>226</v>
      </c>
      <c r="K85" s="112">
        <f>IF('P11'!Q9=0,"",'P11'!Q9)</f>
        <v>273.002696447375</v>
      </c>
    </row>
    <row r="86" spans="1:11" ht="15">
      <c r="A86" s="105">
        <v>40</v>
      </c>
      <c r="B86" s="106">
        <f>IF('P13'!A10="","",'P13'!A10)</f>
        <v>94</v>
      </c>
      <c r="C86" s="107">
        <f>IF('P13'!B10="","",'P13'!B10)</f>
        <v>89.35</v>
      </c>
      <c r="D86" s="106" t="str">
        <f>IF('P13'!C10="","",'P13'!C10)</f>
        <v>SM</v>
      </c>
      <c r="E86" s="108">
        <f>IF('P13'!D10="","",'P13'!D10)</f>
        <v>31033</v>
      </c>
      <c r="F86" s="109" t="str">
        <f>IF('P13'!F10="","",'P13'!F10)</f>
        <v>Lubomir Kafonek</v>
      </c>
      <c r="G86" s="109" t="str">
        <f>IF('P13'!G10="","",'P13'!G10)</f>
        <v>Trondheim AK</v>
      </c>
      <c r="H86" s="110">
        <f>IF('P13'!N10=0,"",'P13'!N10)</f>
        <v>105</v>
      </c>
      <c r="I86" s="110">
        <f>IF('P13'!O10=0,"",'P13'!O10)</f>
        <v>125</v>
      </c>
      <c r="J86" s="110">
        <f>IF('P13'!P10=0,"",'P13'!P10)</f>
        <v>230</v>
      </c>
      <c r="K86" s="112">
        <f>IF('P13'!Q10=0,"",'P13'!Q10)</f>
        <v>268.3698281499808</v>
      </c>
    </row>
    <row r="87" spans="1:11" ht="15">
      <c r="A87" s="105">
        <v>41</v>
      </c>
      <c r="B87" s="106">
        <f>IF('P14'!A14="","",'P14'!A14)</f>
        <v>105</v>
      </c>
      <c r="C87" s="107">
        <f>IF('P14'!B14="","",'P14'!B14)</f>
        <v>99.9</v>
      </c>
      <c r="D87" s="106" t="str">
        <f>IF('P14'!C14="","",'P14'!C14)</f>
        <v>SM</v>
      </c>
      <c r="E87" s="108">
        <f>IF('P14'!D14="","",'P14'!D14)</f>
        <v>32405</v>
      </c>
      <c r="F87" s="109" t="str">
        <f>IF('P14'!F14="","",'P14'!F14)</f>
        <v>Lars Joachim Nilsen</v>
      </c>
      <c r="G87" s="109" t="str">
        <f>IF('P14'!G14="","",'P14'!G14)</f>
        <v>T &amp; IL National</v>
      </c>
      <c r="H87" s="110">
        <f>IF('P14'!N14=0,"",'P14'!N14)</f>
        <v>106</v>
      </c>
      <c r="I87" s="110">
        <f>IF('P14'!O14=0,"",'P14'!O14)</f>
        <v>133</v>
      </c>
      <c r="J87" s="110">
        <f>IF('P14'!P14=0,"",'P14'!P14)</f>
        <v>239</v>
      </c>
      <c r="K87" s="112">
        <f>IF('P14'!Q14=0,"",'P14'!Q14)</f>
        <v>266.01411555732983</v>
      </c>
    </row>
    <row r="88" spans="1:11" ht="15">
      <c r="A88" s="105">
        <v>42</v>
      </c>
      <c r="B88" s="106">
        <f>IF('P14'!A16="","",'P14'!A16)</f>
        <v>105</v>
      </c>
      <c r="C88" s="107">
        <f>IF('P14'!B16="","",'P14'!B16)</f>
        <v>96.72</v>
      </c>
      <c r="D88" s="106" t="str">
        <f>IF('P14'!C16="","",'P14'!C16)</f>
        <v>M2</v>
      </c>
      <c r="E88" s="108">
        <f>IF('P14'!D16="","",'P14'!D16)</f>
        <v>26790</v>
      </c>
      <c r="F88" s="109" t="str">
        <f>IF('P14'!F16="","",'P14'!F16)</f>
        <v>Ronny Fevåg</v>
      </c>
      <c r="G88" s="109" t="str">
        <f>IF('P14'!G16="","",'P14'!G16)</f>
        <v>Trondheim AK</v>
      </c>
      <c r="H88" s="110">
        <f>IF('P14'!N16=0,"",'P14'!N16)</f>
        <v>105</v>
      </c>
      <c r="I88" s="110">
        <f>IF('P14'!O16=0,"",'P14'!O16)</f>
        <v>130</v>
      </c>
      <c r="J88" s="110">
        <f>IF('P14'!P16=0,"",'P14'!P16)</f>
        <v>235</v>
      </c>
      <c r="K88" s="112">
        <f>IF('P14'!Q16=0,"",'P14'!Q16)</f>
        <v>264.9305905200904</v>
      </c>
    </row>
    <row r="89" spans="1:11" ht="15">
      <c r="A89" s="105">
        <v>43</v>
      </c>
      <c r="B89" s="106">
        <f>IF('P14'!A9="","",'P14'!A9)</f>
        <v>105</v>
      </c>
      <c r="C89" s="107">
        <f>IF('P14'!B9="","",'P14'!B9)</f>
        <v>102.4</v>
      </c>
      <c r="D89" s="106" t="str">
        <f>IF('P14'!C9="","",'P14'!C9)</f>
        <v>JM</v>
      </c>
      <c r="E89" s="108">
        <f>IF('P14'!D9="","",'P14'!D9)</f>
        <v>34852</v>
      </c>
      <c r="F89" s="109" t="str">
        <f>IF('P14'!F9="","",'P14'!F9)</f>
        <v>Hans Magnus Kleven</v>
      </c>
      <c r="G89" s="109" t="str">
        <f>IF('P14'!G9="","",'P14'!G9)</f>
        <v>Spydeberg Atletene</v>
      </c>
      <c r="H89" s="110">
        <f>IF('P14'!N9=0,"",'P14'!N9)</f>
        <v>110</v>
      </c>
      <c r="I89" s="110">
        <f>IF('P14'!O9=0,"",'P14'!O9)</f>
        <v>130</v>
      </c>
      <c r="J89" s="110">
        <f>IF('P14'!P9=0,"",'P14'!P9)</f>
        <v>240</v>
      </c>
      <c r="K89" s="112">
        <f>IF('P14'!Q9=0,"",'P14'!Q9)</f>
        <v>264.6568282578996</v>
      </c>
    </row>
    <row r="90" spans="1:11" ht="15">
      <c r="A90" s="105">
        <v>44</v>
      </c>
      <c r="B90" s="106">
        <f>IF('P9'!A10="","",'P9'!A10)</f>
        <v>77</v>
      </c>
      <c r="C90" s="107">
        <f>IF('P9'!B10="","",'P9'!B10)</f>
        <v>76.38</v>
      </c>
      <c r="D90" s="106" t="str">
        <f>IF('P9'!C10="","",'P9'!C10)</f>
        <v>SM</v>
      </c>
      <c r="E90" s="108">
        <f>IF('P9'!D10="","",'P9'!D10)</f>
        <v>32155</v>
      </c>
      <c r="F90" s="109" t="str">
        <f>IF('P9'!F10="","",'P9'!F10)</f>
        <v>Erik Carlsen Kjørselvik</v>
      </c>
      <c r="G90" s="109" t="str">
        <f>IF('P9'!G10="","",'P9'!G10)</f>
        <v>Trondheim AK</v>
      </c>
      <c r="H90" s="110">
        <f>IF('P9'!N10=0,"",'P9'!N10)</f>
        <v>94</v>
      </c>
      <c r="I90" s="110">
        <f>IF('P9'!O10=0,"",'P9'!O10)</f>
        <v>115</v>
      </c>
      <c r="J90" s="110">
        <f>IF('P9'!P10=0,"",'P9'!P10)</f>
        <v>209</v>
      </c>
      <c r="K90" s="111">
        <f>IF('P9'!Q10=0,"",'P9'!Q10)</f>
        <v>264.40344937558206</v>
      </c>
    </row>
    <row r="91" spans="1:11" ht="15">
      <c r="A91" s="105">
        <v>45</v>
      </c>
      <c r="B91" s="106">
        <f>IF('P5'!A12="","",'P5'!A12)</f>
        <v>77</v>
      </c>
      <c r="C91" s="107">
        <f>IF('P5'!B12="","",'P5'!B12)</f>
        <v>76.42</v>
      </c>
      <c r="D91" s="106" t="str">
        <f>IF('P5'!C12="","",'P5'!C12)</f>
        <v>SM</v>
      </c>
      <c r="E91" s="108">
        <f>IF('P5'!D12="","",'P5'!D12)</f>
        <v>33053</v>
      </c>
      <c r="F91" s="109" t="str">
        <f>IF('P5'!F12="","",'P5'!F12)</f>
        <v>Marius Eliassen</v>
      </c>
      <c r="G91" s="109" t="str">
        <f>IF('P5'!G12="","",'P5'!G12)</f>
        <v>Spydeberg Atletene</v>
      </c>
      <c r="H91" s="110">
        <f>IF('P5'!N12=0,"",'P5'!N12)</f>
        <v>94</v>
      </c>
      <c r="I91" s="110">
        <f>IF('P5'!O12=0,"",'P5'!O12)</f>
        <v>115</v>
      </c>
      <c r="J91" s="110">
        <f>IF('P5'!P12=0,"",'P5'!P12)</f>
        <v>209</v>
      </c>
      <c r="K91" s="111">
        <f>IF('P5'!Q12=0,"",'P5'!Q12)</f>
        <v>264.32463115404755</v>
      </c>
    </row>
    <row r="92" spans="1:11" ht="15">
      <c r="A92" s="105">
        <v>46</v>
      </c>
      <c r="B92" s="106">
        <f>IF('P7'!A14="","",'P7'!A14)</f>
        <v>69</v>
      </c>
      <c r="C92" s="107">
        <f>IF('P7'!B14="","",'P7'!B14)</f>
        <v>67.52</v>
      </c>
      <c r="D92" s="106" t="str">
        <f>IF('P7'!C14="","",'P7'!C14)</f>
        <v>SM</v>
      </c>
      <c r="E92" s="108">
        <f>IF('P7'!D14="","",'P7'!D14)</f>
        <v>32605</v>
      </c>
      <c r="F92" s="109" t="str">
        <f>IF('P7'!F14="","",'P7'!F14)</f>
        <v>Ole Martin Aas</v>
      </c>
      <c r="G92" s="109" t="str">
        <f>IF('P7'!G14="","",'P7'!G14)</f>
        <v>T &amp; IL National</v>
      </c>
      <c r="H92" s="110">
        <f>IF('P7'!N14=0,"",'P7'!N14)</f>
        <v>88</v>
      </c>
      <c r="I92" s="110">
        <f>IF('P7'!O14=0,"",'P7'!O14)</f>
        <v>105</v>
      </c>
      <c r="J92" s="110">
        <f>IF('P7'!P14=0,"",'P7'!P14)</f>
        <v>193</v>
      </c>
      <c r="K92" s="111">
        <f>IF('P7'!Q14=0,"",'P7'!Q14)</f>
        <v>263.3043804105355</v>
      </c>
    </row>
    <row r="93" spans="1:11" ht="15">
      <c r="A93" s="105">
        <v>47</v>
      </c>
      <c r="B93" s="106">
        <f>IF('P5'!A15="","",'P5'!A15)</f>
        <v>77</v>
      </c>
      <c r="C93" s="107">
        <f>IF('P5'!B15="","",'P5'!B15)</f>
        <v>76.56</v>
      </c>
      <c r="D93" s="106" t="str">
        <f>IF('P5'!C15="","",'P5'!C15)</f>
        <v>SM</v>
      </c>
      <c r="E93" s="108">
        <f>IF('P5'!D15="","",'P5'!D15)</f>
        <v>31489</v>
      </c>
      <c r="F93" s="109" t="str">
        <f>IF('P5'!F15="","",'P5'!F15)</f>
        <v>Torje Bragstad Venseth</v>
      </c>
      <c r="G93" s="109" t="str">
        <f>IF('P5'!G15="","",'P5'!G15)</f>
        <v>Nidelv IL</v>
      </c>
      <c r="H93" s="110">
        <f>IF('P5'!N15=0,"",'P5'!N15)</f>
        <v>92</v>
      </c>
      <c r="I93" s="110">
        <f>IF('P5'!O15=0,"",'P5'!O15)</f>
        <v>115</v>
      </c>
      <c r="J93" s="110">
        <f>IF('P5'!P15=0,"",'P5'!P15)</f>
        <v>207</v>
      </c>
      <c r="K93" s="111">
        <f>IF('P5'!Q15=0,"",'P5'!Q15)</f>
        <v>261.5228778569286</v>
      </c>
    </row>
    <row r="94" spans="1:11" ht="15">
      <c r="A94" s="105">
        <v>48</v>
      </c>
      <c r="B94" s="106">
        <f>IF('P5'!A14="","",'P5'!A14)</f>
        <v>77</v>
      </c>
      <c r="C94" s="107">
        <f>IF('P5'!B14="","",'P5'!B14)</f>
        <v>75.74</v>
      </c>
      <c r="D94" s="106" t="str">
        <f>IF('P5'!C14="","",'P5'!C14)</f>
        <v>SM</v>
      </c>
      <c r="E94" s="108">
        <f>IF('P5'!D14="","",'P5'!D14)</f>
        <v>33055</v>
      </c>
      <c r="F94" s="109" t="str">
        <f>IF('P5'!F14="","",'P5'!F14)</f>
        <v>Raymond Toft</v>
      </c>
      <c r="G94" s="109" t="str">
        <f>IF('P5'!G14="","",'P5'!G14)</f>
        <v>Trondheim AK</v>
      </c>
      <c r="H94" s="110">
        <f>IF('P5'!N14=0,"",'P5'!N14)</f>
        <v>90</v>
      </c>
      <c r="I94" s="110">
        <f>IF('P5'!O14=0,"",'P5'!O14)</f>
        <v>115</v>
      </c>
      <c r="J94" s="110">
        <f>IF('P5'!P14=0,"",'P5'!P14)</f>
        <v>205</v>
      </c>
      <c r="K94" s="111">
        <f>IF('P5'!Q14=0,"",'P5'!Q14)</f>
        <v>260.5955172944578</v>
      </c>
    </row>
    <row r="95" spans="1:11" ht="15">
      <c r="A95" s="105">
        <v>49</v>
      </c>
      <c r="B95" s="106">
        <f>IF('P4'!A13="","",'P4'!A13)</f>
        <v>85</v>
      </c>
      <c r="C95" s="107">
        <f>IF('P4'!B13="","",'P4'!B13)</f>
        <v>81.98</v>
      </c>
      <c r="D95" s="106" t="str">
        <f>IF('P4'!C13="","",'P4'!C13)</f>
        <v>M1</v>
      </c>
      <c r="E95" s="108">
        <f>IF('P4'!D13="","",'P4'!D13)</f>
        <v>29147</v>
      </c>
      <c r="F95" s="109" t="str">
        <f>IF('P4'!F13="","",'P4'!F13)</f>
        <v>Ole Marius Hovdum</v>
      </c>
      <c r="G95" s="109" t="str">
        <f>IF('P4'!G13="","",'P4'!G13)</f>
        <v>T &amp; IL National</v>
      </c>
      <c r="H95" s="110">
        <f>IF('P4'!N13=0,"",'P4'!N13)</f>
        <v>95</v>
      </c>
      <c r="I95" s="110">
        <f>IF('P4'!O13=0,"",'P4'!O13)</f>
        <v>119</v>
      </c>
      <c r="J95" s="110">
        <f>IF('P4'!P13=0,"",'P4'!P13)</f>
        <v>214</v>
      </c>
      <c r="K95" s="111">
        <f>IF('P4'!Q13=0,"",'P4'!Q13)</f>
        <v>260.4838597687492</v>
      </c>
    </row>
    <row r="96" spans="1:11" ht="15">
      <c r="A96" s="105">
        <v>50</v>
      </c>
      <c r="B96" s="106">
        <f>IF('P11'!A17="","",'P11'!A17)</f>
        <v>85</v>
      </c>
      <c r="C96" s="107">
        <f>IF('P11'!B17="","",'P11'!B17)</f>
        <v>83.26</v>
      </c>
      <c r="D96" s="106" t="str">
        <f>IF('P11'!C17="","",'P11'!C17)</f>
        <v>M4</v>
      </c>
      <c r="E96" s="108">
        <f>IF('P11'!D17="","",'P11'!D17)</f>
        <v>23084</v>
      </c>
      <c r="F96" s="109" t="str">
        <f>IF('P11'!F17="","",'P11'!F17)</f>
        <v>Bjørnar Olsen</v>
      </c>
      <c r="G96" s="109" t="str">
        <f>IF('P11'!G17="","",'P11'!G17)</f>
        <v>Grenland AK</v>
      </c>
      <c r="H96" s="110">
        <f>IF('P11'!N17=0,"",'P11'!N17)</f>
        <v>98</v>
      </c>
      <c r="I96" s="110">
        <f>IF('P11'!O17=0,"",'P11'!O17)</f>
        <v>117</v>
      </c>
      <c r="J96" s="110">
        <f>IF('P11'!P17=0,"",'P11'!P17)</f>
        <v>215</v>
      </c>
      <c r="K96" s="112">
        <f>IF('P11'!Q17=0,"",'P11'!Q17)</f>
        <v>259.619416437016</v>
      </c>
    </row>
    <row r="97" spans="1:11" ht="15">
      <c r="A97" s="105">
        <v>51</v>
      </c>
      <c r="B97" s="106">
        <f>IF('P14'!A12="","",'P14'!A12)</f>
        <v>105</v>
      </c>
      <c r="C97" s="107">
        <f>IF('P14'!B12="","",'P14'!B12)</f>
        <v>98.9</v>
      </c>
      <c r="D97" s="106" t="str">
        <f>IF('P14'!C12="","",'P14'!C12)</f>
        <v>SM</v>
      </c>
      <c r="E97" s="108">
        <f>IF('P14'!D12="","",'P14'!D12)</f>
        <v>32943</v>
      </c>
      <c r="F97" s="109" t="str">
        <f>IF('P14'!F12="","",'P14'!F12)</f>
        <v>Bjørn-Arild Masvik</v>
      </c>
      <c r="G97" s="109" t="str">
        <f>IF('P14'!G12="","",'P14'!G12)</f>
        <v>Nidelv IL</v>
      </c>
      <c r="H97" s="110">
        <f>IF('P14'!N12=0,"",'P14'!N12)</f>
        <v>105</v>
      </c>
      <c r="I97" s="110">
        <f>IF('P14'!O12=0,"",'P14'!O12)</f>
        <v>127</v>
      </c>
      <c r="J97" s="110">
        <f>IF('P14'!P12=0,"",'P14'!P12)</f>
        <v>232</v>
      </c>
      <c r="K97" s="112">
        <f>IF('P14'!Q12=0,"",'P14'!Q12)</f>
        <v>259.23253073633407</v>
      </c>
    </row>
    <row r="98" spans="1:11" ht="15">
      <c r="A98" s="105">
        <v>52</v>
      </c>
      <c r="B98" s="106">
        <f>IF('P14'!A11="","",'P14'!A11)</f>
        <v>105</v>
      </c>
      <c r="C98" s="107">
        <f>IF('P14'!B11="","",'P14'!B11)</f>
        <v>103.93</v>
      </c>
      <c r="D98" s="106" t="str">
        <f>IF('P14'!C11="","",'P14'!C11)</f>
        <v>JM</v>
      </c>
      <c r="E98" s="108">
        <f>IF('P14'!D11="","",'P14'!D11)</f>
        <v>35434</v>
      </c>
      <c r="F98" s="109" t="str">
        <f>IF('P14'!F11="","",'P14'!F11)</f>
        <v>Ole Magnus Strand</v>
      </c>
      <c r="G98" s="109" t="str">
        <f>IF('P14'!G11="","",'P14'!G11)</f>
        <v>Hitra VK</v>
      </c>
      <c r="H98" s="110">
        <f>IF('P14'!N11=0,"",'P14'!N11)</f>
        <v>105</v>
      </c>
      <c r="I98" s="110">
        <f>IF('P14'!O11=0,"",'P14'!O11)</f>
        <v>130</v>
      </c>
      <c r="J98" s="110">
        <f>IF('P14'!P11=0,"",'P14'!P11)</f>
        <v>235</v>
      </c>
      <c r="K98" s="112">
        <f>IF('P14'!Q11=0,"",'P14'!Q11)</f>
        <v>257.75466874157604</v>
      </c>
    </row>
    <row r="99" spans="1:11" ht="15">
      <c r="A99" s="105">
        <v>53</v>
      </c>
      <c r="B99" s="106">
        <f>IF('P13'!A15="","",'P13'!A15)</f>
        <v>94</v>
      </c>
      <c r="C99" s="107">
        <f>IF('P13'!B15="","",'P13'!B15)</f>
        <v>87.4</v>
      </c>
      <c r="D99" s="106" t="str">
        <f>IF('P13'!C15="","",'P13'!C15)</f>
        <v>SM</v>
      </c>
      <c r="E99" s="108">
        <f>IF('P13'!D15="","",'P13'!D15)</f>
        <v>32829</v>
      </c>
      <c r="F99" s="109" t="str">
        <f>IF('P13'!F15="","",'P13'!F15)</f>
        <v>Bjørnar Wold</v>
      </c>
      <c r="G99" s="109" t="str">
        <f>IF('P13'!G15="","",'P13'!G15)</f>
        <v>Spydeberg Atletene</v>
      </c>
      <c r="H99" s="110">
        <f>IF('P13'!N15=0,"",'P13'!N15)</f>
        <v>97</v>
      </c>
      <c r="I99" s="110">
        <f>IF('P13'!O15=0,"",'P13'!O15)</f>
        <v>120</v>
      </c>
      <c r="J99" s="110">
        <f>IF('P13'!P15=0,"",'P13'!P15)</f>
        <v>217</v>
      </c>
      <c r="K99" s="112">
        <f>IF('P13'!Q15=0,"",'P13'!Q15)</f>
        <v>255.83523808624489</v>
      </c>
    </row>
    <row r="100" spans="1:11" ht="15">
      <c r="A100" s="105">
        <v>54</v>
      </c>
      <c r="B100" s="106">
        <f>IF('P5'!A11="","",'P5'!A11)</f>
        <v>77</v>
      </c>
      <c r="C100" s="107">
        <f>IF('P5'!B11="","",'P5'!B11)</f>
        <v>76.5</v>
      </c>
      <c r="D100" s="106" t="str">
        <f>IF('P5'!C11="","",'P5'!C11)</f>
        <v>SM</v>
      </c>
      <c r="E100" s="108">
        <f>IF('P5'!D11="","",'P5'!D11)</f>
        <v>32778</v>
      </c>
      <c r="F100" s="109" t="str">
        <f>IF('P5'!F11="","",'P5'!F11)</f>
        <v>Jonas Andre Grønnhaug</v>
      </c>
      <c r="G100" s="109" t="str">
        <f>IF('P5'!G11="","",'P5'!G11)</f>
        <v>Trondheim AK</v>
      </c>
      <c r="H100" s="110">
        <f>IF('P5'!N11=0,"",'P5'!N11)</f>
        <v>90</v>
      </c>
      <c r="I100" s="110">
        <f>IF('P5'!O11=0,"",'P5'!O11)</f>
        <v>112</v>
      </c>
      <c r="J100" s="110">
        <f>IF('P5'!P11=0,"",'P5'!P11)</f>
        <v>202</v>
      </c>
      <c r="K100" s="111">
        <f>IF('P5'!Q11=0,"",'P5'!Q11)</f>
        <v>255.31962857879324</v>
      </c>
    </row>
    <row r="101" spans="1:11" ht="15">
      <c r="A101" s="105">
        <v>55</v>
      </c>
      <c r="B101" s="106">
        <f>IF('P7'!A11="","",'P7'!A11)</f>
        <v>69</v>
      </c>
      <c r="C101" s="107">
        <f>IF('P7'!B11="","",'P7'!B11)</f>
        <v>68.58</v>
      </c>
      <c r="D101" s="106" t="str">
        <f>IF('P7'!C11="","",'P7'!C11)</f>
        <v>SM</v>
      </c>
      <c r="E101" s="108">
        <f>IF('P7'!D11="","",'P7'!D11)</f>
        <v>32437</v>
      </c>
      <c r="F101" s="109" t="str">
        <f>IF('P7'!F11="","",'P7'!F11)</f>
        <v>Nicolas Johnsen</v>
      </c>
      <c r="G101" s="109" t="str">
        <f>IF('P7'!G11="","",'P7'!G11)</f>
        <v>Trondheim AK</v>
      </c>
      <c r="H101" s="110">
        <f>IF('P7'!N11=0,"",'P7'!N11)</f>
        <v>84</v>
      </c>
      <c r="I101" s="110">
        <f>IF('P7'!O11=0,"",'P7'!O11)</f>
        <v>105</v>
      </c>
      <c r="J101" s="110">
        <f>IF('P7'!P11=0,"",'P7'!P11)</f>
        <v>189</v>
      </c>
      <c r="K101" s="111">
        <f>IF('P7'!Q11=0,"",'P7'!Q11)</f>
        <v>255.25239538423773</v>
      </c>
    </row>
    <row r="102" spans="1:11" ht="15">
      <c r="A102" s="105">
        <v>56</v>
      </c>
      <c r="B102" s="106">
        <f>IF('P11'!A16="","",'P11'!A16)</f>
        <v>85</v>
      </c>
      <c r="C102" s="107">
        <f>IF('P11'!B16="","",'P11'!B16)</f>
        <v>84.1</v>
      </c>
      <c r="D102" s="106" t="str">
        <f>IF('P11'!C16="","",'P11'!C16)</f>
        <v>SM</v>
      </c>
      <c r="E102" s="108">
        <f>IF('P11'!D16="","",'P11'!D16)</f>
        <v>33205</v>
      </c>
      <c r="F102" s="109" t="str">
        <f>IF('P11'!F16="","",'P11'!F16)</f>
        <v>Martin Norum</v>
      </c>
      <c r="G102" s="109" t="str">
        <f>IF('P11'!G16="","",'P11'!G16)</f>
        <v>Tambarskjelvar IL</v>
      </c>
      <c r="H102" s="110">
        <f>IF('P11'!N16=0,"",'P11'!N16)</f>
        <v>97</v>
      </c>
      <c r="I102" s="110">
        <f>IF('P11'!O16=0,"",'P11'!O16)</f>
        <v>113</v>
      </c>
      <c r="J102" s="110">
        <f>IF('P11'!P16=0,"",'P11'!P16)</f>
        <v>210</v>
      </c>
      <c r="K102" s="112">
        <f>IF('P11'!Q16=0,"",'P11'!Q16)</f>
        <v>252.29530332353977</v>
      </c>
    </row>
    <row r="103" spans="1:11" ht="15">
      <c r="A103" s="105">
        <v>57</v>
      </c>
      <c r="B103" s="106">
        <f>IF('P3'!A19="","",'P3'!A19)</f>
        <v>94</v>
      </c>
      <c r="C103" s="107">
        <f>IF('P3'!B19="","",'P3'!B19)</f>
        <v>92.72</v>
      </c>
      <c r="D103" s="106" t="str">
        <f>IF('P3'!C19="","",'P3'!C19)</f>
        <v>M4</v>
      </c>
      <c r="E103" s="108">
        <f>IF('P3'!D19="","",'P3'!D19)</f>
        <v>22864</v>
      </c>
      <c r="F103" s="109" t="str">
        <f>IF('P3'!F19="","",'P3'!F19)</f>
        <v>Petter N. Sæterdal</v>
      </c>
      <c r="G103" s="109" t="str">
        <f>IF('P3'!G19="","",'P3'!G19)</f>
        <v>AK Bjørgvin</v>
      </c>
      <c r="H103" s="110">
        <f>IF('P3'!N19=0,"",'P3'!N19)</f>
        <v>102</v>
      </c>
      <c r="I103" s="110">
        <f>IF('P3'!O19=0,"",'P3'!O19)</f>
        <v>117</v>
      </c>
      <c r="J103" s="110">
        <f>IF('P3'!P19=0,"",'P3'!P19)</f>
        <v>219</v>
      </c>
      <c r="K103" s="111">
        <f>IF('P3'!Q19=0,"",'P3'!Q19)</f>
        <v>251.32532562993563</v>
      </c>
    </row>
    <row r="104" spans="1:11" ht="15">
      <c r="A104" s="105">
        <v>58</v>
      </c>
      <c r="B104" s="106">
        <f>IF('P5'!A9="","",'P5'!A9)</f>
        <v>77</v>
      </c>
      <c r="C104" s="107">
        <f>IF('P5'!B9="","",'P5'!B9)</f>
        <v>70.54</v>
      </c>
      <c r="D104" s="106" t="str">
        <f>IF('P5'!C9="","",'P5'!C9)</f>
        <v>SM</v>
      </c>
      <c r="E104" s="108">
        <f>IF('P5'!D9="","",'P5'!D9)</f>
        <v>33697</v>
      </c>
      <c r="F104" s="109" t="str">
        <f>IF('P5'!F9="","",'P5'!F9)</f>
        <v>Krister Thonerud</v>
      </c>
      <c r="G104" s="109" t="str">
        <f>IF('P5'!G9="","",'P5'!G9)</f>
        <v>Spydeberg Atletene</v>
      </c>
      <c r="H104" s="110">
        <f>IF('P5'!N9=0,"",'P5'!N9)</f>
        <v>83</v>
      </c>
      <c r="I104" s="110">
        <f>IF('P5'!O9=0,"",'P5'!O9)</f>
        <v>100</v>
      </c>
      <c r="J104" s="110">
        <f>IF('P5'!P9=0,"",'P5'!P9)</f>
        <v>183</v>
      </c>
      <c r="K104" s="111">
        <f>IF('P5'!Q9=0,"",'P5'!Q9)</f>
        <v>242.77130546631523</v>
      </c>
    </row>
    <row r="105" spans="1:11" ht="15">
      <c r="A105" s="105">
        <v>59</v>
      </c>
      <c r="B105" s="106">
        <f>IF('P7'!A9="","",'P7'!A9)</f>
        <v>62</v>
      </c>
      <c r="C105" s="107">
        <f>IF('P7'!B9="","",'P7'!B9)</f>
        <v>61.38</v>
      </c>
      <c r="D105" s="106" t="str">
        <f>IF('P7'!C9="","",'P7'!C9)</f>
        <v>SM</v>
      </c>
      <c r="E105" s="108">
        <f>IF('P7'!D9="","",'P7'!D9)</f>
        <v>31782</v>
      </c>
      <c r="F105" s="109" t="str">
        <f>IF('P7'!F9="","",'P7'!F9)</f>
        <v>Tor Eric Sivertsen</v>
      </c>
      <c r="G105" s="109" t="str">
        <f>IF('P7'!G9="","",'P7'!G9)</f>
        <v>Gjøvik AK</v>
      </c>
      <c r="H105" s="110">
        <f>IF('P7'!N9=0,"",'P7'!N9)</f>
        <v>73</v>
      </c>
      <c r="I105" s="110">
        <f>IF('P7'!O9=0,"",'P7'!O9)</f>
        <v>92</v>
      </c>
      <c r="J105" s="110">
        <f>IF('P7'!P9=0,"",'P7'!P9)</f>
        <v>165</v>
      </c>
      <c r="K105" s="111">
        <f>IF('P7'!Q9=0,"",'P7'!Q9)</f>
        <v>240.35601022890955</v>
      </c>
    </row>
    <row r="106" spans="1:11" ht="15">
      <c r="A106" s="105"/>
      <c r="B106" s="106">
        <f>IF('P13'!A9="","",'P13'!A9)</f>
        <v>94</v>
      </c>
      <c r="C106" s="107">
        <f>IF('P13'!B9="","",'P13'!B9)</f>
        <v>92.67</v>
      </c>
      <c r="D106" s="106" t="str">
        <f>IF('P13'!C9="","",'P13'!C9)</f>
        <v>JM</v>
      </c>
      <c r="E106" s="108">
        <f>IF('P13'!D9="","",'P13'!D9)</f>
        <v>34774</v>
      </c>
      <c r="F106" s="109" t="str">
        <f>IF('P13'!F9="","",'P13'!F9)</f>
        <v>Tore Gjøringbø</v>
      </c>
      <c r="G106" s="109" t="str">
        <f>IF('P13'!G9="","",'P13'!G9)</f>
        <v>Tambarskjelvar IL</v>
      </c>
      <c r="H106" s="110">
        <f>IF('P13'!N9=0,"",'P13'!N9)</f>
        <v>127</v>
      </c>
      <c r="I106" s="110">
        <f>IF('P13'!O9=0,"",'P13'!O9)</f>
      </c>
      <c r="J106" s="110">
        <f>IF('P13'!P9=0,"",'P13'!P9)</f>
      </c>
      <c r="K106" s="112">
        <f>IF('P13'!Q9=0,"",'P13'!Q9)</f>
      </c>
    </row>
    <row r="107" spans="1:11" ht="15">
      <c r="A107" s="105"/>
      <c r="B107" s="106">
        <f>IF('P5'!A13="","",'P5'!A13)</f>
        <v>77</v>
      </c>
      <c r="C107" s="107">
        <f>IF('P5'!B13="","",'P5'!B13)</f>
        <v>77</v>
      </c>
      <c r="D107" s="106" t="str">
        <f>IF('P5'!C13="","",'P5'!C13)</f>
        <v>SM</v>
      </c>
      <c r="E107" s="108">
        <f>IF('P5'!D13="","",'P5'!D13)</f>
        <v>34357</v>
      </c>
      <c r="F107" s="109" t="str">
        <f>IF('P5'!F13="","",'P5'!F13)</f>
        <v>Trygve Nilsen</v>
      </c>
      <c r="G107" s="109" t="str">
        <f>IF('P5'!G13="","",'P5'!G13)</f>
        <v>Spydeberg Atletene</v>
      </c>
      <c r="H107" s="110">
        <f>IF('P5'!N13=0,"",'P5'!N13)</f>
        <v>85</v>
      </c>
      <c r="I107" s="110">
        <f>IF('P5'!O13=0,"",'P5'!O13)</f>
      </c>
      <c r="J107" s="110">
        <f>IF('P5'!P13=0,"",'P5'!P13)</f>
      </c>
      <c r="K107" s="111">
        <f>IF('P5'!Q13=0,"",'P5'!Q13)</f>
      </c>
    </row>
    <row r="108" spans="1:11" ht="15">
      <c r="A108" s="105"/>
      <c r="B108" s="106">
        <f>IF('P14'!A13="","",'P14'!A13)</f>
        <v>105</v>
      </c>
      <c r="C108" s="107">
        <f>IF('P14'!B13="","",'P14'!B13)</f>
        <v>104.94</v>
      </c>
      <c r="D108" s="106" t="str">
        <f>IF('P14'!C13="","",'P14'!C13)</f>
        <v>SM</v>
      </c>
      <c r="E108" s="108">
        <f>IF('P14'!D13="","",'P14'!D13)</f>
        <v>30743</v>
      </c>
      <c r="F108" s="109" t="str">
        <f>IF('P14'!F13="","",'P14'!F13)</f>
        <v>Ørjan Hagelund</v>
      </c>
      <c r="G108" s="109" t="str">
        <f>IF('P14'!G13="","",'P14'!G13)</f>
        <v>Stavanger VK</v>
      </c>
      <c r="H108" s="110">
        <f>IF('P14'!N13=0,"",'P14'!N13)</f>
      </c>
      <c r="I108" s="110">
        <f>IF('P14'!O13=0,"",'P14'!O13)</f>
      </c>
      <c r="J108" s="110">
        <f>IF('P14'!P13=0,"",'P14'!P13)</f>
      </c>
      <c r="K108" s="112">
        <f>IF('P14'!Q13=0,"",'P14'!Q13)</f>
      </c>
    </row>
  </sheetData>
  <sheetProtection/>
  <mergeCells count="5">
    <mergeCell ref="A45:K45"/>
    <mergeCell ref="A3:K3"/>
    <mergeCell ref="A1:K1"/>
    <mergeCell ref="F2:G2"/>
    <mergeCell ref="H2:K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39"/>
  <sheetViews>
    <sheetView showGridLines="0" showRowColHeaders="0" showZeros="0" showOutlineSymbols="0" zoomScaleSheetLayoutView="75" zoomScalePageLayoutView="0" workbookViewId="0" topLeftCell="A13">
      <selection activeCell="H33" sqref="H33:T3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42062</v>
      </c>
      <c r="S5" s="83" t="s">
        <v>30</v>
      </c>
      <c r="T5" s="84">
        <v>2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41">
        <v>69</v>
      </c>
      <c r="B9" s="142">
        <v>63.88</v>
      </c>
      <c r="C9" s="143" t="s">
        <v>73</v>
      </c>
      <c r="D9" s="144">
        <v>17503</v>
      </c>
      <c r="E9" s="145"/>
      <c r="F9" s="146" t="s">
        <v>74</v>
      </c>
      <c r="G9" s="146" t="s">
        <v>61</v>
      </c>
      <c r="H9" s="147">
        <v>31</v>
      </c>
      <c r="I9" s="148">
        <v>33</v>
      </c>
      <c r="J9" s="140">
        <v>-35</v>
      </c>
      <c r="K9" s="147">
        <v>-42</v>
      </c>
      <c r="L9" s="124">
        <v>42</v>
      </c>
      <c r="M9" s="124">
        <v>-44</v>
      </c>
      <c r="N9" s="92">
        <f>IF(MAX(H9:J9)&lt;0,0,TRUNC(MAX(H9:J9)/1)*1)</f>
        <v>33</v>
      </c>
      <c r="O9" s="92">
        <f>IF(MAX(K9:M9)&lt;0,0,TRUNC(MAX(K9:M9)/1)*1)</f>
        <v>42</v>
      </c>
      <c r="P9" s="92">
        <f aca="true" t="shared" si="0" ref="P9:P24">IF(N9=0,0,IF(O9=0,0,SUM(N9:O9)))</f>
        <v>75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106.21339415274085</v>
      </c>
      <c r="R9" s="93">
        <f>IF(OR(D9="",B9="",V9=""),0,IF(OR(C9="UM",C9="JM",C9="SM",C9="UK",C9="JK",C9="SK"),"",Q9*(IF(ABS(1900-YEAR((V9+1)-D9))&lt;29,0,(VLOOKUP((YEAR(V9)-YEAR(D9)),'Meltzer-Malone'!$A$3:$B$63,2))))))</f>
        <v>189.2722683801842</v>
      </c>
      <c r="S9" s="94">
        <v>1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1.4161785887032112</v>
      </c>
      <c r="V9" s="137">
        <f>R5</f>
        <v>42062</v>
      </c>
    </row>
    <row r="10" spans="1:22" s="13" customFormat="1" ht="19.5" customHeight="1">
      <c r="A10" s="149">
        <v>85</v>
      </c>
      <c r="B10" s="142">
        <v>82.26</v>
      </c>
      <c r="C10" s="143" t="s">
        <v>73</v>
      </c>
      <c r="D10" s="144">
        <v>16960</v>
      </c>
      <c r="E10" s="145"/>
      <c r="F10" s="146" t="s">
        <v>75</v>
      </c>
      <c r="G10" s="146" t="s">
        <v>76</v>
      </c>
      <c r="H10" s="147">
        <v>35</v>
      </c>
      <c r="I10" s="148">
        <v>40</v>
      </c>
      <c r="J10" s="140">
        <v>42</v>
      </c>
      <c r="K10" s="147">
        <v>50</v>
      </c>
      <c r="L10" s="124">
        <v>55</v>
      </c>
      <c r="M10" s="124">
        <v>58</v>
      </c>
      <c r="N10" s="92">
        <f aca="true" t="shared" si="1" ref="N10:N24">IF(MAX(H10:J10)&lt;0,0,TRUNC(MAX(H10:J10)/1)*1)</f>
        <v>42</v>
      </c>
      <c r="O10" s="92">
        <f aca="true" t="shared" si="2" ref="O10:O24">IF(MAX(K10:M10)&lt;0,0,TRUNC(MAX(K10:M10)/1)*1)</f>
        <v>58</v>
      </c>
      <c r="P10" s="92">
        <f t="shared" si="0"/>
        <v>100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121.50595663281933</v>
      </c>
      <c r="R10" s="93">
        <f>IF(OR(D10="",B10="",V10=""),0,IF(OR(C10="UM",C10="JM",C10="SM",C10="UK",C10="JK",C10="SK"),"",Q10*(IF(ABS(1900-YEAR((V10+1)-D10))&lt;29,0,(VLOOKUP((YEAR(V10)-YEAR(D10)),'Meltzer-Malone'!$A$3:$B$63,2))))))</f>
        <v>225.5150555105127</v>
      </c>
      <c r="S10" s="97">
        <v>1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1.2150595663281933</v>
      </c>
      <c r="V10" s="137">
        <f>R5</f>
        <v>42062</v>
      </c>
    </row>
    <row r="11" spans="1:22" s="13" customFormat="1" ht="19.5" customHeight="1">
      <c r="A11" s="141">
        <v>94</v>
      </c>
      <c r="B11" s="142">
        <v>93.06</v>
      </c>
      <c r="C11" s="143" t="s">
        <v>73</v>
      </c>
      <c r="D11" s="144">
        <v>17025</v>
      </c>
      <c r="E11" s="145"/>
      <c r="F11" s="146" t="s">
        <v>77</v>
      </c>
      <c r="G11" s="146" t="s">
        <v>70</v>
      </c>
      <c r="H11" s="147">
        <v>50</v>
      </c>
      <c r="I11" s="148">
        <v>-53</v>
      </c>
      <c r="J11" s="140">
        <v>-53</v>
      </c>
      <c r="K11" s="147">
        <v>65</v>
      </c>
      <c r="L11" s="124">
        <v>70</v>
      </c>
      <c r="M11" s="124">
        <v>72</v>
      </c>
      <c r="N11" s="92">
        <f t="shared" si="1"/>
        <v>50</v>
      </c>
      <c r="O11" s="92">
        <f t="shared" si="2"/>
        <v>72</v>
      </c>
      <c r="P11" s="92">
        <f t="shared" si="0"/>
        <v>122</v>
      </c>
      <c r="Q11" s="93">
        <f t="shared" si="3"/>
        <v>139.78517094915054</v>
      </c>
      <c r="R11" s="93">
        <f>IF(OR(D11="",B11="",V11=""),0,IF(OR(C11="UM",C11="JM",C11="SM",C11="UK",C11="JK",C11="SK"),"",Q11*(IF(ABS(1900-YEAR((V11+1)-D11))&lt;29,0,(VLOOKUP((YEAR(V11)-YEAR(D11)),'Meltzer-Malone'!$A$3:$B$63,2))))))</f>
        <v>259.4412772816234</v>
      </c>
      <c r="S11" s="97">
        <v>1</v>
      </c>
      <c r="T11" s="97"/>
      <c r="U11" s="95">
        <f t="shared" si="4"/>
        <v>1.1457800897471355</v>
      </c>
      <c r="V11" s="137">
        <f>R5</f>
        <v>42062</v>
      </c>
    </row>
    <row r="12" spans="1:22" s="13" customFormat="1" ht="19.5" customHeight="1">
      <c r="A12" s="149">
        <v>94</v>
      </c>
      <c r="B12" s="142">
        <v>93.88</v>
      </c>
      <c r="C12" s="143" t="s">
        <v>78</v>
      </c>
      <c r="D12" s="144">
        <v>16079</v>
      </c>
      <c r="E12" s="145"/>
      <c r="F12" s="146" t="s">
        <v>79</v>
      </c>
      <c r="G12" s="146" t="s">
        <v>76</v>
      </c>
      <c r="H12" s="147">
        <v>60</v>
      </c>
      <c r="I12" s="148">
        <v>-65</v>
      </c>
      <c r="J12" s="140">
        <v>-65</v>
      </c>
      <c r="K12" s="147">
        <v>80</v>
      </c>
      <c r="L12" s="124">
        <v>85</v>
      </c>
      <c r="M12" s="124">
        <v>88</v>
      </c>
      <c r="N12" s="92">
        <f t="shared" si="1"/>
        <v>60</v>
      </c>
      <c r="O12" s="92">
        <f t="shared" si="2"/>
        <v>88</v>
      </c>
      <c r="P12" s="92">
        <f t="shared" si="0"/>
        <v>148</v>
      </c>
      <c r="Q12" s="93">
        <f t="shared" si="3"/>
        <v>168.93648298704932</v>
      </c>
      <c r="R12" s="93">
        <f>IF(OR(D12="",B12="",V12=""),0,IF(OR(C12="UM",C12="JM",C12="SM",C12="UK",C12="JK",C12="SK"),"",Q12*(IF(ABS(1900-YEAR((V12+1)-D12))&lt;29,0,(VLOOKUP((YEAR(V12)-YEAR(D12)),'Meltzer-Malone'!$A$3:$B$63,2))))))</f>
        <v>338.2108389400727</v>
      </c>
      <c r="S12" s="97">
        <v>1</v>
      </c>
      <c r="T12" s="130" t="s">
        <v>302</v>
      </c>
      <c r="U12" s="95">
        <f t="shared" si="4"/>
        <v>1.1414627228854684</v>
      </c>
      <c r="V12" s="137">
        <f>R5</f>
        <v>42062</v>
      </c>
    </row>
    <row r="13" spans="1:22" s="13" customFormat="1" ht="19.5" customHeight="1">
      <c r="A13" s="149">
        <v>105</v>
      </c>
      <c r="B13" s="142">
        <v>96.22</v>
      </c>
      <c r="C13" s="143" t="s">
        <v>78</v>
      </c>
      <c r="D13" s="144">
        <v>16495</v>
      </c>
      <c r="E13" s="145"/>
      <c r="F13" s="146" t="s">
        <v>80</v>
      </c>
      <c r="G13" s="146" t="s">
        <v>57</v>
      </c>
      <c r="H13" s="139">
        <v>65</v>
      </c>
      <c r="I13" s="140">
        <v>70</v>
      </c>
      <c r="J13" s="140">
        <v>74</v>
      </c>
      <c r="K13" s="139">
        <v>85</v>
      </c>
      <c r="L13" s="124">
        <v>90</v>
      </c>
      <c r="M13" s="124">
        <v>-92</v>
      </c>
      <c r="N13" s="92">
        <f t="shared" si="1"/>
        <v>74</v>
      </c>
      <c r="O13" s="92">
        <f t="shared" si="2"/>
        <v>90</v>
      </c>
      <c r="P13" s="92">
        <f t="shared" si="0"/>
        <v>164</v>
      </c>
      <c r="Q13" s="93">
        <f t="shared" si="3"/>
        <v>185.27961716041025</v>
      </c>
      <c r="R13" s="93">
        <f>IF(OR(D13="",B13="",V13=""),0,IF(OR(C13="UM",C13="JM",C13="SM",C13="UK",C13="JK",C13="SK"),"",Q13*(IF(ABS(1900-YEAR((V13+1)-D13))&lt;29,0,(VLOOKUP((YEAR(V13)-YEAR(D13)),'Meltzer-Malone'!$A$3:$B$63,2))))))</f>
        <v>358.14549997107304</v>
      </c>
      <c r="S13" s="97">
        <v>1</v>
      </c>
      <c r="T13" s="97" t="s">
        <v>22</v>
      </c>
      <c r="U13" s="95">
        <f t="shared" si="4"/>
        <v>1.1297537631732333</v>
      </c>
      <c r="V13" s="137">
        <f>R5</f>
        <v>42062</v>
      </c>
    </row>
    <row r="14" spans="1:22" s="13" customFormat="1" ht="19.5" customHeight="1">
      <c r="A14" s="141">
        <v>105</v>
      </c>
      <c r="B14" s="142">
        <v>102</v>
      </c>
      <c r="C14" s="143" t="s">
        <v>78</v>
      </c>
      <c r="D14" s="144">
        <v>16309</v>
      </c>
      <c r="E14" s="145"/>
      <c r="F14" s="146" t="s">
        <v>81</v>
      </c>
      <c r="G14" s="146" t="s">
        <v>70</v>
      </c>
      <c r="H14" s="139">
        <v>60</v>
      </c>
      <c r="I14" s="140">
        <v>64</v>
      </c>
      <c r="J14" s="140">
        <v>67</v>
      </c>
      <c r="K14" s="139">
        <v>80</v>
      </c>
      <c r="L14" s="124">
        <v>88</v>
      </c>
      <c r="M14" s="124">
        <v>92</v>
      </c>
      <c r="N14" s="92">
        <f t="shared" si="1"/>
        <v>67</v>
      </c>
      <c r="O14" s="92">
        <f t="shared" si="2"/>
        <v>92</v>
      </c>
      <c r="P14" s="92">
        <f t="shared" si="0"/>
        <v>159</v>
      </c>
      <c r="Q14" s="93">
        <f t="shared" si="3"/>
        <v>175.58835484031087</v>
      </c>
      <c r="R14" s="93">
        <f>IF(OR(D14="",B14="",V14=""),0,IF(OR(C14="UM",C14="JM",C14="SM",C14="UK",C14="JK",C14="SK"),"",Q14*(IF(ABS(1900-YEAR((V14+1)-D14))&lt;29,0,(VLOOKUP((YEAR(V14)-YEAR(D14)),'Meltzer-Malone'!$A$3:$B$63,2))))))</f>
        <v>351.52788639030234</v>
      </c>
      <c r="S14" s="97">
        <v>2</v>
      </c>
      <c r="T14" s="97" t="s">
        <v>22</v>
      </c>
      <c r="U14" s="95">
        <f t="shared" si="4"/>
        <v>1.1043292757252257</v>
      </c>
      <c r="V14" s="137">
        <f>R5</f>
        <v>42062</v>
      </c>
    </row>
    <row r="15" spans="1:22" s="13" customFormat="1" ht="19.5" customHeight="1">
      <c r="A15" s="149" t="s">
        <v>83</v>
      </c>
      <c r="B15" s="142">
        <v>105.12</v>
      </c>
      <c r="C15" s="143" t="s">
        <v>78</v>
      </c>
      <c r="D15" s="144">
        <v>16227</v>
      </c>
      <c r="E15" s="145"/>
      <c r="F15" s="146" t="s">
        <v>82</v>
      </c>
      <c r="G15" s="146" t="s">
        <v>57</v>
      </c>
      <c r="H15" s="147">
        <v>-68</v>
      </c>
      <c r="I15" s="148">
        <v>68</v>
      </c>
      <c r="J15" s="140">
        <v>-71</v>
      </c>
      <c r="K15" s="147">
        <v>87</v>
      </c>
      <c r="L15" s="124">
        <v>90</v>
      </c>
      <c r="M15" s="124">
        <v>-93</v>
      </c>
      <c r="N15" s="92">
        <f t="shared" si="1"/>
        <v>68</v>
      </c>
      <c r="O15" s="92">
        <f t="shared" si="2"/>
        <v>90</v>
      </c>
      <c r="P15" s="92">
        <f t="shared" si="0"/>
        <v>158</v>
      </c>
      <c r="Q15" s="93">
        <f t="shared" si="3"/>
        <v>172.60342512452033</v>
      </c>
      <c r="R15" s="93">
        <f>IF(OR(D15="",B15="",V15=""),0,IF(OR(C15="UM",C15="JM",C15="SM",C15="UK",C15="JK",C15="SK"),"",Q15*(IF(ABS(1900-YEAR((V15+1)-D15))&lt;29,0,(VLOOKUP((YEAR(V15)-YEAR(D15)),'Meltzer-Malone'!$A$3:$B$63,2))))))</f>
        <v>345.55205709928964</v>
      </c>
      <c r="S15" s="97">
        <v>1</v>
      </c>
      <c r="T15" s="97"/>
      <c r="U15" s="95">
        <f t="shared" si="4"/>
        <v>1.0924267412944324</v>
      </c>
      <c r="V15" s="137">
        <f>R5</f>
        <v>42062</v>
      </c>
    </row>
    <row r="16" spans="1:22" s="13" customFormat="1" ht="19.5" customHeight="1">
      <c r="A16" s="149" t="s">
        <v>83</v>
      </c>
      <c r="B16" s="142">
        <v>112.4</v>
      </c>
      <c r="C16" s="143" t="s">
        <v>78</v>
      </c>
      <c r="D16" s="144">
        <v>16053</v>
      </c>
      <c r="E16" s="145"/>
      <c r="F16" s="146" t="s">
        <v>84</v>
      </c>
      <c r="G16" s="146" t="s">
        <v>70</v>
      </c>
      <c r="H16" s="139">
        <v>65</v>
      </c>
      <c r="I16" s="140">
        <v>68</v>
      </c>
      <c r="J16" s="140">
        <v>-70</v>
      </c>
      <c r="K16" s="139">
        <v>80</v>
      </c>
      <c r="L16" s="124">
        <v>-88</v>
      </c>
      <c r="M16" s="124">
        <v>-88</v>
      </c>
      <c r="N16" s="92">
        <f t="shared" si="1"/>
        <v>68</v>
      </c>
      <c r="O16" s="92">
        <f t="shared" si="2"/>
        <v>80</v>
      </c>
      <c r="P16" s="92">
        <f t="shared" si="0"/>
        <v>148</v>
      </c>
      <c r="Q16" s="93">
        <f t="shared" si="3"/>
        <v>158.1862546196776</v>
      </c>
      <c r="R16" s="93">
        <f>IF(OR(D16="",B16="",V16=""),0,IF(OR(C16="UM",C16="JM",C16="SM",C16="UK",C16="JK",C16="SK"),"",Q16*(IF(ABS(1900-YEAR((V16+1)-D16))&lt;29,0,(VLOOKUP((YEAR(V16)-YEAR(D16)),'Meltzer-Malone'!$A$3:$B$63,2))))))</f>
        <v>324.7563807341981</v>
      </c>
      <c r="S16" s="97">
        <v>2</v>
      </c>
      <c r="T16" s="97"/>
      <c r="U16" s="95">
        <f t="shared" si="4"/>
        <v>1.0688260447275515</v>
      </c>
      <c r="V16" s="137">
        <f>R5</f>
        <v>42062</v>
      </c>
    </row>
    <row r="17" spans="1:22" s="13" customFormat="1" ht="19.5" customHeight="1">
      <c r="A17" s="141">
        <v>77</v>
      </c>
      <c r="B17" s="142">
        <v>76.14</v>
      </c>
      <c r="C17" s="143" t="s">
        <v>85</v>
      </c>
      <c r="D17" s="144">
        <v>14425</v>
      </c>
      <c r="E17" s="145"/>
      <c r="F17" s="146" t="s">
        <v>86</v>
      </c>
      <c r="G17" s="146" t="s">
        <v>87</v>
      </c>
      <c r="H17" s="147">
        <v>45</v>
      </c>
      <c r="I17" s="148">
        <v>51</v>
      </c>
      <c r="J17" s="173" t="s">
        <v>171</v>
      </c>
      <c r="K17" s="147">
        <v>-65</v>
      </c>
      <c r="L17" s="124">
        <v>65</v>
      </c>
      <c r="M17" s="124">
        <v>71</v>
      </c>
      <c r="N17" s="92">
        <f t="shared" si="1"/>
        <v>51</v>
      </c>
      <c r="O17" s="92">
        <f t="shared" si="2"/>
        <v>71</v>
      </c>
      <c r="P17" s="92">
        <f t="shared" si="0"/>
        <v>122</v>
      </c>
      <c r="Q17" s="93">
        <f t="shared" si="3"/>
        <v>154.61823426640498</v>
      </c>
      <c r="R17" s="93">
        <f>IF(OR(D17="",B17="",V17=""),0,IF(OR(C17="UM",C17="JM",C17="SM",C17="UK",C17="JK",C17="SK"),"",Q17*(IF(ABS(1900-YEAR((V17+1)-D17))&lt;29,0,(VLOOKUP((YEAR(V17)-YEAR(D17)),'Meltzer-Malone'!$A$3:$B$63,2))))))</f>
        <v>337.6862236378285</v>
      </c>
      <c r="S17" s="97">
        <v>1</v>
      </c>
      <c r="T17" s="130" t="s">
        <v>173</v>
      </c>
      <c r="U17" s="95">
        <f t="shared" si="4"/>
        <v>1.2673625759541391</v>
      </c>
      <c r="V17" s="137">
        <f>R5</f>
        <v>42062</v>
      </c>
    </row>
    <row r="18" spans="1:22" s="13" customFormat="1" ht="19.5" customHeight="1">
      <c r="A18" s="141">
        <v>94</v>
      </c>
      <c r="B18" s="142">
        <v>90.42</v>
      </c>
      <c r="C18" s="143" t="s">
        <v>85</v>
      </c>
      <c r="D18" s="144">
        <v>14761</v>
      </c>
      <c r="E18" s="145"/>
      <c r="F18" s="146" t="s">
        <v>88</v>
      </c>
      <c r="G18" s="146" t="s">
        <v>70</v>
      </c>
      <c r="H18" s="147">
        <v>45</v>
      </c>
      <c r="I18" s="148">
        <v>-50</v>
      </c>
      <c r="J18" s="140">
        <v>-53</v>
      </c>
      <c r="K18" s="147">
        <v>55</v>
      </c>
      <c r="L18" s="124">
        <v>60</v>
      </c>
      <c r="M18" s="124">
        <v>62</v>
      </c>
      <c r="N18" s="92">
        <f t="shared" si="1"/>
        <v>45</v>
      </c>
      <c r="O18" s="92">
        <f t="shared" si="2"/>
        <v>62</v>
      </c>
      <c r="P18" s="92">
        <f t="shared" si="0"/>
        <v>107</v>
      </c>
      <c r="Q18" s="93">
        <f t="shared" si="3"/>
        <v>124.17248013839549</v>
      </c>
      <c r="R18" s="93">
        <f>IF(OR(D18="",B18="",V18=""),0,IF(OR(C18="UM",C18="JM",C18="SM",C18="UK",C18="JK",C18="SK"),"",Q18*(IF(ABS(1900-YEAR((V18+1)-D18))&lt;29,0,(VLOOKUP((YEAR(V18)-YEAR(D18)),'Meltzer-Malone'!$A$3:$B$63,2))))))</f>
        <v>265.97745245644313</v>
      </c>
      <c r="S18" s="97">
        <v>2</v>
      </c>
      <c r="T18" s="97" t="s">
        <v>22</v>
      </c>
      <c r="U18" s="95">
        <f t="shared" si="4"/>
        <v>1.1604904685831354</v>
      </c>
      <c r="V18" s="137">
        <f>R5</f>
        <v>42062</v>
      </c>
    </row>
    <row r="19" spans="1:22" s="13" customFormat="1" ht="19.5" customHeight="1">
      <c r="A19" s="141">
        <v>85</v>
      </c>
      <c r="B19" s="142">
        <v>84.96</v>
      </c>
      <c r="C19" s="143" t="s">
        <v>85</v>
      </c>
      <c r="D19" s="144">
        <v>14143</v>
      </c>
      <c r="E19" s="145"/>
      <c r="F19" s="146" t="s">
        <v>89</v>
      </c>
      <c r="G19" s="146" t="s">
        <v>57</v>
      </c>
      <c r="H19" s="147">
        <v>56</v>
      </c>
      <c r="I19" s="148">
        <v>57</v>
      </c>
      <c r="J19" s="140">
        <v>-58</v>
      </c>
      <c r="K19" s="147">
        <v>70</v>
      </c>
      <c r="L19" s="124">
        <v>-71</v>
      </c>
      <c r="M19" s="124">
        <v>71</v>
      </c>
      <c r="N19" s="92">
        <f t="shared" si="1"/>
        <v>57</v>
      </c>
      <c r="O19" s="92">
        <f t="shared" si="2"/>
        <v>71</v>
      </c>
      <c r="P19" s="92">
        <f t="shared" si="0"/>
        <v>128</v>
      </c>
      <c r="Q19" s="93">
        <f t="shared" si="3"/>
        <v>153.00018664098127</v>
      </c>
      <c r="R19" s="93">
        <f>IF(OR(D19="",B19="",V19=""),0,IF(OR(C19="UM",C19="JM",C19="SM",C19="UK",C19="JK",C19="SK"),"",Q19*(IF(ABS(1900-YEAR((V19+1)-D19))&lt;29,0,(VLOOKUP((YEAR(V19)-YEAR(D19)),'Meltzer-Malone'!$A$3:$B$63,2))))))</f>
        <v>344.40342012884884</v>
      </c>
      <c r="S19" s="97">
        <v>1</v>
      </c>
      <c r="T19" s="97"/>
      <c r="U19" s="95">
        <f t="shared" si="4"/>
        <v>1.1953139581326662</v>
      </c>
      <c r="V19" s="137">
        <f>R5</f>
        <v>42062</v>
      </c>
    </row>
    <row r="20" spans="1:22" s="13" customFormat="1" ht="19.5" customHeight="1">
      <c r="A20" s="141">
        <v>94</v>
      </c>
      <c r="B20" s="142">
        <v>93.58</v>
      </c>
      <c r="C20" s="143" t="s">
        <v>85</v>
      </c>
      <c r="D20" s="144">
        <v>14941</v>
      </c>
      <c r="E20" s="145"/>
      <c r="F20" s="146" t="s">
        <v>90</v>
      </c>
      <c r="G20" s="146" t="s">
        <v>91</v>
      </c>
      <c r="H20" s="147">
        <v>55</v>
      </c>
      <c r="I20" s="148">
        <v>58</v>
      </c>
      <c r="J20" s="140">
        <v>60</v>
      </c>
      <c r="K20" s="147">
        <v>63</v>
      </c>
      <c r="L20" s="124">
        <v>68</v>
      </c>
      <c r="M20" s="124">
        <v>-71</v>
      </c>
      <c r="N20" s="92">
        <f t="shared" si="1"/>
        <v>60</v>
      </c>
      <c r="O20" s="92">
        <f t="shared" si="2"/>
        <v>68</v>
      </c>
      <c r="P20" s="92">
        <f t="shared" si="0"/>
        <v>128</v>
      </c>
      <c r="Q20" s="93">
        <f t="shared" si="3"/>
        <v>146.30770382060857</v>
      </c>
      <c r="R20" s="93">
        <f>IF(OR(D20="",B20="",V20=""),0,IF(OR(C20="UM",C20="JM",C20="SM",C20="UK",C20="JK",C20="SK"),"",Q20*(IF(ABS(1900-YEAR((V20+1)-D20))&lt;29,0,(VLOOKUP((YEAR(V20)-YEAR(D20)),'Meltzer-Malone'!$A$3:$B$63,2))))))</f>
        <v>313.39110158374353</v>
      </c>
      <c r="S20" s="97">
        <v>1</v>
      </c>
      <c r="T20" s="130" t="s">
        <v>173</v>
      </c>
      <c r="U20" s="95">
        <f t="shared" si="4"/>
        <v>1.1430289360985044</v>
      </c>
      <c r="V20" s="137">
        <f>R5</f>
        <v>42062</v>
      </c>
    </row>
    <row r="21" spans="1:22" s="13" customFormat="1" ht="19.5" customHeight="1">
      <c r="A21" s="141">
        <v>105</v>
      </c>
      <c r="B21" s="142">
        <v>101.38</v>
      </c>
      <c r="C21" s="143" t="s">
        <v>85</v>
      </c>
      <c r="D21" s="144">
        <v>14019</v>
      </c>
      <c r="E21" s="145"/>
      <c r="F21" s="146" t="s">
        <v>92</v>
      </c>
      <c r="G21" s="146" t="s">
        <v>70</v>
      </c>
      <c r="H21" s="139">
        <v>51</v>
      </c>
      <c r="I21" s="140">
        <v>54</v>
      </c>
      <c r="J21" s="140">
        <v>-56</v>
      </c>
      <c r="K21" s="139">
        <v>65</v>
      </c>
      <c r="L21" s="124">
        <v>-70</v>
      </c>
      <c r="M21" s="124">
        <v>70</v>
      </c>
      <c r="N21" s="92">
        <f t="shared" si="1"/>
        <v>54</v>
      </c>
      <c r="O21" s="92">
        <f t="shared" si="2"/>
        <v>70</v>
      </c>
      <c r="P21" s="92">
        <f t="shared" si="0"/>
        <v>124</v>
      </c>
      <c r="Q21" s="93">
        <f t="shared" si="3"/>
        <v>137.24790084546754</v>
      </c>
      <c r="R21" s="93">
        <f>IF(OR(D21="",B21="",V21=""),0,IF(OR(C21="UM",C21="JM",C21="SM",C21="UK",C21="JK",C21="SK"),"",Q21*(IF(ABS(1900-YEAR((V21+1)-D21))&lt;29,0,(VLOOKUP((YEAR(V21)-YEAR(D21)),'Meltzer-Malone'!$A$3:$B$63,2))))))</f>
        <v>308.9450248031474</v>
      </c>
      <c r="S21" s="97">
        <v>1</v>
      </c>
      <c r="T21" s="97"/>
      <c r="U21" s="95">
        <f t="shared" si="4"/>
        <v>1.106837910044093</v>
      </c>
      <c r="V21" s="137">
        <f>R5</f>
        <v>42062</v>
      </c>
    </row>
    <row r="22" spans="1:22" s="13" customFormat="1" ht="19.5" customHeight="1">
      <c r="A22" s="149" t="s">
        <v>83</v>
      </c>
      <c r="B22" s="142">
        <v>113.8</v>
      </c>
      <c r="C22" s="143" t="s">
        <v>85</v>
      </c>
      <c r="D22" s="144">
        <v>13922</v>
      </c>
      <c r="E22" s="145"/>
      <c r="F22" s="146" t="s">
        <v>93</v>
      </c>
      <c r="G22" s="146" t="s">
        <v>94</v>
      </c>
      <c r="H22" s="139">
        <v>40</v>
      </c>
      <c r="I22" s="140">
        <v>43</v>
      </c>
      <c r="J22" s="140">
        <v>-45</v>
      </c>
      <c r="K22" s="139">
        <v>50</v>
      </c>
      <c r="L22" s="124">
        <v>-57</v>
      </c>
      <c r="M22" s="124">
        <v>-57</v>
      </c>
      <c r="N22" s="92">
        <f t="shared" si="1"/>
        <v>43</v>
      </c>
      <c r="O22" s="92">
        <f t="shared" si="2"/>
        <v>50</v>
      </c>
      <c r="P22" s="92">
        <f t="shared" si="0"/>
        <v>93</v>
      </c>
      <c r="Q22" s="93">
        <f t="shared" si="3"/>
        <v>99.03384848755422</v>
      </c>
      <c r="R22" s="93">
        <f>IF(OR(D22="",B22="",V22=""),0,IF(OR(C22="UM",C22="JM",C22="SM",C22="UK",C22="JK",C22="SK"),"",Q22*(IF(ABS(1900-YEAR((V22+1)-D22))&lt;29,0,(VLOOKUP((YEAR(V22)-YEAR(D22)),'Meltzer-Malone'!$A$3:$B$63,2))))))</f>
        <v>222.92519294548455</v>
      </c>
      <c r="S22" s="97">
        <v>1</v>
      </c>
      <c r="T22" s="97"/>
      <c r="U22" s="95">
        <f t="shared" si="4"/>
        <v>1.064880091264024</v>
      </c>
      <c r="V22" s="137">
        <f>R5</f>
        <v>42062</v>
      </c>
    </row>
    <row r="23" spans="1:22" s="13" customFormat="1" ht="19.5" customHeight="1">
      <c r="A23" s="149"/>
      <c r="B23" s="142"/>
      <c r="C23" s="143"/>
      <c r="D23" s="144"/>
      <c r="E23" s="145"/>
      <c r="F23" s="146"/>
      <c r="G23" s="146"/>
      <c r="H23" s="139"/>
      <c r="I23" s="140"/>
      <c r="J23" s="140"/>
      <c r="K23" s="139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42062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42062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 t="s">
        <v>142</v>
      </c>
      <c r="D27" s="180"/>
      <c r="E27" s="180"/>
      <c r="F27" s="180"/>
      <c r="G27" s="55" t="s">
        <v>36</v>
      </c>
      <c r="H27" s="56">
        <v>1</v>
      </c>
      <c r="I27" s="179" t="s">
        <v>145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150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/>
      <c r="D29" s="180"/>
      <c r="E29" s="180"/>
      <c r="F29" s="180"/>
      <c r="G29" s="59"/>
      <c r="H29" s="56">
        <v>3</v>
      </c>
      <c r="I29" s="179" t="s">
        <v>151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/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/>
      <c r="D31" s="180"/>
      <c r="E31" s="180"/>
      <c r="F31" s="180"/>
      <c r="G31" s="61" t="s">
        <v>38</v>
      </c>
      <c r="H31" s="179" t="s">
        <v>147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166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152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89" t="s">
        <v>306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 t="s">
        <v>174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 t="s">
        <v>303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0"/>
  <sheetViews>
    <sheetView showGridLines="0" showRowColHeaders="0" zoomScalePageLayoutView="0" workbookViewId="0" topLeftCell="A1">
      <selection activeCell="P7" sqref="P7"/>
    </sheetView>
  </sheetViews>
  <sheetFormatPr defaultColWidth="8.8515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51" customWidth="1"/>
    <col min="6" max="6" width="29.7109375" style="12" customWidth="1"/>
    <col min="7" max="7" width="21.7109375" style="12" customWidth="1"/>
    <col min="8" max="10" width="6.8515625" style="0" customWidth="1"/>
    <col min="11" max="11" width="9.7109375" style="72" customWidth="1"/>
    <col min="12" max="16" width="8.8515625" style="0" customWidth="1"/>
    <col min="17" max="17" width="11.8515625" style="0" bestFit="1" customWidth="1"/>
  </cols>
  <sheetData>
    <row r="1" spans="1:11" s="69" customFormat="1" ht="34.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70" customFormat="1" ht="26.25" customHeight="1">
      <c r="A2" s="177" t="str">
        <f>IF('P1'!H5&gt;0,'P1'!H5,"")</f>
        <v>Spydeberg Atletene</v>
      </c>
      <c r="B2" s="177"/>
      <c r="C2" s="177"/>
      <c r="D2" s="177"/>
      <c r="E2" s="177"/>
      <c r="F2" s="194" t="str">
        <f>IF('P1'!M5&gt;0,'P1'!M5,"")</f>
        <v>Spydeberghallen</v>
      </c>
      <c r="G2" s="194"/>
      <c r="H2" s="194" t="s">
        <v>305</v>
      </c>
      <c r="I2" s="194"/>
      <c r="J2" s="194"/>
      <c r="K2" s="194"/>
    </row>
    <row r="3" spans="1:11" ht="27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ht="12">
      <c r="A4" s="48"/>
    </row>
    <row r="5" spans="1:17" ht="15">
      <c r="A5" s="174">
        <v>1</v>
      </c>
      <c r="B5" s="106">
        <f>IF('P10'!A17="","",'P10'!A17)</f>
        <v>69</v>
      </c>
      <c r="C5" s="107">
        <f>IF('P10'!B17="","",'P10'!B17)</f>
        <v>68.6</v>
      </c>
      <c r="D5" s="106" t="str">
        <f>IF('P10'!C17="","",'P10'!C17)</f>
        <v>K2</v>
      </c>
      <c r="E5" s="108">
        <f>IF('P10'!D17="","",'P10'!D17)</f>
        <v>26306</v>
      </c>
      <c r="F5" s="109" t="str">
        <f>IF('P10'!F17="","",'P10'!F17)</f>
        <v>Anna Waage</v>
      </c>
      <c r="G5" s="109" t="str">
        <f>IF('P10'!G17="","",'P10'!G17)</f>
        <v>Flaktveit IK</v>
      </c>
      <c r="H5" s="110">
        <f>IF('P10'!N17=0,"",'P10'!N17)</f>
        <v>54</v>
      </c>
      <c r="I5" s="110">
        <f>IF('P10'!O17=0,"",'P10'!O17)</f>
        <v>76</v>
      </c>
      <c r="J5" s="110">
        <f>IF('P10'!P17=0,"",'P10'!P17)</f>
        <v>130</v>
      </c>
      <c r="K5" s="112">
        <f>IF('P10'!R17=0,"",'P10'!R17)</f>
        <v>191.52803692555872</v>
      </c>
      <c r="Q5" s="67"/>
    </row>
    <row r="6" spans="1:17" ht="15">
      <c r="A6" s="105">
        <v>2</v>
      </c>
      <c r="B6" s="106">
        <f>IF('P8'!A17="","",'P8'!A17)</f>
        <v>63</v>
      </c>
      <c r="C6" s="107">
        <f>IF('P8'!B17="","",'P8'!B17)</f>
        <v>61.66</v>
      </c>
      <c r="D6" s="106" t="str">
        <f>IF('P8'!C17="","",'P8'!C17)</f>
        <v>K3</v>
      </c>
      <c r="E6" s="108">
        <f>IF('P8'!D17="","",'P8'!D17)</f>
        <v>25930</v>
      </c>
      <c r="F6" s="109" t="str">
        <f>IF('P8'!F17="","",'P8'!F17)</f>
        <v>Line Søfteland</v>
      </c>
      <c r="G6" s="109" t="str">
        <f>IF('P8'!G17="","",'P8'!G17)</f>
        <v>Flaktveit IK</v>
      </c>
      <c r="H6" s="110">
        <f>IF('P8'!N17=0,"",'P8'!N17)</f>
        <v>48</v>
      </c>
      <c r="I6" s="110">
        <f>IF('P8'!O17=0,"",'P8'!O17)</f>
        <v>64</v>
      </c>
      <c r="J6" s="110">
        <f>IF('P8'!P17=0,"",'P8'!P17)</f>
        <v>112</v>
      </c>
      <c r="K6" s="111">
        <f>IF('P8'!R17=0,"",'P8'!R17)</f>
        <v>180.45900955318248</v>
      </c>
      <c r="Q6" s="67"/>
    </row>
    <row r="7" spans="1:17" ht="15">
      <c r="A7" s="105">
        <v>3</v>
      </c>
      <c r="B7" s="106">
        <f>IF('P4'!A11="","",'P4'!A11)</f>
        <v>63</v>
      </c>
      <c r="C7" s="107">
        <f>IF('P4'!B11="","",'P4'!B11)</f>
        <v>60.46</v>
      </c>
      <c r="D7" s="106" t="str">
        <f>IF('P4'!C11="","",'P4'!C11)</f>
        <v>K2</v>
      </c>
      <c r="E7" s="108">
        <f>IF('P4'!D11="","",'P4'!D11)</f>
        <v>26801</v>
      </c>
      <c r="F7" s="109" t="str">
        <f>IF('P4'!F11="","",'P4'!F11)</f>
        <v>Anna Rød Nyland</v>
      </c>
      <c r="G7" s="109" t="str">
        <f>IF('P4'!G11="","",'P4'!G11)</f>
        <v>Haugesund VK</v>
      </c>
      <c r="H7" s="110">
        <f>IF('P4'!N11=0,"",'P4'!N11)</f>
        <v>35</v>
      </c>
      <c r="I7" s="110">
        <f>IF('P4'!O11=0,"",'P4'!O11)</f>
        <v>56</v>
      </c>
      <c r="J7" s="110">
        <f>IF('P4'!P11=0,"",'P4'!P11)</f>
        <v>91</v>
      </c>
      <c r="K7" s="112">
        <f>IF('P4'!R11=0,"",'P4'!R11)</f>
        <v>144.02355056791353</v>
      </c>
      <c r="Q7" s="67"/>
    </row>
    <row r="8" spans="1:11" ht="15">
      <c r="A8" s="105">
        <v>4</v>
      </c>
      <c r="B8" s="106">
        <f>IF('P4'!A9="","",'P4'!A9)</f>
        <v>75</v>
      </c>
      <c r="C8" s="107">
        <f>IF('P4'!B9="","",'P4'!B9)</f>
        <v>70.78</v>
      </c>
      <c r="D8" s="106" t="str">
        <f>IF('P4'!C9="","",'P4'!C9)</f>
        <v>K1</v>
      </c>
      <c r="E8" s="108">
        <f>IF('P4'!D9="","",'P4'!D9)</f>
        <v>29102</v>
      </c>
      <c r="F8" s="109" t="str">
        <f>IF('P4'!F9="","",'P4'!F9)</f>
        <v>Hilde Næss</v>
      </c>
      <c r="G8" s="109" t="str">
        <f>IF('P4'!G9="","",'P4'!G9)</f>
        <v>Lørenskog AK</v>
      </c>
      <c r="H8" s="110">
        <f>IF('P4'!N9=0,"",'P4'!N9)</f>
        <v>43</v>
      </c>
      <c r="I8" s="110">
        <f>IF('P4'!O9=0,"",'P4'!O9)</f>
        <v>61</v>
      </c>
      <c r="J8" s="110">
        <f>IF('P4'!P9=0,"",'P4'!P9)</f>
        <v>104</v>
      </c>
      <c r="K8" s="112">
        <f>IF('P4'!R9=0,"",'P4'!R9)</f>
        <v>139.76164583612552</v>
      </c>
    </row>
    <row r="9" spans="1:17" ht="15">
      <c r="A9" s="105">
        <v>5</v>
      </c>
      <c r="B9" s="106">
        <f>IF('P4'!A10="","",'P4'!A10)</f>
        <v>75</v>
      </c>
      <c r="C9" s="107">
        <f>IF('P4'!B10="","",'P4'!B10)</f>
        <v>72.02</v>
      </c>
      <c r="D9" s="106" t="str">
        <f>IF('P4'!C10="","",'P4'!C10)</f>
        <v>K1</v>
      </c>
      <c r="E9" s="108">
        <f>IF('P4'!D10="","",'P4'!D10)</f>
        <v>29343</v>
      </c>
      <c r="F9" s="109" t="str">
        <f>IF('P4'!F10="","",'P4'!F10)</f>
        <v>Kira Ingelsrudøyen</v>
      </c>
      <c r="G9" s="109" t="str">
        <f>IF('P4'!G10="","",'P4'!G10)</f>
        <v>Larvik AK</v>
      </c>
      <c r="H9" s="110">
        <f>IF('P4'!N10=0,"",'P4'!N10)</f>
        <v>42</v>
      </c>
      <c r="I9" s="110">
        <f>IF('P4'!O10=0,"",'P4'!O10)</f>
        <v>50</v>
      </c>
      <c r="J9" s="110">
        <f>IF('P4'!P10=0,"",'P4'!P10)</f>
        <v>92</v>
      </c>
      <c r="K9" s="112">
        <f>IF('P4'!R10=0,"",'P4'!R10)</f>
        <v>120.73180804565145</v>
      </c>
      <c r="Q9" s="67"/>
    </row>
    <row r="10" ht="12">
      <c r="A10" s="48"/>
    </row>
    <row r="11" spans="1:11" ht="27">
      <c r="A11" s="192" t="s">
        <v>27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ht="12">
      <c r="A12" s="48"/>
    </row>
    <row r="13" spans="1:17" ht="15">
      <c r="A13" s="174">
        <v>1</v>
      </c>
      <c r="B13" s="106">
        <f>IF('P9'!A17="","",'P9'!A17)</f>
        <v>77</v>
      </c>
      <c r="C13" s="107">
        <f>IF('P9'!B17="","",'P9'!B17)</f>
        <v>76.42</v>
      </c>
      <c r="D13" s="106" t="str">
        <f>IF('P9'!C17="","",'P9'!C17)</f>
        <v>M1</v>
      </c>
      <c r="E13" s="108">
        <f>IF('P9'!D17="","",'P9'!D17)</f>
        <v>28656</v>
      </c>
      <c r="F13" s="109" t="str">
        <f>IF('P9'!F17="","",'P9'!F17)</f>
        <v>Ronny Matnisdal</v>
      </c>
      <c r="G13" s="109" t="str">
        <f>IF('P9'!G17="","",'P9'!G17)</f>
        <v>Vigrestad IK</v>
      </c>
      <c r="H13" s="110">
        <f>IF('P9'!N17=0,"",'P9'!N17)</f>
        <v>130</v>
      </c>
      <c r="I13" s="110">
        <f>IF('P9'!O17=0,"",'P9'!O17)</f>
        <v>148</v>
      </c>
      <c r="J13" s="110">
        <f>IF('P9'!P17=0,"",'P9'!P17)</f>
        <v>278</v>
      </c>
      <c r="K13" s="111">
        <f>IF('P9'!R17=0,"",'P9'!R17)</f>
        <v>386.74867084644853</v>
      </c>
      <c r="L13" s="49"/>
      <c r="Q13" s="67"/>
    </row>
    <row r="14" spans="1:17" ht="15">
      <c r="A14" s="105">
        <v>2</v>
      </c>
      <c r="B14" s="106">
        <f>IF('P2'!A13="","",'P2'!A13)</f>
        <v>105</v>
      </c>
      <c r="C14" s="107">
        <f>IF('P2'!B13="","",'P2'!B13)</f>
        <v>96.22</v>
      </c>
      <c r="D14" s="106" t="str">
        <f>IF('P2'!C13="","",'P2'!C13)</f>
        <v>M8</v>
      </c>
      <c r="E14" s="108">
        <f>IF('P2'!D13="","",'P2'!D13)</f>
        <v>16495</v>
      </c>
      <c r="F14" s="109" t="str">
        <f>IF('P2'!F13="","",'P2'!F13)</f>
        <v>Eskil Lian</v>
      </c>
      <c r="G14" s="109" t="str">
        <f>IF('P2'!G13="","",'P2'!G13)</f>
        <v>Trondheim AK</v>
      </c>
      <c r="H14" s="110">
        <f>IF('P2'!N13=0,"",'P2'!N13)</f>
        <v>74</v>
      </c>
      <c r="I14" s="110">
        <f>IF('P2'!O13=0,"",'P2'!O13)</f>
        <v>90</v>
      </c>
      <c r="J14" s="110">
        <f>IF('P2'!P13=0,"",'P2'!P13)</f>
        <v>164</v>
      </c>
      <c r="K14" s="111">
        <f>IF('P2'!R13=0,"",'P2'!R13)</f>
        <v>358.14549997107304</v>
      </c>
      <c r="Q14" s="67"/>
    </row>
    <row r="15" spans="1:17" ht="15">
      <c r="A15" s="174">
        <v>3</v>
      </c>
      <c r="B15" s="106">
        <f>IF('P2'!A14="","",'P2'!A14)</f>
        <v>105</v>
      </c>
      <c r="C15" s="107">
        <f>IF('P2'!B14="","",'P2'!B14)</f>
        <v>102</v>
      </c>
      <c r="D15" s="106" t="str">
        <f>IF('P2'!C14="","",'P2'!C14)</f>
        <v>M8</v>
      </c>
      <c r="E15" s="108">
        <f>IF('P2'!D14="","",'P2'!D14)</f>
        <v>16309</v>
      </c>
      <c r="F15" s="109" t="str">
        <f>IF('P2'!F14="","",'P2'!F14)</f>
        <v>Øistein Smith Larsen</v>
      </c>
      <c r="G15" s="109" t="str">
        <f>IF('P2'!G14="","",'P2'!G14)</f>
        <v>Larvik AK</v>
      </c>
      <c r="H15" s="110">
        <f>IF('P2'!N14=0,"",'P2'!N14)</f>
        <v>67</v>
      </c>
      <c r="I15" s="110">
        <f>IF('P2'!O14=0,"",'P2'!O14)</f>
        <v>92</v>
      </c>
      <c r="J15" s="110">
        <f>IF('P2'!P14=0,"",'P2'!P14)</f>
        <v>159</v>
      </c>
      <c r="K15" s="111">
        <f>IF('P2'!R14=0,"",'P2'!R14)</f>
        <v>351.52788639030234</v>
      </c>
      <c r="L15" s="49"/>
      <c r="Q15" s="67"/>
    </row>
    <row r="16" spans="1:17" ht="15">
      <c r="A16" s="105">
        <v>4</v>
      </c>
      <c r="B16" s="106">
        <f>IF('P14'!A15="","",'P14'!A15)</f>
        <v>105</v>
      </c>
      <c r="C16" s="107">
        <f>IF('P14'!B15="","",'P14'!B15)</f>
        <v>104.46</v>
      </c>
      <c r="D16" s="106" t="str">
        <f>IF('P14'!C15="","",'P14'!C15)</f>
        <v>M1</v>
      </c>
      <c r="E16" s="108">
        <f>IF('P14'!D15="","",'P14'!D15)</f>
        <v>27849</v>
      </c>
      <c r="F16" s="109" t="str">
        <f>IF('P14'!F15="","",'P14'!F15)</f>
        <v>Børge Aadland</v>
      </c>
      <c r="G16" s="109" t="str">
        <f>IF('P14'!G15="","",'P14'!G15)</f>
        <v>AK Bjørgvin</v>
      </c>
      <c r="H16" s="110">
        <f>IF('P14'!N15=0,"",'P14'!N15)</f>
        <v>120</v>
      </c>
      <c r="I16" s="110">
        <f>IF('P14'!O15=0,"",'P14'!O15)</f>
        <v>165</v>
      </c>
      <c r="J16" s="110">
        <f>IF('P14'!P15=0,"",'P14'!P15)</f>
        <v>285</v>
      </c>
      <c r="K16" s="111">
        <f>IF('P14'!R15=0,"",'P14'!R15)</f>
        <v>351.03548124376573</v>
      </c>
      <c r="Q16" s="67"/>
    </row>
    <row r="17" spans="1:11" ht="15">
      <c r="A17" s="174">
        <v>5</v>
      </c>
      <c r="B17" s="106" t="str">
        <f>IF('P2'!A15="","",'P2'!A15)</f>
        <v>+105</v>
      </c>
      <c r="C17" s="107">
        <f>IF('P2'!B15="","",'P2'!B15)</f>
        <v>105.12</v>
      </c>
      <c r="D17" s="106" t="str">
        <f>IF('P2'!C15="","",'P2'!C15)</f>
        <v>M8</v>
      </c>
      <c r="E17" s="108">
        <f>IF('P2'!D15="","",'P2'!D15)</f>
        <v>16227</v>
      </c>
      <c r="F17" s="109" t="str">
        <f>IF('P2'!F15="","",'P2'!F15)</f>
        <v>Jan Nystrøm</v>
      </c>
      <c r="G17" s="109" t="str">
        <f>IF('P2'!G15="","",'P2'!G15)</f>
        <v>Trondheim AK</v>
      </c>
      <c r="H17" s="110">
        <f>IF('P2'!N15=0,"",'P2'!N15)</f>
        <v>68</v>
      </c>
      <c r="I17" s="110">
        <f>IF('P2'!O15=0,"",'P2'!O15)</f>
        <v>90</v>
      </c>
      <c r="J17" s="110">
        <f>IF('P2'!P15=0,"",'P2'!P15)</f>
        <v>158</v>
      </c>
      <c r="K17" s="111">
        <f>IF('P2'!R15=0,"",'P2'!R15)</f>
        <v>345.55205709928964</v>
      </c>
    </row>
    <row r="18" spans="1:17" ht="15">
      <c r="A18" s="105">
        <v>6</v>
      </c>
      <c r="B18" s="106">
        <f>IF('P2'!A19="","",'P2'!A19)</f>
        <v>85</v>
      </c>
      <c r="C18" s="107">
        <f>IF('P2'!B19="","",'P2'!B19)</f>
        <v>84.96</v>
      </c>
      <c r="D18" s="106" t="str">
        <f>IF('P2'!C19="","",'P2'!C19)</f>
        <v>M9</v>
      </c>
      <c r="E18" s="108">
        <f>IF('P2'!D19="","",'P2'!D19)</f>
        <v>14143</v>
      </c>
      <c r="F18" s="109" t="str">
        <f>IF('P2'!F19="","",'P2'!F19)</f>
        <v>Johan Nystrøm</v>
      </c>
      <c r="G18" s="109" t="str">
        <f>IF('P2'!G19="","",'P2'!G19)</f>
        <v>Trondheim AK</v>
      </c>
      <c r="H18" s="110">
        <f>IF('P2'!N19=0,"",'P2'!N19)</f>
        <v>57</v>
      </c>
      <c r="I18" s="110">
        <f>IF('P2'!O19=0,"",'P2'!O19)</f>
        <v>71</v>
      </c>
      <c r="J18" s="110">
        <f>IF('P2'!P19=0,"",'P2'!P19)</f>
        <v>128</v>
      </c>
      <c r="K18" s="111">
        <f>IF('P2'!R19=0,"",'P2'!R19)</f>
        <v>344.40342012884884</v>
      </c>
      <c r="Q18" s="67"/>
    </row>
    <row r="19" spans="1:17" ht="15">
      <c r="A19" s="174">
        <v>7</v>
      </c>
      <c r="B19" s="106">
        <f>IF('P14'!A17="","",'P14'!A17)</f>
        <v>105</v>
      </c>
      <c r="C19" s="107">
        <f>IF('P14'!B17="","",'P14'!B17)</f>
        <v>97.3</v>
      </c>
      <c r="D19" s="106" t="str">
        <f>IF('P14'!C17="","",'P14'!C17)</f>
        <v>M4</v>
      </c>
      <c r="E19" s="108">
        <f>IF('P14'!D17="","",'P14'!D17)</f>
        <v>24011</v>
      </c>
      <c r="F19" s="109" t="str">
        <f>IF('P14'!F17="","",'P14'!F17)</f>
        <v>Alexander Bahmanyar</v>
      </c>
      <c r="G19" s="109" t="str">
        <f>IF('P14'!G17="","",'P14'!G17)</f>
        <v>Spydeberg Atletene</v>
      </c>
      <c r="H19" s="110">
        <f>IF('P14'!N17=0,"",'P14'!N17)</f>
        <v>105</v>
      </c>
      <c r="I19" s="110">
        <f>IF('P14'!O17=0,"",'P14'!O17)</f>
        <v>141</v>
      </c>
      <c r="J19" s="110">
        <f>IF('P14'!P17=0,"",'P14'!P17)</f>
        <v>246</v>
      </c>
      <c r="K19" s="111">
        <f>IF('P14'!R17=0,"",'P14'!R17)</f>
        <v>343.8901500220729</v>
      </c>
      <c r="Q19" s="67"/>
    </row>
    <row r="20" spans="1:17" ht="15">
      <c r="A20" s="105">
        <v>8</v>
      </c>
      <c r="B20" s="106">
        <f>IF('P2'!A12="","",'P2'!A12)</f>
        <v>94</v>
      </c>
      <c r="C20" s="107">
        <f>IF('P2'!B12="","",'P2'!B12)</f>
        <v>93.88</v>
      </c>
      <c r="D20" s="106" t="str">
        <f>IF('P2'!C12="","",'P2'!C12)</f>
        <v>M8</v>
      </c>
      <c r="E20" s="108">
        <f>IF('P2'!D12="","",'P2'!D12)</f>
        <v>16079</v>
      </c>
      <c r="F20" s="109" t="str">
        <f>IF('P2'!F12="","",'P2'!F12)</f>
        <v>Leif Hepsø</v>
      </c>
      <c r="G20" s="109" t="str">
        <f>IF('P2'!G12="","",'P2'!G12)</f>
        <v>Namsos VK</v>
      </c>
      <c r="H20" s="110">
        <f>IF('P2'!N12=0,"",'P2'!N12)</f>
        <v>60</v>
      </c>
      <c r="I20" s="110">
        <f>IF('P2'!O12=0,"",'P2'!O12)</f>
        <v>88</v>
      </c>
      <c r="J20" s="110">
        <f>IF('P2'!P12=0,"",'P2'!P12)</f>
        <v>148</v>
      </c>
      <c r="K20" s="111">
        <f>IF('P2'!R12=0,"",'P2'!R12)</f>
        <v>338.2108389400727</v>
      </c>
      <c r="Q20" s="67"/>
    </row>
    <row r="21" spans="1:17" ht="15">
      <c r="A21" s="174">
        <v>9</v>
      </c>
      <c r="B21" s="106">
        <f>IF('P2'!A17="","",'P2'!A17)</f>
        <v>77</v>
      </c>
      <c r="C21" s="107">
        <f>IF('P2'!B17="","",'P2'!B17)</f>
        <v>76.14</v>
      </c>
      <c r="D21" s="106" t="str">
        <f>IF('P2'!C17="","",'P2'!C17)</f>
        <v>M9</v>
      </c>
      <c r="E21" s="108">
        <f>IF('P2'!D17="","",'P2'!D17)</f>
        <v>14425</v>
      </c>
      <c r="F21" s="109" t="str">
        <f>IF('P2'!F17="","",'P2'!F17)</f>
        <v>Hans Martin Arnesen</v>
      </c>
      <c r="G21" s="109" t="str">
        <f>IF('P2'!G17="","",'P2'!G17)</f>
        <v>IL Kraftsport</v>
      </c>
      <c r="H21" s="110">
        <f>IF('P2'!N17=0,"",'P2'!N17)</f>
        <v>51</v>
      </c>
      <c r="I21" s="110">
        <f>IF('P2'!O17=0,"",'P2'!O17)</f>
        <v>71</v>
      </c>
      <c r="J21" s="110">
        <f>IF('P2'!P17=0,"",'P2'!P17)</f>
        <v>122</v>
      </c>
      <c r="K21" s="111">
        <f>IF('P2'!R17=0,"",'P2'!R17)</f>
        <v>337.6862236378285</v>
      </c>
      <c r="Q21" s="67"/>
    </row>
    <row r="22" spans="1:17" ht="15">
      <c r="A22" s="105">
        <v>10</v>
      </c>
      <c r="B22" s="106" t="str">
        <f>IF('P4'!A18="","",'P4'!A18)</f>
        <v>+105</v>
      </c>
      <c r="C22" s="107">
        <f>IF('P4'!B18="","",'P4'!B18)</f>
        <v>115.96</v>
      </c>
      <c r="D22" s="106" t="str">
        <f>IF('P4'!C18="","",'P4'!C18)</f>
        <v>M2</v>
      </c>
      <c r="E22" s="108">
        <f>IF('P4'!D18="","",'P4'!D18)</f>
        <v>26048</v>
      </c>
      <c r="F22" s="109" t="str">
        <f>IF('P4'!F18="","",'P4'!F18)</f>
        <v>Geir Johansen</v>
      </c>
      <c r="G22" s="109" t="str">
        <f>IF('P4'!G18="","",'P4'!G18)</f>
        <v>Lenja AK</v>
      </c>
      <c r="H22" s="110">
        <f>IF('P4'!N18=0,"",'P4'!N18)</f>
        <v>116</v>
      </c>
      <c r="I22" s="110">
        <f>IF('P4'!O18=0,"",'P4'!O18)</f>
        <v>151</v>
      </c>
      <c r="J22" s="110">
        <f>IF('P4'!P18=0,"",'P4'!P18)</f>
        <v>267</v>
      </c>
      <c r="K22" s="111">
        <f>IF('P4'!R18=0,"",'P4'!R18)</f>
        <v>334.5373345599776</v>
      </c>
      <c r="Q22" s="67"/>
    </row>
    <row r="23" spans="1:17" ht="15">
      <c r="A23" s="174">
        <v>11</v>
      </c>
      <c r="B23" s="106">
        <f>IF('P1'!A11="","",'P1'!A11)</f>
        <v>85</v>
      </c>
      <c r="C23" s="107">
        <f>IF('P1'!B11="","",'P1'!B11)</f>
        <v>84.72</v>
      </c>
      <c r="D23" s="106" t="str">
        <f>IF('P1'!C11="","",'P1'!C11)</f>
        <v>M5</v>
      </c>
      <c r="E23" s="108">
        <f>IF('P1'!D11="","",'P1'!D11)</f>
        <v>21177</v>
      </c>
      <c r="F23" s="109" t="str">
        <f>IF('P1'!F11="","",'P1'!F11)</f>
        <v>Vidar Sæland</v>
      </c>
      <c r="G23" s="109" t="str">
        <f>IF('P1'!G11="","",'P1'!G11)</f>
        <v>Vigrestad IK</v>
      </c>
      <c r="H23" s="110">
        <f>IF('P1'!N11=0,"",'P1'!N11)</f>
        <v>84</v>
      </c>
      <c r="I23" s="110">
        <f>IF('P1'!O11=0,"",'P1'!O11)</f>
        <v>107</v>
      </c>
      <c r="J23" s="110">
        <f>IF('P1'!P11=0,"",'P1'!P11)</f>
        <v>191</v>
      </c>
      <c r="K23" s="111">
        <f>IF('P1'!R11=0,"",'P1'!R11)</f>
        <v>331.2794732088977</v>
      </c>
      <c r="Q23" s="67"/>
    </row>
    <row r="24" spans="1:17" ht="15">
      <c r="A24" s="105">
        <v>12</v>
      </c>
      <c r="B24" s="106">
        <f>IF('P11'!A17="","",'P11'!A17)</f>
        <v>85</v>
      </c>
      <c r="C24" s="107">
        <f>IF('P11'!B17="","",'P11'!B17)</f>
        <v>83.26</v>
      </c>
      <c r="D24" s="106" t="str">
        <f>IF('P11'!C17="","",'P11'!C17)</f>
        <v>M4</v>
      </c>
      <c r="E24" s="108">
        <f>IF('P11'!D17="","",'P11'!D17)</f>
        <v>23084</v>
      </c>
      <c r="F24" s="109" t="str">
        <f>IF('P11'!F17="","",'P11'!F17)</f>
        <v>Bjørnar Olsen</v>
      </c>
      <c r="G24" s="109" t="str">
        <f>IF('P11'!G17="","",'P11'!G17)</f>
        <v>Grenland AK</v>
      </c>
      <c r="H24" s="110">
        <f>IF('P11'!N17=0,"",'P11'!N17)</f>
        <v>98</v>
      </c>
      <c r="I24" s="110">
        <f>IF('P11'!O17=0,"",'P11'!O17)</f>
        <v>117</v>
      </c>
      <c r="J24" s="110">
        <f>IF('P11'!P17=0,"",'P11'!P17)</f>
        <v>215</v>
      </c>
      <c r="K24" s="111">
        <f>IF('P11'!R17=0,"",'P11'!R17)</f>
        <v>329.97627829144733</v>
      </c>
      <c r="Q24" s="67"/>
    </row>
    <row r="25" spans="1:17" ht="15">
      <c r="A25" s="174">
        <v>13</v>
      </c>
      <c r="B25" s="106">
        <f>IF('P4'!A16="","",'P4'!A16)</f>
        <v>94</v>
      </c>
      <c r="C25" s="107">
        <f>IF('P4'!B16="","",'P4'!B16)</f>
        <v>93</v>
      </c>
      <c r="D25" s="106" t="str">
        <f>IF('P4'!C16="","",'P4'!C16)</f>
        <v>M2</v>
      </c>
      <c r="E25" s="108">
        <f>IF('P4'!D16="","",'P4'!D16)</f>
        <v>26566</v>
      </c>
      <c r="F25" s="109" t="str">
        <f>IF('P4'!F16="","",'P4'!F16)</f>
        <v>Jarle Hammersvik</v>
      </c>
      <c r="G25" s="109" t="str">
        <f>IF('P4'!G16="","",'P4'!G16)</f>
        <v>Haugesund VK</v>
      </c>
      <c r="H25" s="110">
        <f>IF('P4'!N16=0,"",'P4'!N16)</f>
        <v>105</v>
      </c>
      <c r="I25" s="110">
        <f>IF('P4'!O16=0,"",'P4'!O16)</f>
        <v>140</v>
      </c>
      <c r="J25" s="110">
        <f>IF('P4'!P16=0,"",'P4'!P16)</f>
        <v>245</v>
      </c>
      <c r="K25" s="111">
        <f>IF('P4'!R16=0,"",'P4'!R16)</f>
        <v>328.5297174920303</v>
      </c>
      <c r="Q25" s="67"/>
    </row>
    <row r="26" spans="1:17" ht="15">
      <c r="A26" s="105">
        <v>14</v>
      </c>
      <c r="B26" s="106">
        <f>IF('P3'!A19="","",'P3'!A19)</f>
        <v>94</v>
      </c>
      <c r="C26" s="107">
        <f>IF('P3'!B19="","",'P3'!B19)</f>
        <v>92.72</v>
      </c>
      <c r="D26" s="106" t="str">
        <f>IF('P3'!C19="","",'P3'!C19)</f>
        <v>M4</v>
      </c>
      <c r="E26" s="108">
        <f>IF('P3'!D19="","",'P3'!D19)</f>
        <v>22864</v>
      </c>
      <c r="F26" s="109" t="str">
        <f>IF('P3'!F19="","",'P3'!F19)</f>
        <v>Petter N. Sæterdal</v>
      </c>
      <c r="G26" s="109" t="str">
        <f>IF('P3'!G19="","",'P3'!G19)</f>
        <v>AK Bjørgvin</v>
      </c>
      <c r="H26" s="110">
        <f>IF('P3'!N19=0,"",'P3'!N19)</f>
        <v>102</v>
      </c>
      <c r="I26" s="110">
        <f>IF('P3'!O19=0,"",'P3'!O19)</f>
        <v>117</v>
      </c>
      <c r="J26" s="110">
        <f>IF('P3'!P19=0,"",'P3'!P19)</f>
        <v>219</v>
      </c>
      <c r="K26" s="111">
        <f>IF('P3'!R19=0,"",'P3'!R19)</f>
        <v>324.9636460395068</v>
      </c>
      <c r="Q26" s="67"/>
    </row>
    <row r="27" spans="1:17" ht="15">
      <c r="A27" s="174">
        <v>15</v>
      </c>
      <c r="B27" s="106" t="str">
        <f>IF('P2'!A16="","",'P2'!A16)</f>
        <v>+105</v>
      </c>
      <c r="C27" s="107">
        <f>IF('P2'!B16="","",'P2'!B16)</f>
        <v>112.4</v>
      </c>
      <c r="D27" s="106" t="str">
        <f>IF('P2'!C16="","",'P2'!C16)</f>
        <v>M8</v>
      </c>
      <c r="E27" s="108">
        <f>IF('P2'!D16="","",'P2'!D16)</f>
        <v>16053</v>
      </c>
      <c r="F27" s="109" t="str">
        <f>IF('P2'!F16="","",'P2'!F16)</f>
        <v>Kolbjørn Bjerkholt</v>
      </c>
      <c r="G27" s="109" t="str">
        <f>IF('P2'!G16="","",'P2'!G16)</f>
        <v>Larvik AK</v>
      </c>
      <c r="H27" s="110">
        <f>IF('P2'!N16=0,"",'P2'!N16)</f>
        <v>68</v>
      </c>
      <c r="I27" s="110">
        <f>IF('P2'!O16=0,"",'P2'!O16)</f>
        <v>80</v>
      </c>
      <c r="J27" s="110">
        <f>IF('P2'!P16=0,"",'P2'!P16)</f>
        <v>148</v>
      </c>
      <c r="K27" s="111">
        <f>IF('P2'!R16=0,"",'P2'!R16)</f>
        <v>324.7563807341981</v>
      </c>
      <c r="Q27" s="67"/>
    </row>
    <row r="28" spans="1:17" ht="15">
      <c r="A28" s="105">
        <v>16</v>
      </c>
      <c r="B28" s="106">
        <f>IF('P3'!A17="","",'P3'!A17)</f>
        <v>94</v>
      </c>
      <c r="C28" s="107">
        <f>IF('P3'!B17="","",'P3'!B17)</f>
        <v>89.66</v>
      </c>
      <c r="D28" s="106" t="str">
        <f>IF('P3'!C17="","",'P3'!C17)</f>
        <v>M4</v>
      </c>
      <c r="E28" s="108">
        <f>IF('P3'!D17="","",'P3'!D17)</f>
        <v>22528</v>
      </c>
      <c r="F28" s="109" t="str">
        <f>IF('P3'!F17="","",'P3'!F17)</f>
        <v>Terje Gulvik</v>
      </c>
      <c r="G28" s="109" t="str">
        <f>IF('P3'!G17="","",'P3'!G17)</f>
        <v>Larvik AK</v>
      </c>
      <c r="H28" s="110">
        <f>IF('P3'!N17=0,"",'P3'!N17)</f>
        <v>92</v>
      </c>
      <c r="I28" s="110">
        <f>IF('P3'!O17=0,"",'P3'!O17)</f>
        <v>119</v>
      </c>
      <c r="J28" s="110">
        <f>IF('P3'!P17=0,"",'P3'!P17)</f>
        <v>211</v>
      </c>
      <c r="K28" s="111">
        <f>IF('P3'!R17=0,"",'P3'!R17)</f>
        <v>324.22077944158383</v>
      </c>
      <c r="Q28" s="67"/>
    </row>
    <row r="29" spans="1:17" ht="15">
      <c r="A29" s="174">
        <v>17</v>
      </c>
      <c r="B29" s="106">
        <f>IF('P11'!A18="","",'P11'!A18)</f>
        <v>85</v>
      </c>
      <c r="C29" s="107">
        <f>IF('P11'!B18="","",'P11'!B18)</f>
        <v>81.04</v>
      </c>
      <c r="D29" s="106" t="str">
        <f>IF('P11'!C18="","",'P11'!C18)</f>
        <v>M1</v>
      </c>
      <c r="E29" s="108">
        <f>IF('P11'!D18="","",'P11'!D18)</f>
        <v>28620</v>
      </c>
      <c r="F29" s="109" t="str">
        <f>IF('P11'!F18="","",'P11'!F18)</f>
        <v>Kristian Høyland</v>
      </c>
      <c r="G29" s="109" t="str">
        <f>IF('P11'!G18="","",'P11'!G18)</f>
        <v>Vigrestad IK</v>
      </c>
      <c r="H29" s="110">
        <f>IF('P11'!N18=0,"",'P11'!N18)</f>
        <v>105</v>
      </c>
      <c r="I29" s="110">
        <f>IF('P11'!O18=0,"",'P11'!O18)</f>
        <v>130</v>
      </c>
      <c r="J29" s="110">
        <f>IF('P11'!P18=0,"",'P11'!P18)</f>
        <v>235</v>
      </c>
      <c r="K29" s="111">
        <f>IF('P11'!R18=0,"",'P11'!R18)</f>
        <v>316.5599802714869</v>
      </c>
      <c r="Q29" s="67"/>
    </row>
    <row r="30" spans="1:17" ht="15">
      <c r="A30" s="105">
        <v>18</v>
      </c>
      <c r="B30" s="106">
        <f>IF('P1'!A18="","",'P1'!A18)</f>
        <v>94</v>
      </c>
      <c r="C30" s="107">
        <f>IF('P1'!B18="","",'P1'!B18)</f>
        <v>93.68</v>
      </c>
      <c r="D30" s="106" t="str">
        <f>IF('P1'!C18="","",'P1'!C18)</f>
        <v>M6</v>
      </c>
      <c r="E30" s="108">
        <f>IF('P1'!D18="","",'P1'!D18)</f>
        <v>19656</v>
      </c>
      <c r="F30" s="109" t="str">
        <f>IF('P1'!F18="","",'P1'!F18)</f>
        <v>Johan Thonerud</v>
      </c>
      <c r="G30" s="109" t="str">
        <f>IF('P1'!G18="","",'P1'!G18)</f>
        <v>Spydeberg Atletene</v>
      </c>
      <c r="H30" s="110">
        <f>IF('P1'!N18=0,"",'P1'!N18)</f>
        <v>78</v>
      </c>
      <c r="I30" s="110">
        <f>IF('P1'!O18=0,"",'P1'!O18)</f>
        <v>98</v>
      </c>
      <c r="J30" s="110">
        <f>IF('P1'!P18=0,"",'P1'!P18)</f>
        <v>176</v>
      </c>
      <c r="K30" s="111">
        <f>IF('P1'!R18=0,"",'P1'!R18)</f>
        <v>313.8873007437486</v>
      </c>
      <c r="Q30" s="67"/>
    </row>
    <row r="31" spans="1:17" ht="15">
      <c r="A31" s="174">
        <v>19</v>
      </c>
      <c r="B31" s="106">
        <f>IF('P2'!A20="","",'P2'!A20)</f>
        <v>94</v>
      </c>
      <c r="C31" s="107">
        <f>IF('P2'!B20="","",'P2'!B20)</f>
        <v>93.58</v>
      </c>
      <c r="D31" s="106" t="str">
        <f>IF('P2'!C20="","",'P2'!C20)</f>
        <v>M9</v>
      </c>
      <c r="E31" s="108">
        <f>IF('P2'!D20="","",'P2'!D20)</f>
        <v>14941</v>
      </c>
      <c r="F31" s="109" t="str">
        <f>IF('P2'!F20="","",'P2'!F20)</f>
        <v>Per Marstad</v>
      </c>
      <c r="G31" s="109" t="str">
        <f>IF('P2'!G20="","",'P2'!G20)</f>
        <v>Tønsberg-Kam.</v>
      </c>
      <c r="H31" s="110">
        <f>IF('P2'!N20=0,"",'P2'!N20)</f>
        <v>60</v>
      </c>
      <c r="I31" s="110">
        <f>IF('P2'!O20=0,"",'P2'!O20)</f>
        <v>68</v>
      </c>
      <c r="J31" s="110">
        <f>IF('P2'!P20=0,"",'P2'!P20)</f>
        <v>128</v>
      </c>
      <c r="K31" s="111">
        <f>IF('P2'!R20=0,"",'P2'!R20)</f>
        <v>313.39110158374353</v>
      </c>
      <c r="Q31" s="67"/>
    </row>
    <row r="32" spans="1:17" ht="15">
      <c r="A32" s="105">
        <v>20</v>
      </c>
      <c r="B32" s="106">
        <f>IF('P1'!A15="","",'P1'!A15)</f>
        <v>77</v>
      </c>
      <c r="C32" s="107">
        <f>IF('P1'!B15="","",'P1'!B15)</f>
        <v>75.94</v>
      </c>
      <c r="D32" s="106" t="str">
        <f>IF('P1'!C15="","",'P1'!C15)</f>
        <v>M6</v>
      </c>
      <c r="E32" s="108">
        <f>IF('P1'!D15="","",'P1'!D15)</f>
        <v>20075</v>
      </c>
      <c r="F32" s="109" t="str">
        <f>IF('P1'!F15="","",'P1'!F15)</f>
        <v>Egon Vee Haugen</v>
      </c>
      <c r="G32" s="109" t="str">
        <f>IF('P1'!G15="","",'P1'!G15)</f>
        <v>Grenland AK</v>
      </c>
      <c r="H32" s="110">
        <f>IF('P1'!N15=0,"",'P1'!N15)</f>
        <v>75</v>
      </c>
      <c r="I32" s="110">
        <f>IF('P1'!O15=0,"",'P1'!O15)</f>
        <v>85</v>
      </c>
      <c r="J32" s="110">
        <f>IF('P1'!P15=0,"",'P1'!P15)</f>
        <v>160</v>
      </c>
      <c r="K32" s="111">
        <f>IF('P1'!R15=0,"",'P1'!R15)</f>
        <v>311.9365570376582</v>
      </c>
      <c r="Q32" s="67"/>
    </row>
    <row r="33" spans="1:17" ht="15">
      <c r="A33" s="174">
        <v>21</v>
      </c>
      <c r="B33" s="106">
        <f>IF('P2'!A21="","",'P2'!A21)</f>
        <v>105</v>
      </c>
      <c r="C33" s="107">
        <f>IF('P2'!B21="","",'P2'!B21)</f>
        <v>101.38</v>
      </c>
      <c r="D33" s="106" t="str">
        <f>IF('P2'!C21="","",'P2'!C21)</f>
        <v>M9</v>
      </c>
      <c r="E33" s="108">
        <f>IF('P2'!D21="","",'P2'!D21)</f>
        <v>14019</v>
      </c>
      <c r="F33" s="109" t="str">
        <f>IF('P2'!F21="","",'P2'!F21)</f>
        <v>Aage Sletsjøe</v>
      </c>
      <c r="G33" s="109" t="str">
        <f>IF('P2'!G21="","",'P2'!G21)</f>
        <v>Larvik AK</v>
      </c>
      <c r="H33" s="110">
        <f>IF('P2'!N21=0,"",'P2'!N21)</f>
        <v>54</v>
      </c>
      <c r="I33" s="110">
        <f>IF('P2'!O21=0,"",'P2'!O21)</f>
        <v>70</v>
      </c>
      <c r="J33" s="110">
        <f>IF('P2'!P21=0,"",'P2'!P21)</f>
        <v>124</v>
      </c>
      <c r="K33" s="111">
        <f>IF('P2'!R21=0,"",'P2'!R21)</f>
        <v>308.9450248031474</v>
      </c>
      <c r="Q33" s="67"/>
    </row>
    <row r="34" spans="1:17" ht="15">
      <c r="A34" s="105">
        <v>22</v>
      </c>
      <c r="B34" s="106">
        <f>IF('P3'!A12="","",'P3'!A12)</f>
        <v>105</v>
      </c>
      <c r="C34" s="107">
        <f>IF('P3'!B12="","",'P3'!B12)</f>
        <v>97.32</v>
      </c>
      <c r="D34" s="106" t="str">
        <f>IF('P3'!C12="","",'P3'!C12)</f>
        <v>M3</v>
      </c>
      <c r="E34" s="108">
        <f>IF('P3'!D12="","",'P3'!D12)</f>
        <v>24948</v>
      </c>
      <c r="F34" s="109" t="str">
        <f>IF('P3'!F12="","",'P3'!F12)</f>
        <v>Magnar Helleren</v>
      </c>
      <c r="G34" s="109" t="str">
        <f>IF('P3'!G12="","",'P3'!G12)</f>
        <v>Vigrestad IK</v>
      </c>
      <c r="H34" s="110">
        <f>IF('P3'!N12=0,"",'P3'!N12)</f>
        <v>105</v>
      </c>
      <c r="I34" s="110">
        <f>IF('P3'!O12=0,"",'P3'!O12)</f>
        <v>120</v>
      </c>
      <c r="J34" s="110">
        <f>IF('P3'!P12=0,"",'P3'!P12)</f>
        <v>225</v>
      </c>
      <c r="K34" s="111">
        <f>IF('P3'!R12=0,"",'P3'!R12)</f>
        <v>307.92905335070634</v>
      </c>
      <c r="Q34" s="67"/>
    </row>
    <row r="35" spans="1:17" ht="15">
      <c r="A35" s="174">
        <v>23</v>
      </c>
      <c r="B35" s="106">
        <f>IF('P14'!A16="","",'P14'!A16)</f>
        <v>105</v>
      </c>
      <c r="C35" s="107">
        <f>IF('P14'!B16="","",'P14'!B16)</f>
        <v>96.72</v>
      </c>
      <c r="D35" s="106" t="str">
        <f>IF('P14'!C16="","",'P14'!C16)</f>
        <v>M2</v>
      </c>
      <c r="E35" s="108">
        <f>IF('P14'!D16="","",'P14'!D16)</f>
        <v>26790</v>
      </c>
      <c r="F35" s="109" t="str">
        <f>IF('P14'!F16="","",'P14'!F16)</f>
        <v>Ronny Fevåg</v>
      </c>
      <c r="G35" s="109" t="str">
        <f>IF('P14'!G16="","",'P14'!G16)</f>
        <v>Trondheim AK</v>
      </c>
      <c r="H35" s="110">
        <f>IF('P14'!N16=0,"",'P14'!N16)</f>
        <v>105</v>
      </c>
      <c r="I35" s="110">
        <f>IF('P14'!O16=0,"",'P14'!O16)</f>
        <v>130</v>
      </c>
      <c r="J35" s="110">
        <f>IF('P14'!P16=0,"",'P14'!P16)</f>
        <v>235</v>
      </c>
      <c r="K35" s="111">
        <f>IF('P14'!R16=0,"",'P14'!R16)</f>
        <v>306.7896238222647</v>
      </c>
      <c r="Q35" s="67"/>
    </row>
    <row r="36" spans="1:17" ht="15">
      <c r="A36" s="105">
        <v>24</v>
      </c>
      <c r="B36" s="106">
        <f>IF('P1'!A17="","",'P1'!A17)</f>
        <v>94</v>
      </c>
      <c r="C36" s="107">
        <f>IF('P1'!B17="","",'P1'!B17)</f>
        <v>93.28</v>
      </c>
      <c r="D36" s="106" t="str">
        <f>IF('P1'!C17="","",'P1'!C17)</f>
        <v>M6</v>
      </c>
      <c r="E36" s="108">
        <f>IF('P1'!D17="","",'P1'!D17)</f>
        <v>18809</v>
      </c>
      <c r="F36" s="109" t="str">
        <f>IF('P1'!F17="","",'P1'!F17)</f>
        <v>Terje Grimstad</v>
      </c>
      <c r="G36" s="109" t="str">
        <f>IF('P1'!G17="","",'P1'!G17)</f>
        <v>Larvik AK</v>
      </c>
      <c r="H36" s="110">
        <f>IF('P1'!N17=0,"",'P1'!N17)</f>
        <v>70</v>
      </c>
      <c r="I36" s="110">
        <f>IF('P1'!O17=0,"",'P1'!O17)</f>
        <v>95</v>
      </c>
      <c r="J36" s="110">
        <f>IF('P1'!P17=0,"",'P1'!P17)</f>
        <v>165</v>
      </c>
      <c r="K36" s="111">
        <f>IF('P1'!R17=0,"",'P1'!R17)</f>
        <v>303.68804916098713</v>
      </c>
      <c r="Q36" s="67"/>
    </row>
    <row r="37" spans="1:17" ht="15">
      <c r="A37" s="174">
        <v>25</v>
      </c>
      <c r="B37" s="106">
        <f>IF('P1'!A16="","",'P1'!A16)</f>
        <v>85</v>
      </c>
      <c r="C37" s="107">
        <f>IF('P1'!B16="","",'P1'!B16)</f>
        <v>78.22</v>
      </c>
      <c r="D37" s="106" t="str">
        <f>IF('P1'!C16="","",'P1'!C16)</f>
        <v>M6</v>
      </c>
      <c r="E37" s="108">
        <f>IF('P1'!D16="","",'P1'!D16)</f>
        <v>20296</v>
      </c>
      <c r="F37" s="109" t="str">
        <f>IF('P1'!F16="","",'P1'!F16)</f>
        <v>Jan Egil Trøan</v>
      </c>
      <c r="G37" s="109" t="str">
        <f>IF('P1'!G16="","",'P1'!G16)</f>
        <v>Trondheim AK</v>
      </c>
      <c r="H37" s="110">
        <f>IF('P1'!N16=0,"",'P1'!N16)</f>
        <v>70</v>
      </c>
      <c r="I37" s="110">
        <f>IF('P1'!O16=0,"",'P1'!O16)</f>
        <v>91</v>
      </c>
      <c r="J37" s="110">
        <f>IF('P1'!P16=0,"",'P1'!P16)</f>
        <v>161</v>
      </c>
      <c r="K37" s="111">
        <f>IF('P1'!R16=0,"",'P1'!R16)</f>
        <v>303.27170082007046</v>
      </c>
      <c r="Q37" s="67"/>
    </row>
    <row r="38" spans="1:17" ht="15">
      <c r="A38" s="105">
        <v>26</v>
      </c>
      <c r="B38" s="106">
        <f>IF('P3'!A18="","",'P3'!A18)</f>
        <v>94</v>
      </c>
      <c r="C38" s="107">
        <f>IF('P3'!B18="","",'P3'!B18)</f>
        <v>93.28</v>
      </c>
      <c r="D38" s="106" t="str">
        <f>IF('P3'!C18="","",'P3'!C18)</f>
        <v>M4</v>
      </c>
      <c r="E38" s="108">
        <f>IF('P3'!D18="","",'P3'!D18)</f>
        <v>23441</v>
      </c>
      <c r="F38" s="109" t="str">
        <f>IF('P3'!F18="","",'P3'!F18)</f>
        <v>Ole Jakob Aas</v>
      </c>
      <c r="G38" s="109" t="str">
        <f>IF('P3'!G18="","",'P3'!G18)</f>
        <v>T &amp; IL National</v>
      </c>
      <c r="H38" s="110">
        <f>IF('P3'!N18=0,"",'P3'!N18)</f>
        <v>94</v>
      </c>
      <c r="I38" s="110">
        <f>IF('P3'!O18=0,"",'P3'!O18)</f>
        <v>117</v>
      </c>
      <c r="J38" s="110">
        <f>IF('P3'!P18=0,"",'P3'!P18)</f>
        <v>211</v>
      </c>
      <c r="K38" s="111">
        <f>IF('P3'!R18=0,"",'P3'!R18)</f>
        <v>303.0985747703723</v>
      </c>
      <c r="Q38" s="67"/>
    </row>
    <row r="39" spans="1:17" ht="15">
      <c r="A39" s="174">
        <v>27</v>
      </c>
      <c r="B39" s="106" t="str">
        <f>IF('P1'!A13="","",'P1'!A13)</f>
        <v>+105</v>
      </c>
      <c r="C39" s="107">
        <f>IF('P1'!B13="","",'P1'!B13)</f>
        <v>105.96</v>
      </c>
      <c r="D39" s="106" t="str">
        <f>IF('P1'!C13="","",'P1'!C13)</f>
        <v>M5</v>
      </c>
      <c r="E39" s="108">
        <f>IF('P1'!D13="","",'P1'!D13)</f>
        <v>21088</v>
      </c>
      <c r="F39" s="109" t="str">
        <f>IF('P1'!F13="","",'P1'!F13)</f>
        <v>Rune Johansen</v>
      </c>
      <c r="G39" s="109" t="str">
        <f>IF('P1'!G13="","",'P1'!G13)</f>
        <v>Lenja AK</v>
      </c>
      <c r="H39" s="110">
        <f>IF('P1'!N13=0,"",'P1'!N13)</f>
        <v>74</v>
      </c>
      <c r="I39" s="110">
        <f>IF('P1'!O13=0,"",'P1'!O13)</f>
        <v>117</v>
      </c>
      <c r="J39" s="110">
        <f>IF('P1'!P13=0,"",'P1'!P13)</f>
        <v>191</v>
      </c>
      <c r="K39" s="111">
        <f>IF('P1'!R13=0,"",'P1'!R13)</f>
        <v>301.50622499117196</v>
      </c>
      <c r="Q39" s="67"/>
    </row>
    <row r="40" spans="1:17" ht="15">
      <c r="A40" s="105">
        <v>28</v>
      </c>
      <c r="B40" s="106">
        <f>IF('P4'!A15="","",'P4'!A15)</f>
        <v>85</v>
      </c>
      <c r="C40" s="107">
        <f>IF('P4'!B15="","",'P4'!B15)</f>
        <v>79.96</v>
      </c>
      <c r="D40" s="106" t="str">
        <f>IF('P4'!C15="","",'P4'!C15)</f>
        <v>M2</v>
      </c>
      <c r="E40" s="108">
        <f>IF('P4'!D15="","",'P4'!D15)</f>
        <v>25993</v>
      </c>
      <c r="F40" s="109" t="str">
        <f>IF('P4'!F15="","",'P4'!F15)</f>
        <v>Thorkild Larsen</v>
      </c>
      <c r="G40" s="109" t="str">
        <f>IF('P4'!G15="","",'P4'!G15)</f>
        <v>Larvik AK</v>
      </c>
      <c r="H40" s="110">
        <f>IF('P4'!N15=0,"",'P4'!N15)</f>
        <v>95</v>
      </c>
      <c r="I40" s="110">
        <f>IF('P4'!O15=0,"",'P4'!O15)</f>
        <v>110</v>
      </c>
      <c r="J40" s="110">
        <f>IF('P4'!P15=0,"",'P4'!P15)</f>
        <v>205</v>
      </c>
      <c r="K40" s="111">
        <f>IF('P4'!R15=0,"",'P4'!R15)</f>
        <v>299.11762476249487</v>
      </c>
      <c r="Q40" s="67"/>
    </row>
    <row r="41" spans="1:17" ht="15">
      <c r="A41" s="174">
        <v>29</v>
      </c>
      <c r="B41" s="106">
        <f>IF('P4'!A17="","",'P4'!A17)</f>
        <v>94</v>
      </c>
      <c r="C41" s="107">
        <f>IF('P4'!B17="","",'P4'!B17)</f>
        <v>86.84</v>
      </c>
      <c r="D41" s="106" t="str">
        <f>IF('P4'!C17="","",'P4'!C17)</f>
        <v>M2</v>
      </c>
      <c r="E41" s="108">
        <f>IF('P4'!D17="","",'P4'!D17)</f>
        <v>26854</v>
      </c>
      <c r="F41" s="109" t="str">
        <f>IF('P4'!F17="","",'P4'!F17)</f>
        <v>Jonny Block</v>
      </c>
      <c r="G41" s="109" t="str">
        <f>IF('P4'!G17="","",'P4'!G17)</f>
        <v>Nidelv IL</v>
      </c>
      <c r="H41" s="110">
        <f>IF('P4'!N17=0,"",'P4'!N17)</f>
        <v>98</v>
      </c>
      <c r="I41" s="110">
        <f>IF('P4'!O17=0,"",'P4'!O17)</f>
        <v>120</v>
      </c>
      <c r="J41" s="110">
        <f>IF('P4'!P17=0,"",'P4'!P17)</f>
        <v>218</v>
      </c>
      <c r="K41" s="111">
        <f>IF('P4'!R17=0,"",'P4'!R17)</f>
        <v>298.53996481564604</v>
      </c>
      <c r="Q41" s="67"/>
    </row>
    <row r="42" spans="1:17" ht="15">
      <c r="A42" s="105">
        <v>30</v>
      </c>
      <c r="B42" s="106" t="str">
        <f>IF('P3'!A15="","",'P3'!A15)</f>
        <v>+105</v>
      </c>
      <c r="C42" s="107">
        <f>IF('P3'!B15="","",'P3'!B15)</f>
        <v>113.42</v>
      </c>
      <c r="D42" s="106" t="str">
        <f>IF('P3'!C15="","",'P3'!C15)</f>
        <v>M3</v>
      </c>
      <c r="E42" s="108">
        <f>IF('P3'!D15="","",'P3'!D15)</f>
        <v>25021</v>
      </c>
      <c r="F42" s="109" t="str">
        <f>IF('P3'!F15="","",'P3'!F15)</f>
        <v>Dag Rønnevik</v>
      </c>
      <c r="G42" s="109" t="str">
        <f>IF('P3'!G15="","",'P3'!G15)</f>
        <v>Tysvær VK</v>
      </c>
      <c r="H42" s="110">
        <f>IF('P3'!N15=0,"",'P3'!N15)</f>
        <v>95</v>
      </c>
      <c r="I42" s="110">
        <f>IF('P3'!O15=0,"",'P3'!O15)</f>
        <v>130</v>
      </c>
      <c r="J42" s="110">
        <f>IF('P3'!P15=0,"",'P3'!P15)</f>
        <v>225</v>
      </c>
      <c r="K42" s="111">
        <f>IF('P3'!R15=0,"",'P3'!R15)</f>
        <v>291.87931323339905</v>
      </c>
      <c r="Q42" s="67"/>
    </row>
    <row r="43" spans="1:17" ht="15">
      <c r="A43" s="174">
        <v>31</v>
      </c>
      <c r="B43" s="106">
        <f>IF('P4'!A13="","",'P4'!A13)</f>
        <v>85</v>
      </c>
      <c r="C43" s="107">
        <f>IF('P4'!B13="","",'P4'!B13)</f>
        <v>81.98</v>
      </c>
      <c r="D43" s="106" t="str">
        <f>IF('P4'!C13="","",'P4'!C13)</f>
        <v>M1</v>
      </c>
      <c r="E43" s="108">
        <f>IF('P4'!D13="","",'P4'!D13)</f>
        <v>29147</v>
      </c>
      <c r="F43" s="109" t="str">
        <f>IF('P4'!F13="","",'P4'!F13)</f>
        <v>Ole Marius Hovdum</v>
      </c>
      <c r="G43" s="109" t="str">
        <f>IF('P4'!G13="","",'P4'!G13)</f>
        <v>T &amp; IL National</v>
      </c>
      <c r="H43" s="110">
        <f>IF('P4'!N13=0,"",'P4'!N13)</f>
        <v>95</v>
      </c>
      <c r="I43" s="110">
        <f>IF('P4'!O13=0,"",'P4'!O13)</f>
        <v>119</v>
      </c>
      <c r="J43" s="110">
        <f>IF('P4'!P13=0,"",'P4'!P13)</f>
        <v>214</v>
      </c>
      <c r="K43" s="111">
        <f>IF('P4'!R13=0,"",'P4'!R13)</f>
        <v>283.14595556863037</v>
      </c>
      <c r="Q43" s="67"/>
    </row>
    <row r="44" spans="1:17" ht="15">
      <c r="A44" s="105">
        <v>32</v>
      </c>
      <c r="B44" s="106">
        <f>IF('P1'!A12="","",'P1'!A12)</f>
        <v>94</v>
      </c>
      <c r="C44" s="107">
        <f>IF('P1'!B12="","",'P1'!B12)</f>
        <v>90.66</v>
      </c>
      <c r="D44" s="106" t="str">
        <f>IF('P1'!C12="","",'P1'!C12)</f>
        <v>M5</v>
      </c>
      <c r="E44" s="108">
        <f>IF('P1'!D12="","",'P1'!D12)</f>
        <v>22050</v>
      </c>
      <c r="F44" s="109" t="str">
        <f>IF('P1'!F12="","",'P1'!F12)</f>
        <v>Trond Kvilhaug</v>
      </c>
      <c r="G44" s="109" t="str">
        <f>IF('P1'!G12="","",'P1'!G12)</f>
        <v>Nidelv IL</v>
      </c>
      <c r="H44" s="110">
        <f>IF('P1'!N12=0,"",'P1'!N12)</f>
        <v>80</v>
      </c>
      <c r="I44" s="110">
        <f>IF('P1'!O12=0,"",'P1'!O12)</f>
        <v>100</v>
      </c>
      <c r="J44" s="110">
        <f>IF('P1'!P12=0,"",'P1'!P12)</f>
        <v>180</v>
      </c>
      <c r="K44" s="111">
        <f>IF('P1'!R12=0,"",'P1'!R12)</f>
        <v>281.6612937525324</v>
      </c>
      <c r="Q44" s="67"/>
    </row>
    <row r="45" spans="1:17" ht="15">
      <c r="A45" s="174">
        <v>33</v>
      </c>
      <c r="B45" s="106">
        <f>IF('P3'!A11="","",'P3'!A11)</f>
        <v>94</v>
      </c>
      <c r="C45" s="107">
        <f>IF('P3'!B11="","",'P3'!B11)</f>
        <v>92.62</v>
      </c>
      <c r="D45" s="106" t="str">
        <f>IF('P3'!C11="","",'P3'!C11)</f>
        <v>M3</v>
      </c>
      <c r="E45" s="108">
        <f>IF('P3'!D11="","",'P3'!D11)</f>
        <v>25366</v>
      </c>
      <c r="F45" s="109" t="str">
        <f>IF('P3'!F11="","",'P3'!F11)</f>
        <v>Lars-Thomas Grønlien</v>
      </c>
      <c r="G45" s="109" t="str">
        <f>IF('P3'!G11="","",'P3'!G11)</f>
        <v>Oslo AK</v>
      </c>
      <c r="H45" s="110">
        <f>IF('P3'!N11=0,"",'P3'!N11)</f>
        <v>90</v>
      </c>
      <c r="I45" s="110">
        <f>IF('P3'!O11=0,"",'P3'!O11)</f>
        <v>112</v>
      </c>
      <c r="J45" s="110">
        <f>IF('P3'!P11=0,"",'P3'!P11)</f>
        <v>202</v>
      </c>
      <c r="K45" s="111">
        <f>IF('P3'!R11=0,"",'P3'!R11)</f>
        <v>279.93372516283637</v>
      </c>
      <c r="Q45" s="67"/>
    </row>
    <row r="46" spans="1:17" ht="15">
      <c r="A46" s="105">
        <v>34</v>
      </c>
      <c r="B46" s="106">
        <f>IF('P3'!A10="","",'P3'!A10)</f>
        <v>77</v>
      </c>
      <c r="C46" s="107">
        <f>IF('P3'!B10="","",'P3'!B10)</f>
        <v>76.02</v>
      </c>
      <c r="D46" s="106" t="str">
        <f>IF('P3'!C10="","",'P3'!C10)</f>
        <v>M3</v>
      </c>
      <c r="E46" s="108">
        <f>IF('P3'!D10="","",'P3'!D10)</f>
        <v>24128</v>
      </c>
      <c r="F46" s="109" t="str">
        <f>IF('P3'!F10="","",'P3'!F10)</f>
        <v>Tom Danielsen</v>
      </c>
      <c r="G46" s="109" t="str">
        <f>IF('P3'!G10="","",'P3'!G10)</f>
        <v>Larvik AK</v>
      </c>
      <c r="H46" s="110">
        <f>IF('P3'!N10=0,"",'P3'!N10)</f>
        <v>74</v>
      </c>
      <c r="I46" s="110">
        <f>IF('P3'!O10=0,"",'P3'!O10)</f>
        <v>100</v>
      </c>
      <c r="J46" s="110">
        <f>IF('P3'!P10=0,"",'P3'!P10)</f>
        <v>174</v>
      </c>
      <c r="K46" s="111">
        <f>IF('P3'!R10=0,"",'P3'!R10)</f>
        <v>272.36879517611317</v>
      </c>
      <c r="Q46" s="67"/>
    </row>
    <row r="47" spans="1:17" ht="15">
      <c r="A47" s="174">
        <v>35</v>
      </c>
      <c r="B47" s="106" t="str">
        <f>IF('P1'!A19="","",'P1'!A19)</f>
        <v>+105</v>
      </c>
      <c r="C47" s="107">
        <f>IF('P1'!B19="","",'P1'!B19)</f>
        <v>106.32</v>
      </c>
      <c r="D47" s="106" t="str">
        <f>IF('P1'!C19="","",'P1'!C19)</f>
        <v>M6</v>
      </c>
      <c r="E47" s="108">
        <f>IF('P1'!D19="","",'P1'!D19)</f>
        <v>19590</v>
      </c>
      <c r="F47" s="109" t="str">
        <f>IF('P1'!F19="","",'P1'!F19)</f>
        <v>Rune Pettersen</v>
      </c>
      <c r="G47" s="109" t="str">
        <f>IF('P1'!G19="","",'P1'!G19)</f>
        <v>Larvik AK</v>
      </c>
      <c r="H47" s="110">
        <f>IF('P1'!N19=0,"",'P1'!N19)</f>
        <v>63</v>
      </c>
      <c r="I47" s="110">
        <f>IF('P1'!O19=0,"",'P1'!O19)</f>
        <v>95</v>
      </c>
      <c r="J47" s="110">
        <f>IF('P1'!P19=0,"",'P1'!P19)</f>
        <v>158</v>
      </c>
      <c r="K47" s="111">
        <f>IF('P1'!R19=0,"",'P1'!R19)</f>
        <v>268.3798174624617</v>
      </c>
      <c r="Q47" s="67"/>
    </row>
    <row r="48" spans="1:17" ht="15">
      <c r="A48" s="105">
        <v>36</v>
      </c>
      <c r="B48" s="106">
        <f>IF('P2'!A18="","",'P2'!A18)</f>
        <v>94</v>
      </c>
      <c r="C48" s="107">
        <f>IF('P2'!B18="","",'P2'!B18)</f>
        <v>90.42</v>
      </c>
      <c r="D48" s="106" t="str">
        <f>IF('P2'!C18="","",'P2'!C18)</f>
        <v>M9</v>
      </c>
      <c r="E48" s="108">
        <f>IF('P2'!D18="","",'P2'!D18)</f>
        <v>14761</v>
      </c>
      <c r="F48" s="109" t="str">
        <f>IF('P2'!F18="","",'P2'!F18)</f>
        <v>Roald Bjerkholt</v>
      </c>
      <c r="G48" s="109" t="str">
        <f>IF('P2'!G18="","",'P2'!G18)</f>
        <v>Larvik AK</v>
      </c>
      <c r="H48" s="110">
        <f>IF('P2'!N18=0,"",'P2'!N18)</f>
        <v>45</v>
      </c>
      <c r="I48" s="110">
        <f>IF('P2'!O18=0,"",'P2'!O18)</f>
        <v>62</v>
      </c>
      <c r="J48" s="110">
        <f>IF('P2'!P18=0,"",'P2'!P18)</f>
        <v>107</v>
      </c>
      <c r="K48" s="111">
        <f>IF('P2'!R18=0,"",'P2'!R18)</f>
        <v>265.97745245644313</v>
      </c>
      <c r="Q48" s="67"/>
    </row>
    <row r="49" spans="1:17" ht="15">
      <c r="A49" s="174">
        <v>37</v>
      </c>
      <c r="B49" s="106">
        <f>IF('P1'!A10="","",'P1'!A10)</f>
        <v>85</v>
      </c>
      <c r="C49" s="107">
        <f>IF('P1'!B10="","",'P1'!B10)</f>
        <v>83.48</v>
      </c>
      <c r="D49" s="106" t="str">
        <f>IF('P1'!C10="","",'P1'!C10)</f>
        <v>M5</v>
      </c>
      <c r="E49" s="108">
        <f>IF('P1'!D10="","",'P1'!D10)</f>
        <v>21818</v>
      </c>
      <c r="F49" s="109" t="str">
        <f>IF('P1'!F10="","",'P1'!F10)</f>
        <v>Ketil Johnsen</v>
      </c>
      <c r="G49" s="109" t="str">
        <f>IF('P1'!G10="","",'P1'!G10)</f>
        <v>Trondheim AK</v>
      </c>
      <c r="H49" s="110">
        <f>IF('P1'!N10=0,"",'P1'!N10)</f>
        <v>69</v>
      </c>
      <c r="I49" s="110">
        <f>IF('P1'!O10=0,"",'P1'!O10)</f>
        <v>90</v>
      </c>
      <c r="J49" s="110">
        <f>IF('P1'!P10=0,"",'P1'!P10)</f>
        <v>159</v>
      </c>
      <c r="K49" s="111">
        <f>IF('P1'!R10=0,"",'P1'!R10)</f>
        <v>265.3678749095412</v>
      </c>
      <c r="Q49" s="67"/>
    </row>
    <row r="50" spans="1:17" ht="15">
      <c r="A50" s="105">
        <v>38</v>
      </c>
      <c r="B50" s="106">
        <f>IF('P2'!A11="","",'P2'!A11)</f>
        <v>94</v>
      </c>
      <c r="C50" s="107">
        <f>IF('P2'!B11="","",'P2'!B11)</f>
        <v>93.06</v>
      </c>
      <c r="D50" s="106" t="str">
        <f>IF('P2'!C11="","",'P2'!C11)</f>
        <v>M7</v>
      </c>
      <c r="E50" s="108">
        <f>IF('P2'!D11="","",'P2'!D11)</f>
        <v>17025</v>
      </c>
      <c r="F50" s="109" t="str">
        <f>IF('P2'!F11="","",'P2'!F11)</f>
        <v>Jostein Myrvang</v>
      </c>
      <c r="G50" s="109" t="str">
        <f>IF('P2'!G11="","",'P2'!G11)</f>
        <v>Larvik AK</v>
      </c>
      <c r="H50" s="110">
        <f>IF('P2'!N11=0,"",'P2'!N11)</f>
        <v>50</v>
      </c>
      <c r="I50" s="110">
        <f>IF('P2'!O11=0,"",'P2'!O11)</f>
        <v>72</v>
      </c>
      <c r="J50" s="110">
        <f>IF('P2'!P11=0,"",'P2'!P11)</f>
        <v>122</v>
      </c>
      <c r="K50" s="111">
        <f>IF('P2'!R11=0,"",'P2'!R11)</f>
        <v>259.4412772816234</v>
      </c>
      <c r="Q50" s="67"/>
    </row>
    <row r="51" spans="1:17" ht="15">
      <c r="A51" s="174">
        <v>39</v>
      </c>
      <c r="B51" s="106">
        <f>IF('P3'!A13="","",'P3'!A13)</f>
        <v>105</v>
      </c>
      <c r="C51" s="107">
        <f>IF('P3'!B13="","",'P3'!B13)</f>
        <v>100.16</v>
      </c>
      <c r="D51" s="106" t="str">
        <f>IF('P3'!C13="","",'P3'!C13)</f>
        <v>M3</v>
      </c>
      <c r="E51" s="108">
        <f>IF('P3'!D13="","",'P3'!D13)</f>
        <v>24473</v>
      </c>
      <c r="F51" s="109" t="str">
        <f>IF('P3'!F13="","",'P3'!F13)</f>
        <v>Jøran Herfjord</v>
      </c>
      <c r="G51" s="109" t="str">
        <f>IF('P3'!G13="","",'P3'!G13)</f>
        <v>Trondheim AK</v>
      </c>
      <c r="H51" s="110">
        <f>IF('P3'!N13=0,"",'P3'!N13)</f>
        <v>85</v>
      </c>
      <c r="I51" s="110">
        <f>IF('P3'!O13=0,"",'P3'!O13)</f>
        <v>105</v>
      </c>
      <c r="J51" s="110">
        <f>IF('P3'!P13=0,"",'P3'!P13)</f>
        <v>190</v>
      </c>
      <c r="K51" s="111">
        <f>IF('P3'!R13=0,"",'P3'!R13)</f>
        <v>259.01083408015046</v>
      </c>
      <c r="Q51" s="67"/>
    </row>
    <row r="52" spans="1:17" ht="15">
      <c r="A52" s="105">
        <v>40</v>
      </c>
      <c r="B52" s="106">
        <f>IF('P1'!A9="","",'P1'!A9)</f>
        <v>94</v>
      </c>
      <c r="C52" s="107">
        <f>IF('P1'!B9="","",'P1'!B9)</f>
        <v>85.22</v>
      </c>
      <c r="D52" s="106" t="str">
        <f>IF('P1'!C9="","",'P1'!C9)</f>
        <v>M5</v>
      </c>
      <c r="E52" s="108">
        <f>IF('P1'!D9="","",'P1'!D9)</f>
        <v>20790</v>
      </c>
      <c r="F52" s="109" t="str">
        <f>IF('P1'!F9="","",'P1'!F9)</f>
        <v>Tormod Andersen</v>
      </c>
      <c r="G52" s="109" t="str">
        <f>IF('P1'!G9="","",'P1'!G9)</f>
        <v>Lenja AK</v>
      </c>
      <c r="H52" s="110">
        <f>IF('P1'!N9=0,"",'P1'!N9)</f>
        <v>65</v>
      </c>
      <c r="I52" s="110">
        <f>IF('P1'!O9=0,"",'P1'!O9)</f>
        <v>80</v>
      </c>
      <c r="J52" s="110">
        <f>IF('P1'!P9=0,"",'P1'!P9)</f>
        <v>145</v>
      </c>
      <c r="K52" s="111">
        <f>IF('P1'!R9=0,"",'P1'!R9)</f>
        <v>256.12658836166247</v>
      </c>
      <c r="Q52" s="67"/>
    </row>
    <row r="53" spans="1:17" ht="15">
      <c r="A53" s="174">
        <v>41</v>
      </c>
      <c r="B53" s="106">
        <f>IF('P3'!A16="","",'P3'!A16)</f>
        <v>94</v>
      </c>
      <c r="C53" s="107">
        <f>IF('P3'!B16="","",'P3'!B16)</f>
        <v>87.6</v>
      </c>
      <c r="D53" s="106" t="str">
        <f>IF('P3'!C16="","",'P3'!C16)</f>
        <v>M4</v>
      </c>
      <c r="E53" s="108">
        <f>IF('P3'!D16="","",'P3'!D16)</f>
        <v>23840</v>
      </c>
      <c r="F53" s="109" t="str">
        <f>IF('P3'!F16="","",'P3'!F16)</f>
        <v>Tryggve Duun</v>
      </c>
      <c r="G53" s="109" t="str">
        <f>IF('P3'!G16="","",'P3'!G16)</f>
        <v>Trondheim AK</v>
      </c>
      <c r="H53" s="110">
        <f>IF('P3'!N16=0,"",'P3'!N16)</f>
        <v>73</v>
      </c>
      <c r="I53" s="110">
        <f>IF('P3'!O16=0,"",'P3'!O16)</f>
        <v>92</v>
      </c>
      <c r="J53" s="110">
        <f>IF('P3'!P16=0,"",'P3'!P16)</f>
        <v>165</v>
      </c>
      <c r="K53" s="111">
        <f>IF('P3'!R16=0,"",'P3'!R16)</f>
        <v>241.5368142471302</v>
      </c>
      <c r="Q53" s="67"/>
    </row>
    <row r="54" spans="1:11" ht="15">
      <c r="A54" s="105">
        <v>42</v>
      </c>
      <c r="B54" s="106">
        <f>IF('P2'!A10="","",'P2'!A10)</f>
        <v>85</v>
      </c>
      <c r="C54" s="107">
        <f>IF('P2'!B10="","",'P2'!B10)</f>
        <v>82.26</v>
      </c>
      <c r="D54" s="106" t="str">
        <f>IF('P2'!C10="","",'P2'!C10)</f>
        <v>M7</v>
      </c>
      <c r="E54" s="108">
        <f>IF('P2'!D10="","",'P2'!D10)</f>
        <v>16960</v>
      </c>
      <c r="F54" s="109" t="str">
        <f>IF('P2'!F10="","",'P2'!F10)</f>
        <v>William Wågan</v>
      </c>
      <c r="G54" s="109" t="str">
        <f>IF('P2'!G10="","",'P2'!G10)</f>
        <v>Namsos VK</v>
      </c>
      <c r="H54" s="110">
        <f>IF('P2'!N10=0,"",'P2'!N10)</f>
        <v>42</v>
      </c>
      <c r="I54" s="110">
        <f>IF('P2'!O10=0,"",'P2'!O10)</f>
        <v>58</v>
      </c>
      <c r="J54" s="110">
        <f>IF('P2'!P10=0,"",'P2'!P10)</f>
        <v>100</v>
      </c>
      <c r="K54" s="111">
        <f>IF('P2'!R10=0,"",'P2'!R10)</f>
        <v>225.5150555105127</v>
      </c>
    </row>
    <row r="55" spans="1:17" ht="15">
      <c r="A55" s="174">
        <v>43</v>
      </c>
      <c r="B55" s="106">
        <f>IF('P4'!A14="","",'P4'!A14)</f>
        <v>105</v>
      </c>
      <c r="C55" s="107">
        <f>IF('P4'!B14="","",'P4'!B14)</f>
        <v>104.12</v>
      </c>
      <c r="D55" s="106" t="str">
        <f>IF('P4'!C14="","",'P4'!C14)</f>
        <v>M1</v>
      </c>
      <c r="E55" s="108">
        <f>IF('P4'!D14="","",'P4'!D14)</f>
        <v>29420</v>
      </c>
      <c r="F55" s="109" t="str">
        <f>IF('P4'!F14="","",'P4'!F14)</f>
        <v>Michal Daae</v>
      </c>
      <c r="G55" s="109" t="str">
        <f>IF('P4'!G14="","",'P4'!G14)</f>
        <v>AK Bjørgvin</v>
      </c>
      <c r="H55" s="110">
        <f>IF('P4'!N14=0,"",'P4'!N14)</f>
        <v>85</v>
      </c>
      <c r="I55" s="110">
        <f>IF('P4'!O14=0,"",'P4'!O14)</f>
        <v>105</v>
      </c>
      <c r="J55" s="110">
        <f>IF('P4'!P14=0,"",'P4'!P14)</f>
        <v>190</v>
      </c>
      <c r="K55" s="111">
        <f>IF('P4'!R14=0,"",'P4'!R14)</f>
        <v>223.2565872036172</v>
      </c>
      <c r="Q55" s="67"/>
    </row>
    <row r="56" spans="1:17" ht="15">
      <c r="A56" s="105">
        <v>44</v>
      </c>
      <c r="B56" s="106" t="str">
        <f>IF('P2'!A22="","",'P2'!A22)</f>
        <v>+105</v>
      </c>
      <c r="C56" s="107">
        <f>IF('P2'!B22="","",'P2'!B22)</f>
        <v>113.8</v>
      </c>
      <c r="D56" s="106" t="str">
        <f>IF('P2'!C22="","",'P2'!C22)</f>
        <v>M9</v>
      </c>
      <c r="E56" s="108">
        <f>IF('P2'!D22="","",'P2'!D22)</f>
        <v>13922</v>
      </c>
      <c r="F56" s="109" t="str">
        <f>IF('P2'!F22="","",'P2'!F22)</f>
        <v>Kåre Sømme</v>
      </c>
      <c r="G56" s="109" t="str">
        <f>IF('P2'!G22="","",'P2'!G22)</f>
        <v>Haugesund VK</v>
      </c>
      <c r="H56" s="110">
        <f>IF('P2'!N22=0,"",'P2'!N22)</f>
        <v>43</v>
      </c>
      <c r="I56" s="110">
        <f>IF('P2'!O22=0,"",'P2'!O22)</f>
        <v>50</v>
      </c>
      <c r="J56" s="110">
        <f>IF('P2'!P22=0,"",'P2'!P22)</f>
        <v>93</v>
      </c>
      <c r="K56" s="111">
        <f>IF('P2'!R22=0,"",'P2'!R22)</f>
        <v>222.92519294548455</v>
      </c>
      <c r="Q56" s="67"/>
    </row>
    <row r="57" spans="1:11" ht="15">
      <c r="A57" s="174">
        <v>45</v>
      </c>
      <c r="B57" s="106">
        <f>IF('P3'!A9="","",'P3'!A9)</f>
        <v>69</v>
      </c>
      <c r="C57" s="107">
        <f>IF('P3'!B9="","",'P3'!B9)</f>
        <v>64.1</v>
      </c>
      <c r="D57" s="106" t="str">
        <f>IF('P3'!C9="","",'P3'!C9)</f>
        <v>M3</v>
      </c>
      <c r="E57" s="108">
        <f>IF('P3'!D9="","",'P3'!D9)</f>
        <v>24812</v>
      </c>
      <c r="F57" s="109" t="str">
        <f>IF('P3'!F9="","",'P3'!F9)</f>
        <v>Bjørn Thore Olsen</v>
      </c>
      <c r="G57" s="109" t="str">
        <f>IF('P3'!G9="","",'P3'!G9)</f>
        <v>Spydeberg Atletene</v>
      </c>
      <c r="H57" s="110">
        <f>IF('P3'!N9=0,"",'P3'!N9)</f>
        <v>50</v>
      </c>
      <c r="I57" s="110">
        <f>IF('P3'!O9=0,"",'P3'!O9)</f>
        <v>65</v>
      </c>
      <c r="J57" s="110">
        <f>IF('P3'!P9=0,"",'P3'!P9)</f>
        <v>115</v>
      </c>
      <c r="K57" s="111">
        <f>IF('P3'!R9=0,"",'P3'!R9)</f>
        <v>199.19271902502066</v>
      </c>
    </row>
    <row r="58" spans="1:11" ht="15.75" customHeight="1">
      <c r="A58" s="105">
        <v>46</v>
      </c>
      <c r="B58" s="106">
        <f>IF('P3'!A20="","",'P3'!A20)</f>
        <v>105</v>
      </c>
      <c r="C58" s="107">
        <f>IF('P3'!B20="","",'P3'!B20)</f>
        <v>103.52</v>
      </c>
      <c r="D58" s="106" t="str">
        <f>IF('P3'!C20="","",'P3'!C20)</f>
        <v>M4</v>
      </c>
      <c r="E58" s="108">
        <f>IF('P3'!D20="","",'P3'!D20)</f>
        <v>22967</v>
      </c>
      <c r="F58" s="109" t="str">
        <f>IF('P3'!F20="","",'P3'!F20)</f>
        <v>Freddy Svendsen</v>
      </c>
      <c r="G58" s="109" t="str">
        <f>IF('P3'!G20="","",'P3'!G20)</f>
        <v>Lenja AK</v>
      </c>
      <c r="H58" s="110">
        <f>IF('P3'!N20=0,"",'P3'!N20)</f>
        <v>65</v>
      </c>
      <c r="I58" s="110">
        <f>IF('P3'!O20=0,"",'P3'!O20)</f>
        <v>75</v>
      </c>
      <c r="J58" s="110">
        <f>IF('P3'!P20=0,"",'P3'!P20)</f>
        <v>140</v>
      </c>
      <c r="K58" s="111">
        <f>IF('P3'!R20=0,"",'P3'!R20)</f>
        <v>198.82941856243417</v>
      </c>
    </row>
    <row r="59" spans="1:11" ht="15">
      <c r="A59" s="174">
        <v>47</v>
      </c>
      <c r="B59" s="106" t="str">
        <f>IF('P3'!A14="","",'P3'!A14)</f>
        <v>+105</v>
      </c>
      <c r="C59" s="107">
        <f>IF('P3'!B14="","",'P3'!B14)</f>
        <v>121.54</v>
      </c>
      <c r="D59" s="106" t="str">
        <f>IF('P3'!C14="","",'P3'!C14)</f>
        <v>M3</v>
      </c>
      <c r="E59" s="108">
        <f>IF('P3'!D14="","",'P3'!D14)</f>
        <v>25592</v>
      </c>
      <c r="F59" s="109" t="str">
        <f>IF('P3'!F14="","",'P3'!F14)</f>
        <v>Runar Saxegård</v>
      </c>
      <c r="G59" s="109" t="str">
        <f>IF('P3'!G14="","",'P3'!G14)</f>
        <v>Lenja AK</v>
      </c>
      <c r="H59" s="110">
        <f>IF('P3'!N14=0,"",'P3'!N14)</f>
        <v>65</v>
      </c>
      <c r="I59" s="110">
        <f>IF('P3'!O14=0,"",'P3'!O14)</f>
        <v>90</v>
      </c>
      <c r="J59" s="110">
        <f>IF('P3'!P14=0,"",'P3'!P14)</f>
        <v>155</v>
      </c>
      <c r="K59" s="111">
        <f>IF('P3'!R14=0,"",'P3'!R14)</f>
        <v>193.74581435679292</v>
      </c>
    </row>
    <row r="60" spans="1:11" ht="15">
      <c r="A60" s="105">
        <v>48</v>
      </c>
      <c r="B60" s="106">
        <f>IF('P2'!A9="","",'P2'!A9)</f>
        <v>69</v>
      </c>
      <c r="C60" s="107">
        <f>IF('P2'!B9="","",'P2'!B9)</f>
        <v>63.88</v>
      </c>
      <c r="D60" s="106" t="str">
        <f>IF('P2'!C9="","",'P2'!C9)</f>
        <v>M7</v>
      </c>
      <c r="E60" s="108">
        <f>IF('P2'!D9="","",'P2'!D9)</f>
        <v>17503</v>
      </c>
      <c r="F60" s="109" t="str">
        <f>IF('P2'!F9="","",'P2'!F9)</f>
        <v>Richard Bergmann</v>
      </c>
      <c r="G60" s="109" t="str">
        <f>IF('P2'!G9="","",'P2'!G9)</f>
        <v>Nidelv IL</v>
      </c>
      <c r="H60" s="110">
        <f>IF('P2'!N9=0,"",'P2'!N9)</f>
        <v>33</v>
      </c>
      <c r="I60" s="110">
        <f>IF('P2'!O9=0,"",'P2'!O9)</f>
        <v>42</v>
      </c>
      <c r="J60" s="110">
        <f>IF('P2'!P9=0,"",'P2'!P9)</f>
        <v>75</v>
      </c>
      <c r="K60" s="111">
        <f>IF('P2'!R9=0,"",'P2'!R9)</f>
        <v>189.2722683801842</v>
      </c>
    </row>
  </sheetData>
  <sheetProtection/>
  <mergeCells count="5">
    <mergeCell ref="A3:K3"/>
    <mergeCell ref="A11:K11"/>
    <mergeCell ref="A1:K1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"/>
  <dimension ref="A1:B6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2" width="11.421875" style="0" customWidth="1"/>
  </cols>
  <sheetData>
    <row r="1" spans="1:2" ht="12">
      <c r="A1" t="s">
        <v>34</v>
      </c>
      <c r="B1" s="54"/>
    </row>
    <row r="2" spans="1:2" ht="12">
      <c r="A2" t="s">
        <v>35</v>
      </c>
      <c r="B2" s="54" t="s">
        <v>12</v>
      </c>
    </row>
    <row r="3" spans="1:2" ht="12">
      <c r="A3">
        <v>30</v>
      </c>
      <c r="B3" s="54">
        <v>1</v>
      </c>
    </row>
    <row r="4" spans="1:2" ht="12">
      <c r="A4">
        <v>31</v>
      </c>
      <c r="B4" s="54">
        <v>1.014</v>
      </c>
    </row>
    <row r="5" spans="1:2" ht="12">
      <c r="A5">
        <v>32</v>
      </c>
      <c r="B5" s="54">
        <v>1.028</v>
      </c>
    </row>
    <row r="6" spans="1:2" ht="12">
      <c r="A6">
        <v>33</v>
      </c>
      <c r="B6" s="54">
        <v>1.043</v>
      </c>
    </row>
    <row r="7" spans="1:2" ht="12">
      <c r="A7">
        <v>34</v>
      </c>
      <c r="B7" s="54">
        <v>1.058</v>
      </c>
    </row>
    <row r="8" spans="1:2" ht="12">
      <c r="A8">
        <v>35</v>
      </c>
      <c r="B8" s="54">
        <v>1.072</v>
      </c>
    </row>
    <row r="9" spans="1:2" ht="12">
      <c r="A9">
        <v>36</v>
      </c>
      <c r="B9" s="54">
        <v>1.087</v>
      </c>
    </row>
    <row r="10" spans="1:2" ht="12">
      <c r="A10">
        <v>37</v>
      </c>
      <c r="B10" s="54">
        <v>1.1</v>
      </c>
    </row>
    <row r="11" spans="1:2" ht="12">
      <c r="A11">
        <v>38</v>
      </c>
      <c r="B11" s="54">
        <v>1.113</v>
      </c>
    </row>
    <row r="12" spans="1:2" ht="12">
      <c r="A12">
        <v>39</v>
      </c>
      <c r="B12" s="54">
        <v>1.125</v>
      </c>
    </row>
    <row r="13" spans="1:2" ht="12">
      <c r="A13">
        <v>40</v>
      </c>
      <c r="B13" s="54">
        <v>1.136</v>
      </c>
    </row>
    <row r="14" spans="1:2" ht="12">
      <c r="A14">
        <v>41</v>
      </c>
      <c r="B14" s="54">
        <v>1.147</v>
      </c>
    </row>
    <row r="15" spans="1:2" ht="12">
      <c r="A15">
        <v>42</v>
      </c>
      <c r="B15" s="54">
        <v>1.158</v>
      </c>
    </row>
    <row r="16" spans="1:2" ht="12">
      <c r="A16">
        <v>43</v>
      </c>
      <c r="B16" s="54">
        <v>1.17</v>
      </c>
    </row>
    <row r="17" spans="1:2" ht="12">
      <c r="A17">
        <v>44</v>
      </c>
      <c r="B17" s="54">
        <v>1.183</v>
      </c>
    </row>
    <row r="18" spans="1:2" ht="12">
      <c r="A18">
        <v>45</v>
      </c>
      <c r="B18" s="54">
        <v>1.195</v>
      </c>
    </row>
    <row r="19" spans="1:2" ht="12">
      <c r="A19">
        <v>46</v>
      </c>
      <c r="B19" s="54">
        <v>1.207</v>
      </c>
    </row>
    <row r="20" spans="1:2" ht="12">
      <c r="A20">
        <v>47</v>
      </c>
      <c r="B20" s="54">
        <v>1.217</v>
      </c>
    </row>
    <row r="21" spans="1:2" ht="12">
      <c r="A21">
        <v>48</v>
      </c>
      <c r="B21" s="54">
        <v>1.226</v>
      </c>
    </row>
    <row r="22" spans="1:2" ht="12">
      <c r="A22">
        <v>49</v>
      </c>
      <c r="B22" s="54">
        <v>1.234</v>
      </c>
    </row>
    <row r="23" spans="1:2" ht="12">
      <c r="A23">
        <v>50</v>
      </c>
      <c r="B23" s="54">
        <v>1.243</v>
      </c>
    </row>
    <row r="24" spans="1:2" ht="12">
      <c r="A24">
        <v>51</v>
      </c>
      <c r="B24" s="54">
        <v>1.255</v>
      </c>
    </row>
    <row r="25" spans="1:2" ht="12">
      <c r="A25">
        <v>52</v>
      </c>
      <c r="B25" s="54">
        <v>1.271</v>
      </c>
    </row>
    <row r="26" spans="1:2" ht="12">
      <c r="A26">
        <v>53</v>
      </c>
      <c r="B26" s="54">
        <v>1.293</v>
      </c>
    </row>
    <row r="27" spans="1:2" ht="12">
      <c r="A27">
        <v>54</v>
      </c>
      <c r="B27" s="54">
        <v>1.319</v>
      </c>
    </row>
    <row r="28" spans="1:2" ht="12">
      <c r="A28">
        <v>55</v>
      </c>
      <c r="B28" s="54">
        <v>1.35</v>
      </c>
    </row>
    <row r="29" spans="1:2" ht="12">
      <c r="A29">
        <v>56</v>
      </c>
      <c r="B29" s="54">
        <v>1.384</v>
      </c>
    </row>
    <row r="30" spans="1:2" ht="12">
      <c r="A30">
        <v>57</v>
      </c>
      <c r="B30" s="54">
        <v>1.417</v>
      </c>
    </row>
    <row r="31" spans="1:2" ht="12">
      <c r="A31">
        <v>58</v>
      </c>
      <c r="B31" s="54">
        <v>1.449</v>
      </c>
    </row>
    <row r="32" spans="1:2" ht="12">
      <c r="A32">
        <v>59</v>
      </c>
      <c r="B32" s="54">
        <v>1.48</v>
      </c>
    </row>
    <row r="33" spans="1:2" ht="12">
      <c r="A33">
        <v>60</v>
      </c>
      <c r="B33" s="54">
        <v>1.509</v>
      </c>
    </row>
    <row r="34" spans="1:2" ht="12">
      <c r="A34">
        <v>61</v>
      </c>
      <c r="B34" s="54">
        <v>1.536</v>
      </c>
    </row>
    <row r="35" spans="1:2" ht="12">
      <c r="A35">
        <v>62</v>
      </c>
      <c r="B35" s="54">
        <v>1.561</v>
      </c>
    </row>
    <row r="36" spans="1:2" ht="12">
      <c r="A36">
        <v>63</v>
      </c>
      <c r="B36" s="54">
        <v>1.584</v>
      </c>
    </row>
    <row r="37" spans="1:2" ht="12">
      <c r="A37">
        <v>64</v>
      </c>
      <c r="B37" s="54">
        <v>1.608</v>
      </c>
    </row>
    <row r="38" spans="1:2" ht="12">
      <c r="A38">
        <v>65</v>
      </c>
      <c r="B38" s="54">
        <v>1.636</v>
      </c>
    </row>
    <row r="39" spans="1:2" ht="12">
      <c r="A39">
        <v>66</v>
      </c>
      <c r="B39" s="54">
        <v>1.671</v>
      </c>
    </row>
    <row r="40" spans="1:2" ht="12">
      <c r="A40">
        <v>67</v>
      </c>
      <c r="B40" s="54">
        <v>1.719</v>
      </c>
    </row>
    <row r="41" spans="1:2" ht="12">
      <c r="A41">
        <v>68</v>
      </c>
      <c r="B41" s="54">
        <v>1.782</v>
      </c>
    </row>
    <row r="42" spans="1:2" ht="12">
      <c r="A42">
        <v>69</v>
      </c>
      <c r="B42" s="54">
        <v>1.856</v>
      </c>
    </row>
    <row r="43" spans="1:2" ht="12">
      <c r="A43">
        <v>70</v>
      </c>
      <c r="B43" s="54">
        <v>1.933</v>
      </c>
    </row>
    <row r="44" spans="1:2" ht="12">
      <c r="A44">
        <v>71</v>
      </c>
      <c r="B44" s="54">
        <v>2.002</v>
      </c>
    </row>
    <row r="45" spans="1:2" ht="12">
      <c r="A45">
        <v>72</v>
      </c>
      <c r="B45" s="54">
        <v>2.053</v>
      </c>
    </row>
    <row r="46" spans="1:2" ht="12">
      <c r="A46">
        <v>73</v>
      </c>
      <c r="B46" s="54">
        <v>2.087</v>
      </c>
    </row>
    <row r="47" spans="1:2" ht="12">
      <c r="A47">
        <v>74</v>
      </c>
      <c r="B47" s="54">
        <v>2.113</v>
      </c>
    </row>
    <row r="48" spans="1:2" ht="12">
      <c r="A48">
        <v>75</v>
      </c>
      <c r="B48" s="54">
        <v>2.142</v>
      </c>
    </row>
    <row r="49" spans="1:2" ht="12">
      <c r="A49">
        <v>76</v>
      </c>
      <c r="B49" s="54">
        <v>2.184</v>
      </c>
    </row>
    <row r="50" spans="1:2" ht="12">
      <c r="A50">
        <v>77</v>
      </c>
      <c r="B50" s="54">
        <v>2.251</v>
      </c>
    </row>
    <row r="51" spans="1:2" ht="12">
      <c r="A51">
        <v>78</v>
      </c>
      <c r="B51" s="54">
        <v>2.358</v>
      </c>
    </row>
    <row r="52" spans="1:2" ht="12">
      <c r="A52">
        <v>79</v>
      </c>
      <c r="B52" s="54">
        <v>2.5</v>
      </c>
    </row>
    <row r="53" spans="1:2" ht="12">
      <c r="A53">
        <v>80</v>
      </c>
      <c r="B53" s="54">
        <v>2.669</v>
      </c>
    </row>
    <row r="54" spans="1:2" ht="12">
      <c r="A54">
        <v>81</v>
      </c>
      <c r="B54" s="54">
        <v>2.849</v>
      </c>
    </row>
    <row r="55" spans="1:2" ht="12">
      <c r="A55">
        <v>82</v>
      </c>
      <c r="B55" s="54">
        <v>3.018</v>
      </c>
    </row>
    <row r="56" spans="1:2" ht="12">
      <c r="A56">
        <v>83</v>
      </c>
      <c r="B56" s="54">
        <v>3.166</v>
      </c>
    </row>
    <row r="57" spans="1:2" ht="12">
      <c r="A57">
        <v>84</v>
      </c>
      <c r="B57" s="54">
        <v>3.288</v>
      </c>
    </row>
    <row r="58" spans="1:2" ht="12">
      <c r="A58">
        <v>85</v>
      </c>
      <c r="B58" s="54">
        <v>3.386</v>
      </c>
    </row>
    <row r="59" spans="1:2" ht="12">
      <c r="A59">
        <v>86</v>
      </c>
      <c r="B59" s="54">
        <v>3.458</v>
      </c>
    </row>
    <row r="60" spans="1:2" ht="12">
      <c r="A60">
        <v>87</v>
      </c>
      <c r="B60" s="54">
        <v>3.508</v>
      </c>
    </row>
    <row r="61" spans="1:2" ht="12">
      <c r="A61">
        <v>88</v>
      </c>
      <c r="B61" s="54">
        <v>3.54</v>
      </c>
    </row>
    <row r="62" spans="1:2" ht="12">
      <c r="A62">
        <v>89</v>
      </c>
      <c r="B62" s="54">
        <v>3.559</v>
      </c>
    </row>
    <row r="63" spans="1:2" ht="12">
      <c r="A63">
        <v>90</v>
      </c>
      <c r="B63" s="54">
        <v>3.571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39"/>
  <sheetViews>
    <sheetView showGridLines="0" showRowColHeaders="0" showZeros="0" showOutlineSymbols="0" zoomScaleSheetLayoutView="75" zoomScalePageLayoutView="0" workbookViewId="0" topLeftCell="A10">
      <selection activeCell="H35" sqref="H35:T35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42062</v>
      </c>
      <c r="S5" s="83" t="s">
        <v>30</v>
      </c>
      <c r="T5" s="84">
        <v>3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41">
        <v>69</v>
      </c>
      <c r="B9" s="142">
        <v>64.1</v>
      </c>
      <c r="C9" s="143" t="s">
        <v>95</v>
      </c>
      <c r="D9" s="144">
        <v>24812</v>
      </c>
      <c r="E9" s="145"/>
      <c r="F9" s="146" t="s">
        <v>96</v>
      </c>
      <c r="G9" s="146" t="s">
        <v>50</v>
      </c>
      <c r="H9" s="139">
        <v>45</v>
      </c>
      <c r="I9" s="140">
        <v>48</v>
      </c>
      <c r="J9" s="140">
        <v>50</v>
      </c>
      <c r="K9" s="139">
        <v>65</v>
      </c>
      <c r="L9" s="124">
        <v>-68</v>
      </c>
      <c r="M9" s="124">
        <v>-68</v>
      </c>
      <c r="N9" s="92">
        <f>IF(MAX(H9:J9)&lt;0,0,TRUNC(MAX(H9:J9)/1)*1)</f>
        <v>50</v>
      </c>
      <c r="O9" s="92">
        <f>IF(MAX(K9:M9)&lt;0,0,TRUNC(MAX(K9:M9)/1)*1)</f>
        <v>65</v>
      </c>
      <c r="P9" s="92">
        <f aca="true" t="shared" si="0" ref="P9:P24">IF(N9=0,0,IF(O9=0,0,SUM(N9:O9)))</f>
        <v>115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162.47366967783088</v>
      </c>
      <c r="R9" s="93">
        <f>IF(OR(D9="",B9="",V9=""),0,IF(OR(C9="UM",C9="JM",C9="SM",C9="UK",C9="JK",C9="SK"),"",Q9*(IF(ABS(1900-YEAR((V9+1)-D9))&lt;29,0,(VLOOKUP((YEAR(V9)-YEAR(D9)),'Meltzer-Malone'!$A$3:$B$63,2))))))</f>
        <v>199.19271902502066</v>
      </c>
      <c r="S9" s="94">
        <v>1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1.41281451893766</v>
      </c>
      <c r="V9" s="137">
        <f>R5</f>
        <v>42062</v>
      </c>
    </row>
    <row r="10" spans="1:22" s="13" customFormat="1" ht="19.5" customHeight="1">
      <c r="A10" s="141">
        <v>77</v>
      </c>
      <c r="B10" s="142">
        <v>76.02</v>
      </c>
      <c r="C10" s="143" t="s">
        <v>95</v>
      </c>
      <c r="D10" s="144">
        <v>24128</v>
      </c>
      <c r="E10" s="145"/>
      <c r="F10" s="146" t="s">
        <v>97</v>
      </c>
      <c r="G10" s="146" t="s">
        <v>70</v>
      </c>
      <c r="H10" s="139">
        <v>70</v>
      </c>
      <c r="I10" s="140">
        <v>74</v>
      </c>
      <c r="J10" s="140">
        <v>-77</v>
      </c>
      <c r="K10" s="139">
        <v>94</v>
      </c>
      <c r="L10" s="124">
        <v>97</v>
      </c>
      <c r="M10" s="124">
        <v>100</v>
      </c>
      <c r="N10" s="92">
        <f aca="true" t="shared" si="1" ref="N10:N24">IF(MAX(H10:J10)&lt;0,0,TRUNC(MAX(H10:J10)/1)*1)</f>
        <v>74</v>
      </c>
      <c r="O10" s="92">
        <f aca="true" t="shared" si="2" ref="O10:O24">IF(MAX(K10:M10)&lt;0,0,TRUNC(MAX(K10:M10)/1)*1)</f>
        <v>100</v>
      </c>
      <c r="P10" s="92">
        <f t="shared" si="0"/>
        <v>174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220.72025541014034</v>
      </c>
      <c r="R10" s="93">
        <f>IF(OR(D10="",B10="",V10=""),0,IF(OR(C10="UM",C10="JM",C10="SM",C10="UK",C10="JK",C10="SK"),"",Q10*(IF(ABS(1900-YEAR((V10+1)-D10))&lt;29,0,(VLOOKUP((YEAR(V10)-YEAR(D10)),'Meltzer-Malone'!$A$3:$B$63,2))))))</f>
        <v>272.36879517611317</v>
      </c>
      <c r="S10" s="97">
        <v>1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1.2685072150008065</v>
      </c>
      <c r="V10" s="137">
        <f>R5</f>
        <v>42062</v>
      </c>
    </row>
    <row r="11" spans="1:22" s="13" customFormat="1" ht="19.5" customHeight="1">
      <c r="A11" s="141">
        <v>94</v>
      </c>
      <c r="B11" s="142">
        <v>92.62</v>
      </c>
      <c r="C11" s="143" t="s">
        <v>95</v>
      </c>
      <c r="D11" s="144">
        <v>25366</v>
      </c>
      <c r="E11" s="145"/>
      <c r="F11" s="146" t="s">
        <v>98</v>
      </c>
      <c r="G11" s="146" t="s">
        <v>63</v>
      </c>
      <c r="H11" s="139">
        <v>85</v>
      </c>
      <c r="I11" s="140">
        <v>-88</v>
      </c>
      <c r="J11" s="140">
        <v>90</v>
      </c>
      <c r="K11" s="139">
        <v>105</v>
      </c>
      <c r="L11" s="124">
        <v>-110</v>
      </c>
      <c r="M11" s="124">
        <v>112</v>
      </c>
      <c r="N11" s="92">
        <f t="shared" si="1"/>
        <v>90</v>
      </c>
      <c r="O11" s="92">
        <f t="shared" si="2"/>
        <v>112</v>
      </c>
      <c r="P11" s="92">
        <f t="shared" si="0"/>
        <v>202</v>
      </c>
      <c r="Q11" s="93">
        <f t="shared" si="3"/>
        <v>231.92520726001356</v>
      </c>
      <c r="R11" s="93">
        <f>IF(OR(D11="",B11="",V11=""),0,IF(OR(C11="UM",C11="JM",C11="SM",C11="UK",C11="JK",C11="SK"),"",Q11*(IF(ABS(1900-YEAR((V11+1)-D11))&lt;29,0,(VLOOKUP((YEAR(V11)-YEAR(D11)),'Meltzer-Malone'!$A$3:$B$63,2))))))</f>
        <v>279.93372516283637</v>
      </c>
      <c r="S11" s="97">
        <v>1</v>
      </c>
      <c r="T11" s="97"/>
      <c r="U11" s="95">
        <f t="shared" si="4"/>
        <v>1.1481445903961067</v>
      </c>
      <c r="V11" s="137">
        <f>R5</f>
        <v>42062</v>
      </c>
    </row>
    <row r="12" spans="1:22" s="13" customFormat="1" ht="19.5" customHeight="1">
      <c r="A12" s="141">
        <v>105</v>
      </c>
      <c r="B12" s="142">
        <v>97.32</v>
      </c>
      <c r="C12" s="143" t="s">
        <v>95</v>
      </c>
      <c r="D12" s="144">
        <v>24948</v>
      </c>
      <c r="E12" s="145"/>
      <c r="F12" s="146" t="s">
        <v>99</v>
      </c>
      <c r="G12" s="146" t="s">
        <v>59</v>
      </c>
      <c r="H12" s="139">
        <v>95</v>
      </c>
      <c r="I12" s="140">
        <v>100</v>
      </c>
      <c r="J12" s="140">
        <v>105</v>
      </c>
      <c r="K12" s="139">
        <v>110</v>
      </c>
      <c r="L12" s="124">
        <v>115</v>
      </c>
      <c r="M12" s="124">
        <v>120</v>
      </c>
      <c r="N12" s="92">
        <f t="shared" si="1"/>
        <v>105</v>
      </c>
      <c r="O12" s="92">
        <f t="shared" si="2"/>
        <v>120</v>
      </c>
      <c r="P12" s="92">
        <f t="shared" si="0"/>
        <v>225</v>
      </c>
      <c r="Q12" s="93">
        <f t="shared" si="3"/>
        <v>253.02305123311942</v>
      </c>
      <c r="R12" s="93">
        <f>IF(OR(D12="",B12="",V12=""),0,IF(OR(C12="UM",C12="JM",C12="SM",C12="UK",C12="JK",C12="SK"),"",Q12*(IF(ABS(1900-YEAR((V12+1)-D12))&lt;29,0,(VLOOKUP((YEAR(V12)-YEAR(D12)),'Meltzer-Malone'!$A$3:$B$63,2))))))</f>
        <v>307.92905335070634</v>
      </c>
      <c r="S12" s="97">
        <v>1</v>
      </c>
      <c r="T12" s="97" t="s">
        <v>22</v>
      </c>
      <c r="U12" s="95">
        <f t="shared" si="4"/>
        <v>1.1245468943694197</v>
      </c>
      <c r="V12" s="137">
        <f>R5</f>
        <v>42062</v>
      </c>
    </row>
    <row r="13" spans="1:22" s="13" customFormat="1" ht="19.5" customHeight="1">
      <c r="A13" s="141">
        <v>105</v>
      </c>
      <c r="B13" s="142">
        <v>100.16</v>
      </c>
      <c r="C13" s="143" t="s">
        <v>95</v>
      </c>
      <c r="D13" s="144">
        <v>24473</v>
      </c>
      <c r="E13" s="145"/>
      <c r="F13" s="146" t="s">
        <v>100</v>
      </c>
      <c r="G13" s="146" t="s">
        <v>57</v>
      </c>
      <c r="H13" s="139">
        <v>75</v>
      </c>
      <c r="I13" s="140">
        <v>80</v>
      </c>
      <c r="J13" s="140">
        <v>85</v>
      </c>
      <c r="K13" s="139">
        <v>95</v>
      </c>
      <c r="L13" s="124">
        <v>100</v>
      </c>
      <c r="M13" s="124">
        <v>105</v>
      </c>
      <c r="N13" s="92">
        <f t="shared" si="1"/>
        <v>85</v>
      </c>
      <c r="O13" s="92">
        <f t="shared" si="2"/>
        <v>105</v>
      </c>
      <c r="P13" s="92">
        <f t="shared" si="0"/>
        <v>190</v>
      </c>
      <c r="Q13" s="93">
        <f t="shared" si="3"/>
        <v>211.2649543883772</v>
      </c>
      <c r="R13" s="93">
        <f>IF(OR(D13="",B13="",V13=""),0,IF(OR(C13="UM",C13="JM",C13="SM",C13="UK",C13="JK",C13="SK"),"",Q13*(IF(ABS(1900-YEAR((V13+1)-D13))&lt;29,0,(VLOOKUP((YEAR(V13)-YEAR(D13)),'Meltzer-Malone'!$A$3:$B$63,2))))))</f>
        <v>259.01083408015046</v>
      </c>
      <c r="S13" s="97">
        <v>2</v>
      </c>
      <c r="T13" s="97" t="s">
        <v>22</v>
      </c>
      <c r="U13" s="95">
        <f t="shared" si="4"/>
        <v>1.1119208125704063</v>
      </c>
      <c r="V13" s="137">
        <f>R5</f>
        <v>42062</v>
      </c>
    </row>
    <row r="14" spans="1:22" s="13" customFormat="1" ht="19.5" customHeight="1">
      <c r="A14" s="149" t="s">
        <v>83</v>
      </c>
      <c r="B14" s="142">
        <v>121.54</v>
      </c>
      <c r="C14" s="143" t="s">
        <v>95</v>
      </c>
      <c r="D14" s="144">
        <v>25592</v>
      </c>
      <c r="E14" s="145"/>
      <c r="F14" s="146" t="s">
        <v>101</v>
      </c>
      <c r="G14" s="146" t="s">
        <v>55</v>
      </c>
      <c r="H14" s="139">
        <v>50</v>
      </c>
      <c r="I14" s="140">
        <v>60</v>
      </c>
      <c r="J14" s="140">
        <v>65</v>
      </c>
      <c r="K14" s="139">
        <v>75</v>
      </c>
      <c r="L14" s="124">
        <v>85</v>
      </c>
      <c r="M14" s="124">
        <v>90</v>
      </c>
      <c r="N14" s="92">
        <f t="shared" si="1"/>
        <v>65</v>
      </c>
      <c r="O14" s="92">
        <f t="shared" si="2"/>
        <v>90</v>
      </c>
      <c r="P14" s="92">
        <f t="shared" si="0"/>
        <v>155</v>
      </c>
      <c r="Q14" s="93">
        <f t="shared" si="3"/>
        <v>162.1303885830903</v>
      </c>
      <c r="R14" s="93">
        <f>IF(OR(D14="",B14="",V14=""),0,IF(OR(C14="UM",C14="JM",C14="SM",C14="UK",C14="JK",C14="SK"),"",Q14*(IF(ABS(1900-YEAR((V14+1)-D14))&lt;29,0,(VLOOKUP((YEAR(V14)-YEAR(D14)),'Meltzer-Malone'!$A$3:$B$63,2))))))</f>
        <v>193.74581435679292</v>
      </c>
      <c r="S14" s="97">
        <v>2</v>
      </c>
      <c r="T14" s="97" t="s">
        <v>22</v>
      </c>
      <c r="U14" s="95">
        <f t="shared" si="4"/>
        <v>1.0460025069876795</v>
      </c>
      <c r="V14" s="137">
        <f>R5</f>
        <v>42062</v>
      </c>
    </row>
    <row r="15" spans="1:22" s="13" customFormat="1" ht="19.5" customHeight="1">
      <c r="A15" s="149" t="s">
        <v>83</v>
      </c>
      <c r="B15" s="142">
        <v>113.42</v>
      </c>
      <c r="C15" s="143" t="s">
        <v>95</v>
      </c>
      <c r="D15" s="144">
        <v>25021</v>
      </c>
      <c r="E15" s="145"/>
      <c r="F15" s="146" t="s">
        <v>102</v>
      </c>
      <c r="G15" s="146" t="s">
        <v>103</v>
      </c>
      <c r="H15" s="139">
        <v>90</v>
      </c>
      <c r="I15" s="140">
        <v>95</v>
      </c>
      <c r="J15" s="140">
        <v>-100</v>
      </c>
      <c r="K15" s="139">
        <v>120</v>
      </c>
      <c r="L15" s="124">
        <v>130</v>
      </c>
      <c r="M15" s="124">
        <v>-135</v>
      </c>
      <c r="N15" s="92">
        <f t="shared" si="1"/>
        <v>95</v>
      </c>
      <c r="O15" s="92">
        <f t="shared" si="2"/>
        <v>130</v>
      </c>
      <c r="P15" s="92">
        <f t="shared" si="0"/>
        <v>225</v>
      </c>
      <c r="Q15" s="93">
        <f t="shared" si="3"/>
        <v>239.83509715151934</v>
      </c>
      <c r="R15" s="93">
        <f>IF(OR(D15="",B15="",V15=""),0,IF(OR(C15="UM",C15="JM",C15="SM",C15="UK",C15="JK",C15="SK"),"",Q15*(IF(ABS(1900-YEAR((V15+1)-D15))&lt;29,0,(VLOOKUP((YEAR(V15)-YEAR(D15)),'Meltzer-Malone'!$A$3:$B$63,2))))))</f>
        <v>291.87931323339905</v>
      </c>
      <c r="S15" s="97">
        <v>1</v>
      </c>
      <c r="T15" s="97"/>
      <c r="U15" s="95">
        <f t="shared" si="4"/>
        <v>1.0659337651178638</v>
      </c>
      <c r="V15" s="137">
        <f>R5</f>
        <v>42062</v>
      </c>
    </row>
    <row r="16" spans="1:22" s="13" customFormat="1" ht="19.5" customHeight="1">
      <c r="A16" s="141">
        <v>94</v>
      </c>
      <c r="B16" s="142">
        <v>87.6</v>
      </c>
      <c r="C16" s="143" t="s">
        <v>104</v>
      </c>
      <c r="D16" s="144">
        <v>23840</v>
      </c>
      <c r="E16" s="145"/>
      <c r="F16" s="146" t="s">
        <v>105</v>
      </c>
      <c r="G16" s="146" t="s">
        <v>57</v>
      </c>
      <c r="H16" s="139">
        <v>66</v>
      </c>
      <c r="I16" s="140">
        <v>70</v>
      </c>
      <c r="J16" s="140">
        <v>73</v>
      </c>
      <c r="K16" s="139">
        <v>85</v>
      </c>
      <c r="L16" s="124">
        <v>89</v>
      </c>
      <c r="M16" s="124">
        <v>92</v>
      </c>
      <c r="N16" s="92">
        <f t="shared" si="1"/>
        <v>73</v>
      </c>
      <c r="O16" s="92">
        <f t="shared" si="2"/>
        <v>92</v>
      </c>
      <c r="P16" s="92">
        <f t="shared" si="0"/>
        <v>165</v>
      </c>
      <c r="Q16" s="93">
        <f t="shared" si="3"/>
        <v>194.31763012641204</v>
      </c>
      <c r="R16" s="93">
        <f>IF(OR(D16="",B16="",V16=""),0,IF(OR(C16="UM",C16="JM",C16="SM",C16="UK",C16="JK",C16="SK"),"",Q16*(IF(ABS(1900-YEAR((V16+1)-D16))&lt;29,0,(VLOOKUP((YEAR(V16)-YEAR(D16)),'Meltzer-Malone'!$A$3:$B$63,2))))))</f>
        <v>241.5368142471302</v>
      </c>
      <c r="S16" s="97">
        <v>4</v>
      </c>
      <c r="T16" s="97"/>
      <c r="U16" s="95">
        <f t="shared" si="4"/>
        <v>1.1776826068267396</v>
      </c>
      <c r="V16" s="137">
        <f>R5</f>
        <v>42062</v>
      </c>
    </row>
    <row r="17" spans="1:22" s="13" customFormat="1" ht="19.5" customHeight="1">
      <c r="A17" s="141">
        <v>94</v>
      </c>
      <c r="B17" s="142">
        <v>89.66</v>
      </c>
      <c r="C17" s="143" t="s">
        <v>104</v>
      </c>
      <c r="D17" s="144">
        <v>22528</v>
      </c>
      <c r="E17" s="145"/>
      <c r="F17" s="146" t="s">
        <v>106</v>
      </c>
      <c r="G17" s="146" t="s">
        <v>70</v>
      </c>
      <c r="H17" s="139">
        <v>88</v>
      </c>
      <c r="I17" s="140">
        <v>92</v>
      </c>
      <c r="J17" s="140">
        <v>-95</v>
      </c>
      <c r="K17" s="139">
        <v>116</v>
      </c>
      <c r="L17" s="124">
        <v>119</v>
      </c>
      <c r="M17" s="124">
        <v>-121</v>
      </c>
      <c r="N17" s="92">
        <f t="shared" si="1"/>
        <v>92</v>
      </c>
      <c r="O17" s="92">
        <f t="shared" si="2"/>
        <v>119</v>
      </c>
      <c r="P17" s="92">
        <f t="shared" si="0"/>
        <v>211</v>
      </c>
      <c r="Q17" s="93">
        <f t="shared" si="3"/>
        <v>245.8080208048399</v>
      </c>
      <c r="R17" s="93">
        <f>IF(OR(D17="",B17="",V17=""),0,IF(OR(C17="UM",C17="JM",C17="SM",C17="UK",C17="JK",C17="SK"),"",Q17*(IF(ABS(1900-YEAR((V17+1)-D17))&lt;29,0,(VLOOKUP((YEAR(V17)-YEAR(D17)),'Meltzer-Malone'!$A$3:$B$63,2))))))</f>
        <v>324.22077944158383</v>
      </c>
      <c r="S17" s="97">
        <v>2</v>
      </c>
      <c r="T17" s="97"/>
      <c r="U17" s="95">
        <f t="shared" si="4"/>
        <v>1.1649669232456867</v>
      </c>
      <c r="V17" s="137">
        <f>R5</f>
        <v>42062</v>
      </c>
    </row>
    <row r="18" spans="1:22" s="13" customFormat="1" ht="19.5" customHeight="1">
      <c r="A18" s="141">
        <v>94</v>
      </c>
      <c r="B18" s="142">
        <v>93.28</v>
      </c>
      <c r="C18" s="143" t="s">
        <v>104</v>
      </c>
      <c r="D18" s="144">
        <v>23441</v>
      </c>
      <c r="E18" s="145"/>
      <c r="F18" s="146" t="s">
        <v>107</v>
      </c>
      <c r="G18" s="146" t="s">
        <v>108</v>
      </c>
      <c r="H18" s="139">
        <v>90</v>
      </c>
      <c r="I18" s="140">
        <v>-94</v>
      </c>
      <c r="J18" s="140">
        <v>94</v>
      </c>
      <c r="K18" s="139">
        <v>108</v>
      </c>
      <c r="L18" s="124">
        <v>114</v>
      </c>
      <c r="M18" s="124">
        <v>117</v>
      </c>
      <c r="N18" s="92">
        <f t="shared" si="1"/>
        <v>94</v>
      </c>
      <c r="O18" s="92">
        <f t="shared" si="2"/>
        <v>117</v>
      </c>
      <c r="P18" s="92">
        <f t="shared" si="0"/>
        <v>211</v>
      </c>
      <c r="Q18" s="93">
        <f t="shared" si="3"/>
        <v>241.51280858196998</v>
      </c>
      <c r="R18" s="93">
        <f>IF(OR(D18="",B18="",V18=""),0,IF(OR(C18="UM",C18="JM",C18="SM",C18="UK",C18="JK",C18="SK"),"",Q18*(IF(ABS(1900-YEAR((V18+1)-D18))&lt;29,0,(VLOOKUP((YEAR(V18)-YEAR(D18)),'Meltzer-Malone'!$A$3:$B$63,2))))))</f>
        <v>303.0985747703723</v>
      </c>
      <c r="S18" s="97">
        <v>3</v>
      </c>
      <c r="T18" s="97" t="s">
        <v>22</v>
      </c>
      <c r="U18" s="95">
        <f t="shared" si="4"/>
        <v>1.1446104672131279</v>
      </c>
      <c r="V18" s="137">
        <f>R5</f>
        <v>42062</v>
      </c>
    </row>
    <row r="19" spans="1:22" s="13" customFormat="1" ht="19.5" customHeight="1">
      <c r="A19" s="156">
        <v>94</v>
      </c>
      <c r="B19" s="151">
        <v>92.72</v>
      </c>
      <c r="C19" s="152" t="s">
        <v>104</v>
      </c>
      <c r="D19" s="153">
        <v>22864</v>
      </c>
      <c r="E19" s="154"/>
      <c r="F19" s="155" t="s">
        <v>109</v>
      </c>
      <c r="G19" s="155" t="s">
        <v>110</v>
      </c>
      <c r="H19" s="139">
        <v>97</v>
      </c>
      <c r="I19" s="140">
        <v>102</v>
      </c>
      <c r="J19" s="140">
        <v>-106</v>
      </c>
      <c r="K19" s="139">
        <v>117</v>
      </c>
      <c r="L19" s="124">
        <v>-120</v>
      </c>
      <c r="M19" s="124">
        <v>-120</v>
      </c>
      <c r="N19" s="92">
        <f t="shared" si="1"/>
        <v>102</v>
      </c>
      <c r="O19" s="92">
        <f t="shared" si="2"/>
        <v>117</v>
      </c>
      <c r="P19" s="92">
        <f t="shared" si="0"/>
        <v>219</v>
      </c>
      <c r="Q19" s="93">
        <f t="shared" si="3"/>
        <v>251.32532562993563</v>
      </c>
      <c r="R19" s="93">
        <f>IF(OR(D19="",B19="",V19=""),0,IF(OR(C19="UM",C19="JM",C19="SM",C19="UK",C19="JK",C19="SK"),"",Q19*(IF(ABS(1900-YEAR((V19+1)-D19))&lt;29,0,(VLOOKUP((YEAR(V19)-YEAR(D19)),'Meltzer-Malone'!$A$3:$B$63,2))))))</f>
        <v>324.9636460395068</v>
      </c>
      <c r="S19" s="175" t="s">
        <v>290</v>
      </c>
      <c r="T19" s="97"/>
      <c r="U19" s="95">
        <f t="shared" si="4"/>
        <v>1.1476042266207107</v>
      </c>
      <c r="V19" s="137">
        <f>R5</f>
        <v>42062</v>
      </c>
    </row>
    <row r="20" spans="1:22" s="13" customFormat="1" ht="19.5" customHeight="1">
      <c r="A20" s="141">
        <v>105</v>
      </c>
      <c r="B20" s="142">
        <v>103.52</v>
      </c>
      <c r="C20" s="143" t="s">
        <v>104</v>
      </c>
      <c r="D20" s="144">
        <v>22967</v>
      </c>
      <c r="E20" s="145"/>
      <c r="F20" s="146" t="s">
        <v>111</v>
      </c>
      <c r="G20" s="146" t="s">
        <v>55</v>
      </c>
      <c r="H20" s="139">
        <v>50</v>
      </c>
      <c r="I20" s="140">
        <v>60</v>
      </c>
      <c r="J20" s="140">
        <v>65</v>
      </c>
      <c r="K20" s="139">
        <v>55</v>
      </c>
      <c r="L20" s="124">
        <v>65</v>
      </c>
      <c r="M20" s="124">
        <v>75</v>
      </c>
      <c r="N20" s="92">
        <f t="shared" si="1"/>
        <v>65</v>
      </c>
      <c r="O20" s="92">
        <f t="shared" si="2"/>
        <v>75</v>
      </c>
      <c r="P20" s="92">
        <f t="shared" si="0"/>
        <v>140</v>
      </c>
      <c r="Q20" s="93">
        <f t="shared" si="3"/>
        <v>153.7737189191293</v>
      </c>
      <c r="R20" s="93">
        <f>IF(OR(D20="",B20="",V20=""),0,IF(OR(C20="UM",C20="JM",C20="SM",C20="UK",C20="JK",C20="SK"),"",Q20*(IF(ABS(1900-YEAR((V20+1)-D20))&lt;29,0,(VLOOKUP((YEAR(V20)-YEAR(D20)),'Meltzer-Malone'!$A$3:$B$63,2))))))</f>
        <v>198.82941856243417</v>
      </c>
      <c r="S20" s="97">
        <v>2</v>
      </c>
      <c r="T20" s="97"/>
      <c r="U20" s="95">
        <f t="shared" si="4"/>
        <v>1.0983837065652093</v>
      </c>
      <c r="V20" s="137">
        <f>R5</f>
        <v>42062</v>
      </c>
    </row>
    <row r="21" spans="1:22" s="13" customFormat="1" ht="19.5" customHeight="1">
      <c r="A21" s="141"/>
      <c r="B21" s="142"/>
      <c r="C21" s="143"/>
      <c r="D21" s="144"/>
      <c r="E21" s="145"/>
      <c r="F21" s="146"/>
      <c r="G21" s="146"/>
      <c r="H21" s="139"/>
      <c r="I21" s="140"/>
      <c r="J21" s="140"/>
      <c r="K21" s="139"/>
      <c r="L21" s="91"/>
      <c r="M21" s="91"/>
      <c r="N21" s="92">
        <f t="shared" si="1"/>
        <v>0</v>
      </c>
      <c r="O21" s="92">
        <f t="shared" si="2"/>
        <v>0</v>
      </c>
      <c r="P21" s="92">
        <f t="shared" si="0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42062</v>
      </c>
    </row>
    <row r="22" spans="1:22" s="13" customFormat="1" ht="19.5" customHeight="1">
      <c r="A22" s="141"/>
      <c r="B22" s="142"/>
      <c r="C22" s="143"/>
      <c r="D22" s="144"/>
      <c r="E22" s="145"/>
      <c r="F22" s="146"/>
      <c r="G22" s="146"/>
      <c r="H22" s="139"/>
      <c r="I22" s="140"/>
      <c r="J22" s="140"/>
      <c r="K22" s="139"/>
      <c r="L22" s="91"/>
      <c r="M22" s="91"/>
      <c r="N22" s="92">
        <f t="shared" si="1"/>
        <v>0</v>
      </c>
      <c r="O22" s="92">
        <f t="shared" si="2"/>
        <v>0</v>
      </c>
      <c r="P22" s="92">
        <f t="shared" si="0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42062</v>
      </c>
    </row>
    <row r="23" spans="1:22" s="13" customFormat="1" ht="19.5" customHeight="1">
      <c r="A23" s="85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42062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42062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95"/>
      <c r="V25" s="11"/>
    </row>
    <row r="26" ht="12.75"/>
    <row r="27" spans="1:20" s="8" customFormat="1" ht="15">
      <c r="A27" s="8" t="s">
        <v>19</v>
      </c>
      <c r="B27"/>
      <c r="C27" s="180" t="s">
        <v>142</v>
      </c>
      <c r="D27" s="180"/>
      <c r="E27" s="180"/>
      <c r="F27" s="180"/>
      <c r="G27" s="55" t="s">
        <v>36</v>
      </c>
      <c r="H27" s="56">
        <v>1</v>
      </c>
      <c r="I27" s="179" t="s">
        <v>154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164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/>
      <c r="D29" s="180"/>
      <c r="E29" s="180"/>
      <c r="F29" s="180"/>
      <c r="G29" s="59"/>
      <c r="H29" s="56">
        <v>3</v>
      </c>
      <c r="I29" s="179" t="s">
        <v>144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/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/>
      <c r="D31" s="180"/>
      <c r="E31" s="180"/>
      <c r="F31" s="180"/>
      <c r="G31" s="61" t="s">
        <v>38</v>
      </c>
      <c r="H31" s="179" t="s">
        <v>146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167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152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39"/>
  <sheetViews>
    <sheetView showGridLines="0" showRowColHeaders="0" showZeros="0" showOutlineSymbols="0" zoomScale="110" zoomScaleNormal="110" zoomScaleSheetLayoutView="75" zoomScalePageLayoutView="0" workbookViewId="0" topLeftCell="A4">
      <selection activeCell="A9" sqref="A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42062</v>
      </c>
      <c r="S5" s="83" t="s">
        <v>30</v>
      </c>
      <c r="T5" s="84">
        <v>4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7">
        <v>75</v>
      </c>
      <c r="B9" s="158">
        <v>70.78</v>
      </c>
      <c r="C9" s="159" t="s">
        <v>112</v>
      </c>
      <c r="D9" s="160">
        <v>29102</v>
      </c>
      <c r="E9" s="161"/>
      <c r="F9" s="162" t="s">
        <v>113</v>
      </c>
      <c r="G9" s="162" t="s">
        <v>114</v>
      </c>
      <c r="H9" s="139">
        <v>43</v>
      </c>
      <c r="I9" s="140">
        <v>-47</v>
      </c>
      <c r="J9" s="140">
        <v>-47</v>
      </c>
      <c r="K9" s="139">
        <v>58</v>
      </c>
      <c r="L9" s="124">
        <v>-61</v>
      </c>
      <c r="M9" s="124">
        <v>61</v>
      </c>
      <c r="N9" s="92">
        <f>IF(MAX(H9:J9)&lt;0,0,TRUNC(MAX(H9:J9)/1)*1)</f>
        <v>43</v>
      </c>
      <c r="O9" s="92">
        <f>IF(MAX(K9:M9)&lt;0,0,TRUNC(MAX(K9:M9)/1)*1)</f>
        <v>61</v>
      </c>
      <c r="P9" s="92">
        <f aca="true" t="shared" si="0" ref="P9:P24">IF(N9=0,0,IF(O9=0,0,SUM(N9:O9)))</f>
        <v>104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128.57557114638962</v>
      </c>
      <c r="R9" s="93">
        <f>IF(OR(D9="",B9="",V9=""),0,IF(OR(C9="UM",C9="JM",C9="SM",C9="UK",C9="JK",C9="SK"),"",Q9*(IF(ABS(1900-YEAR((V9+1)-D9))&lt;29,0,(VLOOKUP((YEAR(V9)-YEAR(D9)),'Meltzer-Malone'!$A$3:$B$63,2))))))</f>
        <v>139.76164583612552</v>
      </c>
      <c r="S9" s="94">
        <v>1</v>
      </c>
      <c r="T9" s="127" t="s">
        <v>173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1.2363035687152848</v>
      </c>
      <c r="V9" s="137">
        <f>R5</f>
        <v>42062</v>
      </c>
    </row>
    <row r="10" spans="1:22" s="13" customFormat="1" ht="19.5" customHeight="1">
      <c r="A10" s="157">
        <v>75</v>
      </c>
      <c r="B10" s="158">
        <v>72.02</v>
      </c>
      <c r="C10" s="159" t="s">
        <v>112</v>
      </c>
      <c r="D10" s="160">
        <v>29343</v>
      </c>
      <c r="E10" s="161"/>
      <c r="F10" s="162" t="s">
        <v>115</v>
      </c>
      <c r="G10" s="162" t="s">
        <v>70</v>
      </c>
      <c r="H10" s="139">
        <v>-41</v>
      </c>
      <c r="I10" s="140">
        <v>-42</v>
      </c>
      <c r="J10" s="140">
        <v>42</v>
      </c>
      <c r="K10" s="139">
        <v>48</v>
      </c>
      <c r="L10" s="124">
        <v>50</v>
      </c>
      <c r="M10" s="124">
        <v>-53</v>
      </c>
      <c r="N10" s="92">
        <f aca="true" t="shared" si="1" ref="N10:N24">IF(MAX(H10:J10)&lt;0,0,TRUNC(MAX(H10:J10)/1)*1)</f>
        <v>42</v>
      </c>
      <c r="O10" s="92">
        <f aca="true" t="shared" si="2" ref="O10:O24">IF(MAX(K10:M10)&lt;0,0,TRUNC(MAX(K10:M10)/1)*1)</f>
        <v>50</v>
      </c>
      <c r="P10" s="92">
        <f t="shared" si="0"/>
        <v>92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112.6229552664659</v>
      </c>
      <c r="R10" s="93">
        <f>IF(OR(D10="",B10="",V10=""),0,IF(OR(C10="UM",C10="JM",C10="SM",C10="UK",C10="JK",C10="SK"),"",Q10*(IF(ABS(1900-YEAR((V10+1)-D10))&lt;29,0,(VLOOKUP((YEAR(V10)-YEAR(D10)),'Meltzer-Malone'!$A$3:$B$63,2))))))</f>
        <v>120.73180804565145</v>
      </c>
      <c r="S10" s="97">
        <v>2</v>
      </c>
      <c r="T10" s="130" t="s">
        <v>172</v>
      </c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1.2241625572441945</v>
      </c>
      <c r="V10" s="137">
        <f>R5</f>
        <v>42062</v>
      </c>
    </row>
    <row r="11" spans="1:22" s="13" customFormat="1" ht="19.5" customHeight="1">
      <c r="A11" s="157">
        <v>63</v>
      </c>
      <c r="B11" s="158">
        <v>60.46</v>
      </c>
      <c r="C11" s="159" t="s">
        <v>116</v>
      </c>
      <c r="D11" s="160">
        <v>26801</v>
      </c>
      <c r="E11" s="161"/>
      <c r="F11" s="162" t="s">
        <v>117</v>
      </c>
      <c r="G11" s="162" t="s">
        <v>94</v>
      </c>
      <c r="H11" s="139">
        <v>35</v>
      </c>
      <c r="I11" s="140">
        <v>-40</v>
      </c>
      <c r="J11" s="140">
        <v>-40</v>
      </c>
      <c r="K11" s="139">
        <v>52</v>
      </c>
      <c r="L11" s="124">
        <v>-56</v>
      </c>
      <c r="M11" s="124">
        <v>56</v>
      </c>
      <c r="N11" s="92">
        <f t="shared" si="1"/>
        <v>35</v>
      </c>
      <c r="O11" s="92">
        <f t="shared" si="2"/>
        <v>56</v>
      </c>
      <c r="P11" s="92">
        <f t="shared" si="0"/>
        <v>91</v>
      </c>
      <c r="Q11" s="93">
        <f t="shared" si="3"/>
        <v>124.3726688842086</v>
      </c>
      <c r="R11" s="93">
        <f>IF(OR(D11="",B11="",V11=""),0,IF(OR(C11="UM",C11="JM",C11="SM",C11="UK",C11="JK",C11="SK"),"",Q11*(IF(ABS(1900-YEAR((V11+1)-D11))&lt;29,0,(VLOOKUP((YEAR(V11)-YEAR(D11)),'Meltzer-Malone'!$A$3:$B$63,2))))))</f>
        <v>144.02355056791353</v>
      </c>
      <c r="S11" s="97">
        <v>1</v>
      </c>
      <c r="T11" s="97"/>
      <c r="U11" s="95">
        <f t="shared" si="4"/>
        <v>1.3667326251011933</v>
      </c>
      <c r="V11" s="137">
        <f>R5</f>
        <v>42062</v>
      </c>
    </row>
    <row r="12" spans="1:22" s="13" customFormat="1" ht="19.5" customHeight="1">
      <c r="A12" s="150"/>
      <c r="B12" s="151"/>
      <c r="C12" s="152"/>
      <c r="D12" s="153"/>
      <c r="E12" s="154"/>
      <c r="F12" s="155"/>
      <c r="G12" s="155"/>
      <c r="H12" s="139"/>
      <c r="I12" s="140"/>
      <c r="J12" s="140"/>
      <c r="K12" s="139"/>
      <c r="L12" s="91"/>
      <c r="M12" s="91"/>
      <c r="N12" s="92">
        <f t="shared" si="1"/>
        <v>0</v>
      </c>
      <c r="O12" s="92">
        <f t="shared" si="2"/>
        <v>0</v>
      </c>
      <c r="P12" s="92">
        <f t="shared" si="0"/>
        <v>0</v>
      </c>
      <c r="Q12" s="93">
        <f t="shared" si="3"/>
      </c>
      <c r="R12" s="93">
        <f>IF(OR(D12="",B12="",V12=""),0,IF(OR(C12="UM",C12="JM",C12="SM",C12="UK",C12="JK",C12="SK"),"",Q12*(IF(ABS(1900-YEAR((V12+1)-D12))&lt;29,0,(VLOOKUP((YEAR(V12)-YEAR(D12)),'Meltzer-Malone'!$A$3:$B$63,2))))))</f>
        <v>0</v>
      </c>
      <c r="S12" s="97" t="s">
        <v>22</v>
      </c>
      <c r="T12" s="97" t="s">
        <v>22</v>
      </c>
      <c r="U12" s="95">
        <f t="shared" si="4"/>
      </c>
      <c r="V12" s="137">
        <f>R5</f>
        <v>42062</v>
      </c>
    </row>
    <row r="13" spans="1:22" s="13" customFormat="1" ht="19.5" customHeight="1">
      <c r="A13" s="150">
        <v>85</v>
      </c>
      <c r="B13" s="151">
        <v>81.98</v>
      </c>
      <c r="C13" s="152" t="s">
        <v>118</v>
      </c>
      <c r="D13" s="153">
        <v>29147</v>
      </c>
      <c r="E13" s="154"/>
      <c r="F13" s="155" t="s">
        <v>119</v>
      </c>
      <c r="G13" s="155" t="s">
        <v>108</v>
      </c>
      <c r="H13" s="139">
        <v>90</v>
      </c>
      <c r="I13" s="140">
        <v>95</v>
      </c>
      <c r="J13" s="140">
        <v>-98</v>
      </c>
      <c r="K13" s="139">
        <v>112</v>
      </c>
      <c r="L13" s="124">
        <v>116</v>
      </c>
      <c r="M13" s="124">
        <v>119</v>
      </c>
      <c r="N13" s="92">
        <f t="shared" si="1"/>
        <v>95</v>
      </c>
      <c r="O13" s="92">
        <f t="shared" si="2"/>
        <v>119</v>
      </c>
      <c r="P13" s="92">
        <f t="shared" si="0"/>
        <v>214</v>
      </c>
      <c r="Q13" s="93">
        <f t="shared" si="3"/>
        <v>260.4838597687492</v>
      </c>
      <c r="R13" s="93">
        <f>IF(OR(D13="",B13="",V13=""),0,IF(OR(C13="UM",C13="JM",C13="SM",C13="UK",C13="JK",C13="SK"),"",Q13*(IF(ABS(1900-YEAR((V13+1)-D13))&lt;29,0,(VLOOKUP((YEAR(V13)-YEAR(D13)),'Meltzer-Malone'!$A$3:$B$63,2))))))</f>
        <v>283.14595556863037</v>
      </c>
      <c r="S13" s="175" t="s">
        <v>295</v>
      </c>
      <c r="T13" s="97" t="s">
        <v>22</v>
      </c>
      <c r="U13" s="95">
        <f t="shared" si="4"/>
        <v>1.2172142979848093</v>
      </c>
      <c r="V13" s="137">
        <f>R5</f>
        <v>42062</v>
      </c>
    </row>
    <row r="14" spans="1:22" s="13" customFormat="1" ht="19.5" customHeight="1">
      <c r="A14" s="149">
        <v>105</v>
      </c>
      <c r="B14" s="142">
        <v>104.12</v>
      </c>
      <c r="C14" s="143" t="s">
        <v>118</v>
      </c>
      <c r="D14" s="144">
        <v>29420</v>
      </c>
      <c r="E14" s="145"/>
      <c r="F14" s="146" t="s">
        <v>120</v>
      </c>
      <c r="G14" s="146" t="s">
        <v>110</v>
      </c>
      <c r="H14" s="139">
        <v>85</v>
      </c>
      <c r="I14" s="140">
        <v>-90</v>
      </c>
      <c r="J14" s="140">
        <v>-90</v>
      </c>
      <c r="K14" s="139">
        <v>105</v>
      </c>
      <c r="L14" s="124">
        <v>-110</v>
      </c>
      <c r="M14" s="124">
        <v>-110</v>
      </c>
      <c r="N14" s="92">
        <f t="shared" si="1"/>
        <v>85</v>
      </c>
      <c r="O14" s="92">
        <f t="shared" si="2"/>
        <v>105</v>
      </c>
      <c r="P14" s="92">
        <f t="shared" si="0"/>
        <v>190</v>
      </c>
      <c r="Q14" s="93">
        <f t="shared" si="3"/>
        <v>208.261741794419</v>
      </c>
      <c r="R14" s="93">
        <f>IF(OR(D14="",B14="",V14=""),0,IF(OR(C14="UM",C14="JM",C14="SM",C14="UK",C14="JK",C14="SK"),"",Q14*(IF(ABS(1900-YEAR((V14+1)-D14))&lt;29,0,(VLOOKUP((YEAR(V14)-YEAR(D14)),'Meltzer-Malone'!$A$3:$B$63,2))))))</f>
        <v>223.2565872036172</v>
      </c>
      <c r="S14" s="97">
        <v>2</v>
      </c>
      <c r="T14" s="97" t="s">
        <v>22</v>
      </c>
      <c r="U14" s="95">
        <f t="shared" si="4"/>
        <v>1.0961144304969421</v>
      </c>
      <c r="V14" s="137">
        <f>R5</f>
        <v>42062</v>
      </c>
    </row>
    <row r="15" spans="1:22" s="13" customFormat="1" ht="19.5" customHeight="1">
      <c r="A15" s="141">
        <v>85</v>
      </c>
      <c r="B15" s="142">
        <v>79.96</v>
      </c>
      <c r="C15" s="143" t="s">
        <v>121</v>
      </c>
      <c r="D15" s="144">
        <v>25993</v>
      </c>
      <c r="E15" s="145"/>
      <c r="F15" s="146" t="s">
        <v>122</v>
      </c>
      <c r="G15" s="146" t="s">
        <v>70</v>
      </c>
      <c r="H15" s="139">
        <v>90</v>
      </c>
      <c r="I15" s="140">
        <v>95</v>
      </c>
      <c r="J15" s="140">
        <v>-96</v>
      </c>
      <c r="K15" s="139">
        <v>105</v>
      </c>
      <c r="L15" s="124">
        <v>110</v>
      </c>
      <c r="M15" s="124">
        <v>-115</v>
      </c>
      <c r="N15" s="92">
        <f t="shared" si="1"/>
        <v>95</v>
      </c>
      <c r="O15" s="92">
        <f t="shared" si="2"/>
        <v>110</v>
      </c>
      <c r="P15" s="92">
        <f t="shared" si="0"/>
        <v>205</v>
      </c>
      <c r="Q15" s="93">
        <f t="shared" si="3"/>
        <v>252.84668196322474</v>
      </c>
      <c r="R15" s="93">
        <f>IF(OR(D15="",B15="",V15=""),0,IF(OR(C15="UM",C15="JM",C15="SM",C15="UK",C15="JK",C15="SK"),"",Q15*(IF(ABS(1900-YEAR((V15+1)-D15))&lt;29,0,(VLOOKUP((YEAR(V15)-YEAR(D15)),'Meltzer-Malone'!$A$3:$B$63,2))))))</f>
        <v>299.11762476249487</v>
      </c>
      <c r="S15" s="97">
        <v>1</v>
      </c>
      <c r="T15" s="97"/>
      <c r="U15" s="95">
        <f t="shared" si="4"/>
        <v>1.2333984486010963</v>
      </c>
      <c r="V15" s="137">
        <f>R5</f>
        <v>42062</v>
      </c>
    </row>
    <row r="16" spans="1:22" s="13" customFormat="1" ht="19.5" customHeight="1">
      <c r="A16" s="150">
        <v>94</v>
      </c>
      <c r="B16" s="151">
        <v>93</v>
      </c>
      <c r="C16" s="152" t="s">
        <v>121</v>
      </c>
      <c r="D16" s="153">
        <v>26566</v>
      </c>
      <c r="E16" s="154"/>
      <c r="F16" s="155" t="s">
        <v>123</v>
      </c>
      <c r="G16" s="155" t="s">
        <v>94</v>
      </c>
      <c r="H16" s="139">
        <v>100</v>
      </c>
      <c r="I16" s="140">
        <v>105</v>
      </c>
      <c r="J16" s="140">
        <v>-110</v>
      </c>
      <c r="K16" s="139">
        <v>133</v>
      </c>
      <c r="L16" s="124">
        <v>-140</v>
      </c>
      <c r="M16" s="124">
        <v>140</v>
      </c>
      <c r="N16" s="92">
        <f t="shared" si="1"/>
        <v>105</v>
      </c>
      <c r="O16" s="92">
        <f t="shared" si="2"/>
        <v>140</v>
      </c>
      <c r="P16" s="92">
        <f t="shared" si="0"/>
        <v>245</v>
      </c>
      <c r="Q16" s="93">
        <f t="shared" si="3"/>
        <v>280.79463033506863</v>
      </c>
      <c r="R16" s="93">
        <f>IF(OR(D16="",B16="",V16=""),0,IF(OR(C16="UM",C16="JM",C16="SM",C16="UK",C16="JK",C16="SK"),"",Q16*(IF(ABS(1900-YEAR((V16+1)-D16))&lt;29,0,(VLOOKUP((YEAR(V16)-YEAR(D16)),'Meltzer-Malone'!$A$3:$B$63,2))))))</f>
        <v>328.5297174920303</v>
      </c>
      <c r="S16" s="175" t="s">
        <v>291</v>
      </c>
      <c r="T16" s="97"/>
      <c r="U16" s="95">
        <f t="shared" si="4"/>
        <v>1.146100531979872</v>
      </c>
      <c r="V16" s="137">
        <f>R5</f>
        <v>42062</v>
      </c>
    </row>
    <row r="17" spans="1:22" s="13" customFormat="1" ht="19.5" customHeight="1">
      <c r="A17" s="141">
        <v>94</v>
      </c>
      <c r="B17" s="142">
        <v>86.84</v>
      </c>
      <c r="C17" s="143" t="s">
        <v>121</v>
      </c>
      <c r="D17" s="144">
        <v>26854</v>
      </c>
      <c r="E17" s="145"/>
      <c r="F17" s="146" t="s">
        <v>124</v>
      </c>
      <c r="G17" s="146" t="s">
        <v>61</v>
      </c>
      <c r="H17" s="139">
        <v>93</v>
      </c>
      <c r="I17" s="140">
        <v>98</v>
      </c>
      <c r="J17" s="140">
        <v>-100</v>
      </c>
      <c r="K17" s="139">
        <v>115</v>
      </c>
      <c r="L17" s="124">
        <v>120</v>
      </c>
      <c r="M17" s="124">
        <v>-122</v>
      </c>
      <c r="N17" s="92">
        <f t="shared" si="1"/>
        <v>98</v>
      </c>
      <c r="O17" s="92">
        <f t="shared" si="2"/>
        <v>120</v>
      </c>
      <c r="P17" s="92">
        <f t="shared" si="0"/>
        <v>218</v>
      </c>
      <c r="Q17" s="93">
        <f t="shared" si="3"/>
        <v>257.80653265599835</v>
      </c>
      <c r="R17" s="93">
        <f>IF(OR(D17="",B17="",V17=""),0,IF(OR(C17="UM",C17="JM",C17="SM",C17="UK",C17="JK",C17="SK"),"",Q17*(IF(ABS(1900-YEAR((V17+1)-D17))&lt;29,0,(VLOOKUP((YEAR(V17)-YEAR(D17)),'Meltzer-Malone'!$A$3:$B$63,2))))))</f>
        <v>298.53996481564604</v>
      </c>
      <c r="S17" s="97">
        <v>2</v>
      </c>
      <c r="T17" s="97"/>
      <c r="U17" s="95">
        <f t="shared" si="4"/>
        <v>1.1825987736513686</v>
      </c>
      <c r="V17" s="137">
        <f>R5</f>
        <v>42062</v>
      </c>
    </row>
    <row r="18" spans="1:22" s="13" customFormat="1" ht="19.5" customHeight="1">
      <c r="A18" s="156" t="s">
        <v>83</v>
      </c>
      <c r="B18" s="151">
        <v>115.96</v>
      </c>
      <c r="C18" s="152" t="s">
        <v>121</v>
      </c>
      <c r="D18" s="153">
        <v>26048</v>
      </c>
      <c r="E18" s="154"/>
      <c r="F18" s="155" t="s">
        <v>125</v>
      </c>
      <c r="G18" s="155" t="s">
        <v>55</v>
      </c>
      <c r="H18" s="139">
        <v>110</v>
      </c>
      <c r="I18" s="140">
        <v>-116</v>
      </c>
      <c r="J18" s="140">
        <v>116</v>
      </c>
      <c r="K18" s="139">
        <v>135</v>
      </c>
      <c r="L18" s="124">
        <v>151</v>
      </c>
      <c r="M18" s="172" t="s">
        <v>171</v>
      </c>
      <c r="N18" s="92">
        <f t="shared" si="1"/>
        <v>116</v>
      </c>
      <c r="O18" s="92">
        <f t="shared" si="2"/>
        <v>151</v>
      </c>
      <c r="P18" s="92">
        <f t="shared" si="0"/>
        <v>267</v>
      </c>
      <c r="Q18" s="93">
        <f t="shared" si="3"/>
        <v>282.7872650549261</v>
      </c>
      <c r="R18" s="93">
        <f>IF(OR(D18="",B18="",V18=""),0,IF(OR(C18="UM",C18="JM",C18="SM",C18="UK",C18="JK",C18="SK"),"",Q18*(IF(ABS(1900-YEAR((V18+1)-D18))&lt;29,0,(VLOOKUP((YEAR(V18)-YEAR(D18)),'Meltzer-Malone'!$A$3:$B$63,2))))))</f>
        <v>334.5373345599776</v>
      </c>
      <c r="S18" s="175" t="s">
        <v>300</v>
      </c>
      <c r="T18" s="97" t="s">
        <v>22</v>
      </c>
      <c r="U18" s="95">
        <f t="shared" si="4"/>
        <v>1.059128333539049</v>
      </c>
      <c r="V18" s="137">
        <f>R5</f>
        <v>42062</v>
      </c>
    </row>
    <row r="19" spans="1:22" s="13" customFormat="1" ht="19.5" customHeight="1">
      <c r="A19" s="141"/>
      <c r="B19" s="142"/>
      <c r="C19" s="143"/>
      <c r="D19" s="144"/>
      <c r="E19" s="145"/>
      <c r="F19" s="146"/>
      <c r="G19" s="146"/>
      <c r="H19" s="139"/>
      <c r="I19" s="140"/>
      <c r="J19" s="140"/>
      <c r="K19" s="139"/>
      <c r="L19" s="91"/>
      <c r="M19" s="91"/>
      <c r="N19" s="92">
        <f t="shared" si="1"/>
        <v>0</v>
      </c>
      <c r="O19" s="92">
        <f t="shared" si="2"/>
        <v>0</v>
      </c>
      <c r="P19" s="92">
        <f t="shared" si="0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42062</v>
      </c>
    </row>
    <row r="20" spans="1:22" s="13" customFormat="1" ht="19.5" customHeight="1">
      <c r="A20" s="156"/>
      <c r="B20" s="151"/>
      <c r="C20" s="152"/>
      <c r="D20" s="153"/>
      <c r="E20" s="154"/>
      <c r="F20" s="155"/>
      <c r="G20" s="155"/>
      <c r="H20" s="139"/>
      <c r="I20" s="140"/>
      <c r="J20" s="140"/>
      <c r="K20" s="139"/>
      <c r="L20" s="91"/>
      <c r="M20" s="91"/>
      <c r="N20" s="92">
        <f t="shared" si="1"/>
        <v>0</v>
      </c>
      <c r="O20" s="92">
        <f t="shared" si="2"/>
        <v>0</v>
      </c>
      <c r="P20" s="92">
        <f t="shared" si="0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42062</v>
      </c>
    </row>
    <row r="21" spans="1:22" s="13" customFormat="1" ht="19.5" customHeight="1">
      <c r="A21" s="85"/>
      <c r="B21" s="86"/>
      <c r="C21" s="87"/>
      <c r="D21" s="88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1"/>
        <v>0</v>
      </c>
      <c r="O21" s="92">
        <f t="shared" si="2"/>
        <v>0</v>
      </c>
      <c r="P21" s="92">
        <f t="shared" si="0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42062</v>
      </c>
    </row>
    <row r="22" spans="1:22" s="13" customFormat="1" ht="19.5" customHeight="1">
      <c r="A22" s="85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1"/>
        <v>0</v>
      </c>
      <c r="O22" s="92">
        <f t="shared" si="2"/>
        <v>0</v>
      </c>
      <c r="P22" s="92">
        <f t="shared" si="0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42062</v>
      </c>
    </row>
    <row r="23" spans="1:22" s="13" customFormat="1" ht="19.5" customHeight="1">
      <c r="A23" s="85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42062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42062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144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152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158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157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176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143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79" t="s">
        <v>307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 t="s">
        <v>175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V39"/>
  <sheetViews>
    <sheetView showGridLines="0" showRowColHeaders="0" showZeros="0" showOutlineSymbols="0" zoomScaleSheetLayoutView="75" zoomScalePageLayoutView="0" workbookViewId="0" topLeftCell="A1">
      <selection activeCell="R16" sqref="R16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42062</v>
      </c>
      <c r="S5" s="83" t="s">
        <v>30</v>
      </c>
      <c r="T5" s="84">
        <v>5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77</v>
      </c>
      <c r="B9" s="151">
        <v>70.54</v>
      </c>
      <c r="C9" s="152" t="s">
        <v>126</v>
      </c>
      <c r="D9" s="153">
        <v>33697</v>
      </c>
      <c r="E9" s="154"/>
      <c r="F9" s="155" t="s">
        <v>127</v>
      </c>
      <c r="G9" s="155" t="s">
        <v>50</v>
      </c>
      <c r="H9" s="139">
        <v>80</v>
      </c>
      <c r="I9" s="140">
        <v>83</v>
      </c>
      <c r="J9" s="140">
        <v>-86</v>
      </c>
      <c r="K9" s="139">
        <v>95</v>
      </c>
      <c r="L9" s="124">
        <v>100</v>
      </c>
      <c r="M9" s="124">
        <v>-103</v>
      </c>
      <c r="N9" s="92">
        <f>IF(MAX(H9:J9)&lt;0,0,TRUNC(MAX(H9:J9)/1)*1)</f>
        <v>83</v>
      </c>
      <c r="O9" s="92">
        <f>IF(MAX(K9:M9)&lt;0,0,TRUNC(MAX(K9:M9)/1)*1)</f>
        <v>100</v>
      </c>
      <c r="P9" s="92">
        <f aca="true" t="shared" si="0" ref="P9:P19">IF(N9=0,0,IF(O9=0,0,SUM(N9:O9)))</f>
        <v>183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242.77130546631523</v>
      </c>
      <c r="R9" s="93">
        <f>IF(OR(D9="",B9="",V9=""),0,IF(OR(C9="UM",C9="JM",C9="SM",C9="UK",C9="JK",C9="SK"),"",Q9*(IF(ABS(1900-YEAR((V9+1)-D9))&lt;29,0,(VLOOKUP((YEAR(V9)-YEAR(D9)),'Meltzer-Malone'!$A$3:$B$63,2))))))</f>
      </c>
      <c r="S9" s="97">
        <v>15</v>
      </c>
      <c r="T9" s="97"/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1.326619155553635</v>
      </c>
      <c r="V9" s="137">
        <f>R5</f>
        <v>42062</v>
      </c>
    </row>
    <row r="10" spans="1:22" s="13" customFormat="1" ht="19.5" customHeight="1">
      <c r="A10" s="150">
        <v>77</v>
      </c>
      <c r="B10" s="171">
        <v>76.64</v>
      </c>
      <c r="C10" s="152" t="s">
        <v>126</v>
      </c>
      <c r="D10" s="153">
        <v>30139</v>
      </c>
      <c r="E10" s="154"/>
      <c r="F10" s="155" t="s">
        <v>128</v>
      </c>
      <c r="G10" s="155" t="s">
        <v>70</v>
      </c>
      <c r="H10" s="139">
        <v>-97</v>
      </c>
      <c r="I10" s="140">
        <v>97</v>
      </c>
      <c r="J10" s="140">
        <v>100</v>
      </c>
      <c r="K10" s="139">
        <v>120</v>
      </c>
      <c r="L10" s="124">
        <v>126</v>
      </c>
      <c r="M10" s="124">
        <v>130</v>
      </c>
      <c r="N10" s="92">
        <f aca="true" t="shared" si="1" ref="N10:N24">IF(MAX(H10:J10)&lt;0,0,TRUNC(MAX(H10:J10)/1)*1)</f>
        <v>100</v>
      </c>
      <c r="O10" s="92">
        <f aca="true" t="shared" si="2" ref="O10:O24">IF(MAX(K10:M10)&lt;0,0,TRUNC(MAX(K10:M10)/1)*1)</f>
        <v>130</v>
      </c>
      <c r="P10" s="92">
        <f t="shared" si="0"/>
        <v>230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290.4087570245249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6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1.2626467696718475</v>
      </c>
      <c r="V10" s="137">
        <f>R5</f>
        <v>42062</v>
      </c>
    </row>
    <row r="11" spans="1:22" s="13" customFormat="1" ht="19.5" customHeight="1">
      <c r="A11" s="150">
        <v>77</v>
      </c>
      <c r="B11" s="151">
        <v>76.5</v>
      </c>
      <c r="C11" s="152" t="s">
        <v>126</v>
      </c>
      <c r="D11" s="153">
        <v>32778</v>
      </c>
      <c r="E11" s="154"/>
      <c r="F11" s="155" t="s">
        <v>170</v>
      </c>
      <c r="G11" s="155" t="s">
        <v>57</v>
      </c>
      <c r="H11" s="139">
        <v>85</v>
      </c>
      <c r="I11" s="140">
        <v>90</v>
      </c>
      <c r="J11" s="140">
        <v>-92</v>
      </c>
      <c r="K11" s="139">
        <v>107</v>
      </c>
      <c r="L11" s="124">
        <v>112</v>
      </c>
      <c r="M11" s="124">
        <v>-119</v>
      </c>
      <c r="N11" s="92">
        <f t="shared" si="1"/>
        <v>90</v>
      </c>
      <c r="O11" s="92">
        <f t="shared" si="2"/>
        <v>112</v>
      </c>
      <c r="P11" s="92">
        <f t="shared" si="0"/>
        <v>202</v>
      </c>
      <c r="Q11" s="93">
        <f t="shared" si="3"/>
        <v>255.31962857879324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14</v>
      </c>
      <c r="T11" s="97"/>
      <c r="U11" s="95">
        <f t="shared" si="4"/>
        <v>1.2639585573207586</v>
      </c>
      <c r="V11" s="137">
        <f>R5</f>
        <v>42062</v>
      </c>
    </row>
    <row r="12" spans="1:22" s="13" customFormat="1" ht="19.5" customHeight="1">
      <c r="A12" s="150">
        <v>77</v>
      </c>
      <c r="B12" s="151">
        <v>76.42</v>
      </c>
      <c r="C12" s="152" t="s">
        <v>126</v>
      </c>
      <c r="D12" s="153">
        <v>33053</v>
      </c>
      <c r="E12" s="154"/>
      <c r="F12" s="155" t="s">
        <v>129</v>
      </c>
      <c r="G12" s="155" t="s">
        <v>50</v>
      </c>
      <c r="H12" s="139">
        <v>87</v>
      </c>
      <c r="I12" s="140">
        <v>92</v>
      </c>
      <c r="J12" s="140">
        <v>94</v>
      </c>
      <c r="K12" s="139">
        <v>110</v>
      </c>
      <c r="L12" s="124">
        <v>-115</v>
      </c>
      <c r="M12" s="124">
        <v>115</v>
      </c>
      <c r="N12" s="92">
        <f t="shared" si="1"/>
        <v>94</v>
      </c>
      <c r="O12" s="92">
        <f t="shared" si="2"/>
        <v>115</v>
      </c>
      <c r="P12" s="92">
        <f t="shared" si="0"/>
        <v>209</v>
      </c>
      <c r="Q12" s="93">
        <f t="shared" si="3"/>
        <v>264.32463115404755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11</v>
      </c>
      <c r="T12" s="97"/>
      <c r="U12" s="95">
        <f t="shared" si="4"/>
        <v>1.2647111538471174</v>
      </c>
      <c r="V12" s="137">
        <f>R5</f>
        <v>42062</v>
      </c>
    </row>
    <row r="13" spans="1:22" s="13" customFormat="1" ht="19.5" customHeight="1">
      <c r="A13" s="150">
        <v>77</v>
      </c>
      <c r="B13" s="151">
        <v>77</v>
      </c>
      <c r="C13" s="152" t="s">
        <v>126</v>
      </c>
      <c r="D13" s="153">
        <v>34357</v>
      </c>
      <c r="E13" s="154"/>
      <c r="F13" s="155" t="s">
        <v>130</v>
      </c>
      <c r="G13" s="155" t="s">
        <v>50</v>
      </c>
      <c r="H13" s="139">
        <v>-85</v>
      </c>
      <c r="I13" s="140">
        <v>85</v>
      </c>
      <c r="J13" s="140">
        <v>-87</v>
      </c>
      <c r="K13" s="139">
        <v>-110</v>
      </c>
      <c r="L13" s="124">
        <v>-110</v>
      </c>
      <c r="M13" s="172" t="s">
        <v>171</v>
      </c>
      <c r="N13" s="92">
        <f t="shared" si="1"/>
        <v>85</v>
      </c>
      <c r="O13" s="92">
        <f t="shared" si="2"/>
        <v>0</v>
      </c>
      <c r="P13" s="92">
        <f t="shared" si="0"/>
        <v>0</v>
      </c>
      <c r="Q13" s="93">
        <f t="shared" si="3"/>
        <v>0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/>
      <c r="T13" s="97"/>
      <c r="U13" s="95">
        <f t="shared" si="4"/>
        <v>1.259304050167148</v>
      </c>
      <c r="V13" s="137">
        <f>R5</f>
        <v>42062</v>
      </c>
    </row>
    <row r="14" spans="1:22" s="13" customFormat="1" ht="19.5" customHeight="1">
      <c r="A14" s="150">
        <v>77</v>
      </c>
      <c r="B14" s="151">
        <v>75.74</v>
      </c>
      <c r="C14" s="152" t="s">
        <v>126</v>
      </c>
      <c r="D14" s="153">
        <v>33055</v>
      </c>
      <c r="E14" s="154"/>
      <c r="F14" s="155" t="s">
        <v>131</v>
      </c>
      <c r="G14" s="155" t="s">
        <v>57</v>
      </c>
      <c r="H14" s="139">
        <v>85</v>
      </c>
      <c r="I14" s="140">
        <v>-90</v>
      </c>
      <c r="J14" s="140">
        <v>90</v>
      </c>
      <c r="K14" s="139">
        <v>110</v>
      </c>
      <c r="L14" s="124">
        <v>115</v>
      </c>
      <c r="M14" s="124">
        <v>-120</v>
      </c>
      <c r="N14" s="92">
        <f t="shared" si="1"/>
        <v>90</v>
      </c>
      <c r="O14" s="92">
        <f t="shared" si="2"/>
        <v>115</v>
      </c>
      <c r="P14" s="92">
        <f t="shared" si="0"/>
        <v>205</v>
      </c>
      <c r="Q14" s="93">
        <f t="shared" si="3"/>
        <v>260.5955172944578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13</v>
      </c>
      <c r="T14" s="97"/>
      <c r="U14" s="95">
        <f t="shared" si="4"/>
        <v>1.2711976453388185</v>
      </c>
      <c r="V14" s="137">
        <f>R5</f>
        <v>42062</v>
      </c>
    </row>
    <row r="15" spans="1:22" s="13" customFormat="1" ht="19.5" customHeight="1">
      <c r="A15" s="150">
        <v>77</v>
      </c>
      <c r="B15" s="151">
        <v>76.56</v>
      </c>
      <c r="C15" s="152" t="s">
        <v>126</v>
      </c>
      <c r="D15" s="153">
        <v>31489</v>
      </c>
      <c r="E15" s="154"/>
      <c r="F15" s="155" t="s">
        <v>132</v>
      </c>
      <c r="G15" s="155" t="s">
        <v>61</v>
      </c>
      <c r="H15" s="139">
        <v>-88</v>
      </c>
      <c r="I15" s="140">
        <v>88</v>
      </c>
      <c r="J15" s="140">
        <v>92</v>
      </c>
      <c r="K15" s="139">
        <v>111</v>
      </c>
      <c r="L15" s="124">
        <v>115</v>
      </c>
      <c r="M15" s="124">
        <v>-116</v>
      </c>
      <c r="N15" s="92">
        <f t="shared" si="1"/>
        <v>92</v>
      </c>
      <c r="O15" s="92">
        <f t="shared" si="2"/>
        <v>115</v>
      </c>
      <c r="P15" s="92">
        <f t="shared" si="0"/>
        <v>207</v>
      </c>
      <c r="Q15" s="93">
        <f t="shared" si="3"/>
        <v>261.5228778569286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12</v>
      </c>
      <c r="T15" s="97" t="s">
        <v>22</v>
      </c>
      <c r="U15" s="95">
        <f t="shared" si="4"/>
        <v>1.2633955452025534</v>
      </c>
      <c r="V15" s="137">
        <f>R5</f>
        <v>42062</v>
      </c>
    </row>
    <row r="16" spans="1:22" s="13" customFormat="1" ht="19.5" customHeight="1">
      <c r="A16" s="150"/>
      <c r="B16" s="151"/>
      <c r="C16" s="152"/>
      <c r="D16" s="153"/>
      <c r="E16" s="154"/>
      <c r="F16" s="155"/>
      <c r="G16" s="155"/>
      <c r="H16" s="139"/>
      <c r="I16" s="140"/>
      <c r="J16" s="140"/>
      <c r="K16" s="139"/>
      <c r="L16" s="91"/>
      <c r="M16" s="91"/>
      <c r="N16" s="92">
        <f t="shared" si="1"/>
        <v>0</v>
      </c>
      <c r="O16" s="92">
        <f t="shared" si="2"/>
        <v>0</v>
      </c>
      <c r="P16" s="92">
        <f t="shared" si="0"/>
        <v>0</v>
      </c>
      <c r="Q16" s="93">
        <f t="shared" si="3"/>
      </c>
      <c r="R16" s="93">
        <f>IF(OR(D16="",B16="",V16=""),0,IF(OR(C16="UM",C16="JM",C16="SM",C16="UK",C16="JK",C16="SK"),"",Q16*(IF(ABS(1900-YEAR((V16+1)-D16))&lt;29,0,(VLOOKUP((YEAR(V16)-YEAR(D16)),'Meltzer-Malone'!$A$3:$B$63,2))))))</f>
        <v>0</v>
      </c>
      <c r="S16" s="97" t="s">
        <v>22</v>
      </c>
      <c r="T16" s="97" t="s">
        <v>22</v>
      </c>
      <c r="U16" s="95">
        <f t="shared" si="4"/>
      </c>
      <c r="V16" s="137">
        <f>R5</f>
        <v>42062</v>
      </c>
    </row>
    <row r="17" spans="1:22" s="13" customFormat="1" ht="19.5" customHeight="1">
      <c r="A17" s="85"/>
      <c r="B17" s="86"/>
      <c r="C17" s="87"/>
      <c r="D17" s="88"/>
      <c r="E17" s="89"/>
      <c r="F17" s="90"/>
      <c r="G17" s="90"/>
      <c r="H17" s="96"/>
      <c r="I17" s="91"/>
      <c r="J17" s="91"/>
      <c r="K17" s="96"/>
      <c r="L17" s="91"/>
      <c r="M17" s="91"/>
      <c r="N17" s="92">
        <f t="shared" si="1"/>
        <v>0</v>
      </c>
      <c r="O17" s="92">
        <f t="shared" si="2"/>
        <v>0</v>
      </c>
      <c r="P17" s="92">
        <f t="shared" si="0"/>
        <v>0</v>
      </c>
      <c r="Q17" s="93">
        <f t="shared" si="3"/>
      </c>
      <c r="R17" s="93">
        <f>IF(OR(D17="",B17="",V17=""),0,IF(OR(C17="UM",C17="JM",C17="SM",C17="UK",C17="JK",C17="SK"),"",Q17*(IF(ABS(1900-YEAR((V17+1)-D17))&lt;29,0,(VLOOKUP((YEAR(V17)-YEAR(D17)),'Meltzer-Malone'!$A$3:$B$63,2))))))</f>
        <v>0</v>
      </c>
      <c r="S17" s="97" t="s">
        <v>22</v>
      </c>
      <c r="T17" s="97" t="s">
        <v>22</v>
      </c>
      <c r="U17" s="95">
        <f t="shared" si="4"/>
      </c>
      <c r="V17" s="137">
        <f>R5</f>
        <v>42062</v>
      </c>
    </row>
    <row r="18" spans="1:22" s="13" customFormat="1" ht="19.5" customHeight="1">
      <c r="A18" s="85"/>
      <c r="B18" s="86"/>
      <c r="C18" s="87"/>
      <c r="D18" s="88"/>
      <c r="E18" s="89"/>
      <c r="F18" s="90"/>
      <c r="G18" s="90"/>
      <c r="H18" s="96"/>
      <c r="I18" s="91"/>
      <c r="J18" s="91"/>
      <c r="K18" s="96"/>
      <c r="L18" s="91"/>
      <c r="M18" s="91"/>
      <c r="N18" s="92">
        <f t="shared" si="1"/>
        <v>0</v>
      </c>
      <c r="O18" s="92">
        <f t="shared" si="2"/>
        <v>0</v>
      </c>
      <c r="P18" s="92">
        <f t="shared" si="0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/>
      <c r="T18" s="97"/>
      <c r="U18" s="95">
        <f t="shared" si="4"/>
      </c>
      <c r="V18" s="137">
        <f>R5</f>
        <v>42062</v>
      </c>
    </row>
    <row r="19" spans="1:22" s="13" customFormat="1" ht="19.5" customHeight="1">
      <c r="A19" s="85"/>
      <c r="B19" s="86"/>
      <c r="C19" s="87"/>
      <c r="D19" s="88"/>
      <c r="E19" s="89"/>
      <c r="F19" s="90"/>
      <c r="G19" s="90"/>
      <c r="H19" s="96"/>
      <c r="I19" s="91"/>
      <c r="J19" s="91"/>
      <c r="K19" s="96"/>
      <c r="L19" s="91"/>
      <c r="M19" s="91"/>
      <c r="N19" s="92">
        <f t="shared" si="1"/>
        <v>0</v>
      </c>
      <c r="O19" s="92">
        <f t="shared" si="2"/>
        <v>0</v>
      </c>
      <c r="P19" s="92">
        <f t="shared" si="0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42062</v>
      </c>
    </row>
    <row r="20" spans="1:22" s="13" customFormat="1" ht="19.5" customHeight="1">
      <c r="A20" s="85"/>
      <c r="B20" s="86"/>
      <c r="C20" s="87"/>
      <c r="D20" s="88"/>
      <c r="E20" s="89"/>
      <c r="F20" s="90"/>
      <c r="G20" s="90"/>
      <c r="H20" s="96"/>
      <c r="I20" s="91"/>
      <c r="J20" s="91"/>
      <c r="K20" s="96"/>
      <c r="L20" s="91"/>
      <c r="M20" s="91"/>
      <c r="N20" s="92">
        <f t="shared" si="1"/>
        <v>0</v>
      </c>
      <c r="O20" s="92">
        <f t="shared" si="2"/>
        <v>0</v>
      </c>
      <c r="P20" s="92">
        <f>IF(N20=0,0,IF(O20=0,0,SUM(N20:O20)))</f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42062</v>
      </c>
    </row>
    <row r="21" spans="1:22" s="13" customFormat="1" ht="19.5" customHeight="1">
      <c r="A21" s="85"/>
      <c r="B21" s="86"/>
      <c r="C21" s="87"/>
      <c r="D21" s="88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1"/>
        <v>0</v>
      </c>
      <c r="O21" s="92">
        <f t="shared" si="2"/>
        <v>0</v>
      </c>
      <c r="P21" s="92">
        <f>IF(N21=0,0,IF(O21=0,0,SUM(N21:O21)))</f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42062</v>
      </c>
    </row>
    <row r="22" spans="1:22" s="13" customFormat="1" ht="19.5" customHeight="1">
      <c r="A22" s="85"/>
      <c r="B22" s="86"/>
      <c r="C22" s="87"/>
      <c r="D22" s="88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1"/>
        <v>0</v>
      </c>
      <c r="O22" s="92">
        <f t="shared" si="2"/>
        <v>0</v>
      </c>
      <c r="P22" s="92">
        <f>IF(N22=0,0,IF(O22=0,0,SUM(N22:O22)))</f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42062</v>
      </c>
    </row>
    <row r="23" spans="1:22" s="13" customFormat="1" ht="19.5" customHeight="1">
      <c r="A23" s="85"/>
      <c r="B23" s="86"/>
      <c r="C23" s="87"/>
      <c r="D23" s="88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>IF(N23=0,0,IF(O23=0,0,SUM(N23:O23)))</f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42062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>IF(N24=0,0,IF(O24=0,0,SUM(N24:O24)))</f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42062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154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145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158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143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178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177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 t="s">
        <v>22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V39"/>
  <sheetViews>
    <sheetView showGridLines="0" showRowColHeaders="0" showZeros="0" showOutlineSymbols="0" zoomScaleSheetLayoutView="75" zoomScalePageLayoutView="0" workbookViewId="0" topLeftCell="A4">
      <selection activeCell="S14" sqref="S14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6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48</v>
      </c>
      <c r="B9" s="151">
        <v>46.96</v>
      </c>
      <c r="C9" s="152" t="s">
        <v>209</v>
      </c>
      <c r="D9" s="153">
        <v>35898</v>
      </c>
      <c r="E9" s="154"/>
      <c r="F9" s="155" t="s">
        <v>210</v>
      </c>
      <c r="G9" s="155" t="s">
        <v>110</v>
      </c>
      <c r="H9" s="139">
        <v>37</v>
      </c>
      <c r="I9" s="140">
        <v>-40</v>
      </c>
      <c r="J9" s="140">
        <v>40</v>
      </c>
      <c r="K9" s="139">
        <v>57</v>
      </c>
      <c r="L9" s="124">
        <v>60</v>
      </c>
      <c r="M9" s="124">
        <v>62</v>
      </c>
      <c r="N9" s="92">
        <f>IF(MAX(H9:J9)&lt;0,0,TRUNC(MAX(H9:J9)/1)*1)</f>
        <v>40</v>
      </c>
      <c r="O9" s="92">
        <f>IF(MAX(K9:M9)&lt;0,0,TRUNC(MAX(K9:M9)/1)*1)</f>
        <v>62</v>
      </c>
      <c r="P9" s="92">
        <f aca="true" t="shared" si="0" ref="P9:P24">IF(N9=0,0,IF(O9=0,0,SUM(N9:O9)))</f>
        <v>102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170.47858117476633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1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1.6713586389682975</v>
      </c>
      <c r="V9" s="137">
        <f>R5</f>
        <v>42063</v>
      </c>
    </row>
    <row r="10" spans="1:22" s="13" customFormat="1" ht="19.5" customHeight="1">
      <c r="A10" s="150">
        <v>53</v>
      </c>
      <c r="B10" s="151">
        <v>52.74</v>
      </c>
      <c r="C10" s="152" t="s">
        <v>211</v>
      </c>
      <c r="D10" s="153">
        <v>35320</v>
      </c>
      <c r="E10" s="154"/>
      <c r="F10" s="155" t="s">
        <v>212</v>
      </c>
      <c r="G10" s="155" t="s">
        <v>70</v>
      </c>
      <c r="H10" s="139">
        <v>55</v>
      </c>
      <c r="I10" s="140">
        <v>-59</v>
      </c>
      <c r="J10" s="140">
        <v>59</v>
      </c>
      <c r="K10" s="139">
        <v>71</v>
      </c>
      <c r="L10" s="124">
        <v>-75</v>
      </c>
      <c r="M10" s="124">
        <v>-78</v>
      </c>
      <c r="N10" s="92">
        <f aca="true" t="shared" si="1" ref="N10:N24">IF(MAX(H10:J10)&lt;0,0,TRUNC(MAX(H10:J10)/1)*1)</f>
        <v>59</v>
      </c>
      <c r="O10" s="92">
        <f aca="true" t="shared" si="2" ref="O10:O24">IF(MAX(K10:M10)&lt;0,0,TRUNC(MAX(K10:M10)/1)*1)</f>
        <v>71</v>
      </c>
      <c r="P10" s="92">
        <f t="shared" si="0"/>
        <v>130</v>
      </c>
      <c r="Q10" s="93">
        <f aca="true" t="shared" si="3" ref="Q10:Q2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196.87305942685558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2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1.5144081494373507</v>
      </c>
      <c r="V10" s="137">
        <f>R5</f>
        <v>42063</v>
      </c>
    </row>
    <row r="11" spans="1:22" s="13" customFormat="1" ht="19.5" customHeight="1">
      <c r="A11" s="150">
        <v>53</v>
      </c>
      <c r="B11" s="151">
        <v>50.94</v>
      </c>
      <c r="C11" s="152" t="s">
        <v>213</v>
      </c>
      <c r="D11" s="153">
        <v>34413</v>
      </c>
      <c r="E11" s="154"/>
      <c r="F11" s="155" t="s">
        <v>214</v>
      </c>
      <c r="G11" s="155" t="s">
        <v>133</v>
      </c>
      <c r="H11" s="139">
        <v>67</v>
      </c>
      <c r="I11" s="140">
        <v>70</v>
      </c>
      <c r="J11" s="140">
        <v>-71</v>
      </c>
      <c r="K11" s="139">
        <v>83</v>
      </c>
      <c r="L11" s="124">
        <v>86</v>
      </c>
      <c r="M11" s="124">
        <v>88</v>
      </c>
      <c r="N11" s="92">
        <f t="shared" si="1"/>
        <v>70</v>
      </c>
      <c r="O11" s="92">
        <f t="shared" si="2"/>
        <v>88</v>
      </c>
      <c r="P11" s="92">
        <f t="shared" si="0"/>
        <v>158</v>
      </c>
      <c r="Q11" s="93">
        <f t="shared" si="3"/>
        <v>246.16930962271607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1</v>
      </c>
      <c r="T11" s="130" t="s">
        <v>253</v>
      </c>
      <c r="U11" s="95">
        <f t="shared" si="4"/>
        <v>1.5580336052070638</v>
      </c>
      <c r="V11" s="137">
        <f>R5</f>
        <v>42063</v>
      </c>
    </row>
    <row r="12" spans="1:22" s="13" customFormat="1" ht="19.5" customHeight="1">
      <c r="A12" s="150">
        <v>53</v>
      </c>
      <c r="B12" s="151">
        <v>51.8</v>
      </c>
      <c r="C12" s="152" t="s">
        <v>213</v>
      </c>
      <c r="D12" s="153">
        <v>31230</v>
      </c>
      <c r="E12" s="154"/>
      <c r="F12" s="155" t="s">
        <v>215</v>
      </c>
      <c r="G12" s="155" t="s">
        <v>135</v>
      </c>
      <c r="H12" s="139">
        <v>45</v>
      </c>
      <c r="I12" s="140">
        <v>50</v>
      </c>
      <c r="J12" s="140">
        <v>-53</v>
      </c>
      <c r="K12" s="139">
        <v>-65</v>
      </c>
      <c r="L12" s="124">
        <v>68</v>
      </c>
      <c r="M12" s="124">
        <v>-70</v>
      </c>
      <c r="N12" s="92">
        <f t="shared" si="1"/>
        <v>50</v>
      </c>
      <c r="O12" s="92">
        <f t="shared" si="2"/>
        <v>68</v>
      </c>
      <c r="P12" s="92">
        <f t="shared" si="0"/>
        <v>118</v>
      </c>
      <c r="Q12" s="93">
        <f t="shared" si="3"/>
        <v>181.32661850266163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3</v>
      </c>
      <c r="T12" s="97" t="s">
        <v>22</v>
      </c>
      <c r="U12" s="95">
        <f t="shared" si="4"/>
        <v>1.5366662584971325</v>
      </c>
      <c r="V12" s="137">
        <f>R5</f>
        <v>42063</v>
      </c>
    </row>
    <row r="13" spans="1:22" s="13" customFormat="1" ht="19.5" customHeight="1">
      <c r="A13" s="150">
        <v>58</v>
      </c>
      <c r="B13" s="151">
        <v>58</v>
      </c>
      <c r="C13" s="152" t="s">
        <v>211</v>
      </c>
      <c r="D13" s="153">
        <v>34746</v>
      </c>
      <c r="E13" s="154"/>
      <c r="F13" s="163" t="s">
        <v>216</v>
      </c>
      <c r="G13" s="155" t="s">
        <v>133</v>
      </c>
      <c r="H13" s="139">
        <v>-50</v>
      </c>
      <c r="I13" s="140">
        <v>50</v>
      </c>
      <c r="J13" s="140">
        <v>-54</v>
      </c>
      <c r="K13" s="139">
        <v>65</v>
      </c>
      <c r="L13" s="124">
        <v>-68</v>
      </c>
      <c r="M13" s="124">
        <v>68</v>
      </c>
      <c r="N13" s="92">
        <f t="shared" si="1"/>
        <v>50</v>
      </c>
      <c r="O13" s="92">
        <f t="shared" si="2"/>
        <v>68</v>
      </c>
      <c r="P13" s="92">
        <f t="shared" si="0"/>
        <v>118</v>
      </c>
      <c r="Q13" s="93">
        <f t="shared" si="3"/>
        <v>166.12945217533266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6</v>
      </c>
      <c r="T13" s="97" t="s">
        <v>22</v>
      </c>
      <c r="U13" s="95">
        <f t="shared" si="4"/>
        <v>1.4078767133502768</v>
      </c>
      <c r="V13" s="137">
        <f>R5</f>
        <v>42063</v>
      </c>
    </row>
    <row r="14" spans="1:22" s="13" customFormat="1" ht="19.5" customHeight="1">
      <c r="A14" s="150">
        <v>58</v>
      </c>
      <c r="B14" s="151">
        <v>57.16</v>
      </c>
      <c r="C14" s="152" t="s">
        <v>213</v>
      </c>
      <c r="D14" s="153">
        <v>31500</v>
      </c>
      <c r="E14" s="154"/>
      <c r="F14" s="155" t="s">
        <v>217</v>
      </c>
      <c r="G14" s="155" t="s">
        <v>134</v>
      </c>
      <c r="H14" s="139">
        <v>60</v>
      </c>
      <c r="I14" s="140">
        <v>66</v>
      </c>
      <c r="J14" s="140">
        <v>71</v>
      </c>
      <c r="K14" s="139">
        <v>85</v>
      </c>
      <c r="L14" s="124">
        <v>90</v>
      </c>
      <c r="M14" s="124">
        <v>-96</v>
      </c>
      <c r="N14" s="92">
        <f t="shared" si="1"/>
        <v>71</v>
      </c>
      <c r="O14" s="92">
        <f t="shared" si="2"/>
        <v>90</v>
      </c>
      <c r="P14" s="92">
        <f t="shared" si="0"/>
        <v>161</v>
      </c>
      <c r="Q14" s="93">
        <f t="shared" si="3"/>
        <v>229.114701241127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1</v>
      </c>
      <c r="T14" s="97" t="s">
        <v>22</v>
      </c>
      <c r="U14" s="95">
        <f t="shared" si="4"/>
        <v>1.4230726785163168</v>
      </c>
      <c r="V14" s="137">
        <f>R5</f>
        <v>42063</v>
      </c>
    </row>
    <row r="15" spans="1:22" s="13" customFormat="1" ht="19.5" customHeight="1">
      <c r="A15" s="150">
        <v>58</v>
      </c>
      <c r="B15" s="151">
        <v>57.36</v>
      </c>
      <c r="C15" s="152" t="s">
        <v>213</v>
      </c>
      <c r="D15" s="153">
        <v>32317</v>
      </c>
      <c r="E15" s="154"/>
      <c r="F15" s="155" t="s">
        <v>218</v>
      </c>
      <c r="G15" s="155" t="s">
        <v>135</v>
      </c>
      <c r="H15" s="139">
        <v>50</v>
      </c>
      <c r="I15" s="140">
        <v>-53</v>
      </c>
      <c r="J15" s="140">
        <v>53</v>
      </c>
      <c r="K15" s="139">
        <v>70</v>
      </c>
      <c r="L15" s="124">
        <v>-73</v>
      </c>
      <c r="M15" s="124">
        <v>73</v>
      </c>
      <c r="N15" s="92">
        <f t="shared" si="1"/>
        <v>53</v>
      </c>
      <c r="O15" s="92">
        <f t="shared" si="2"/>
        <v>73</v>
      </c>
      <c r="P15" s="92">
        <f t="shared" si="0"/>
        <v>126</v>
      </c>
      <c r="Q15" s="93">
        <f t="shared" si="3"/>
        <v>178.84416422077348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5</v>
      </c>
      <c r="T15" s="97"/>
      <c r="U15" s="95">
        <f t="shared" si="4"/>
        <v>1.4193981287362976</v>
      </c>
      <c r="V15" s="137">
        <f>R5</f>
        <v>42063</v>
      </c>
    </row>
    <row r="16" spans="1:22" s="13" customFormat="1" ht="19.5" customHeight="1">
      <c r="A16" s="150">
        <v>58</v>
      </c>
      <c r="B16" s="151">
        <v>56.4</v>
      </c>
      <c r="C16" s="152" t="s">
        <v>213</v>
      </c>
      <c r="D16" s="153">
        <v>31978</v>
      </c>
      <c r="E16" s="154"/>
      <c r="F16" s="155" t="s">
        <v>219</v>
      </c>
      <c r="G16" s="155" t="s">
        <v>87</v>
      </c>
      <c r="H16" s="139">
        <v>47</v>
      </c>
      <c r="I16" s="140">
        <v>-49</v>
      </c>
      <c r="J16" s="140">
        <v>50</v>
      </c>
      <c r="K16" s="139">
        <v>60</v>
      </c>
      <c r="L16" s="124">
        <v>-62</v>
      </c>
      <c r="M16" s="124">
        <v>-62</v>
      </c>
      <c r="N16" s="92">
        <f t="shared" si="1"/>
        <v>50</v>
      </c>
      <c r="O16" s="92">
        <f t="shared" si="2"/>
        <v>60</v>
      </c>
      <c r="P16" s="92">
        <f t="shared" si="0"/>
        <v>110</v>
      </c>
      <c r="Q16" s="93">
        <f t="shared" si="3"/>
        <v>158.11059317267657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8</v>
      </c>
      <c r="T16" s="97"/>
      <c r="U16" s="95">
        <f t="shared" si="4"/>
        <v>1.4373690288425143</v>
      </c>
      <c r="V16" s="137">
        <f>R5</f>
        <v>42063</v>
      </c>
    </row>
    <row r="17" spans="1:22" s="13" customFormat="1" ht="19.5" customHeight="1">
      <c r="A17" s="150">
        <v>58</v>
      </c>
      <c r="B17" s="151">
        <v>57.08</v>
      </c>
      <c r="C17" s="152" t="s">
        <v>213</v>
      </c>
      <c r="D17" s="153">
        <v>33717</v>
      </c>
      <c r="E17" s="154"/>
      <c r="F17" s="155" t="s">
        <v>220</v>
      </c>
      <c r="G17" s="155" t="s">
        <v>50</v>
      </c>
      <c r="H17" s="139">
        <v>60</v>
      </c>
      <c r="I17" s="140">
        <v>-64</v>
      </c>
      <c r="J17" s="140">
        <v>-64</v>
      </c>
      <c r="K17" s="139">
        <v>78</v>
      </c>
      <c r="L17" s="124">
        <v>-80</v>
      </c>
      <c r="M17" s="124">
        <v>81</v>
      </c>
      <c r="N17" s="92">
        <f t="shared" si="1"/>
        <v>60</v>
      </c>
      <c r="O17" s="92">
        <f t="shared" si="2"/>
        <v>81</v>
      </c>
      <c r="P17" s="92">
        <f t="shared" si="0"/>
        <v>141</v>
      </c>
      <c r="Q17" s="93">
        <f t="shared" si="3"/>
        <v>200.86191303419236</v>
      </c>
      <c r="R17" s="93">
        <f>IF(OR(D17="",B17="",V17=""),0,IF(OR(C17="UM",C17="JM",C17="SM",C17="UK",C17="JK",C17="SK"),"",Q17*(IF(ABS(1900-YEAR((V17+1)-D17))&lt;29,0,(VLOOKUP((YEAR(V17)-YEAR(D17)),'Meltzer-Malone'!$A$3:$B$63,2))))))</f>
      </c>
      <c r="S17" s="97">
        <v>4</v>
      </c>
      <c r="T17" s="97"/>
      <c r="U17" s="95">
        <f t="shared" si="4"/>
        <v>1.424552574710584</v>
      </c>
      <c r="V17" s="137">
        <f>R5</f>
        <v>42063</v>
      </c>
    </row>
    <row r="18" spans="1:22" s="13" customFormat="1" ht="19.5" customHeight="1">
      <c r="A18" s="150">
        <v>58</v>
      </c>
      <c r="B18" s="151">
        <v>56.64</v>
      </c>
      <c r="C18" s="152" t="s">
        <v>211</v>
      </c>
      <c r="D18" s="153">
        <v>35232</v>
      </c>
      <c r="E18" s="154"/>
      <c r="F18" s="164" t="s">
        <v>221</v>
      </c>
      <c r="G18" s="155" t="s">
        <v>94</v>
      </c>
      <c r="H18" s="139">
        <v>47</v>
      </c>
      <c r="I18" s="140">
        <v>-51</v>
      </c>
      <c r="J18" s="140">
        <v>-51</v>
      </c>
      <c r="K18" s="139">
        <v>62</v>
      </c>
      <c r="L18" s="124">
        <v>66</v>
      </c>
      <c r="M18" s="124">
        <v>68</v>
      </c>
      <c r="N18" s="92">
        <f t="shared" si="1"/>
        <v>47</v>
      </c>
      <c r="O18" s="92">
        <f t="shared" si="2"/>
        <v>68</v>
      </c>
      <c r="P18" s="92">
        <f t="shared" si="0"/>
        <v>115</v>
      </c>
      <c r="Q18" s="93">
        <f t="shared" si="3"/>
        <v>164.77160118527908</v>
      </c>
      <c r="R18" s="93">
        <f>IF(OR(D18="",B18="",V18=""),0,IF(OR(C18="UM",C18="JM",C18="SM",C18="UK",C18="JK",C18="SK"),"",Q18*(IF(ABS(1900-YEAR((V18+1)-D18))&lt;29,0,(VLOOKUP((YEAR(V18)-YEAR(D18)),'Meltzer-Malone'!$A$3:$B$63,2))))))</f>
      </c>
      <c r="S18" s="97">
        <v>7</v>
      </c>
      <c r="T18" s="97" t="s">
        <v>22</v>
      </c>
      <c r="U18" s="95">
        <f t="shared" si="4"/>
        <v>1.432796532045905</v>
      </c>
      <c r="V18" s="137">
        <f>R5</f>
        <v>42063</v>
      </c>
    </row>
    <row r="19" spans="1:22" s="13" customFormat="1" ht="19.5" customHeight="1">
      <c r="A19" s="150">
        <v>58</v>
      </c>
      <c r="B19" s="151">
        <v>56.54</v>
      </c>
      <c r="C19" s="152" t="s">
        <v>213</v>
      </c>
      <c r="D19" s="153">
        <v>33955</v>
      </c>
      <c r="E19" s="154"/>
      <c r="F19" s="155" t="s">
        <v>222</v>
      </c>
      <c r="G19" s="155" t="s">
        <v>136</v>
      </c>
      <c r="H19" s="139">
        <v>67</v>
      </c>
      <c r="I19" s="140">
        <v>-70</v>
      </c>
      <c r="J19" s="140">
        <v>-70</v>
      </c>
      <c r="K19" s="139">
        <v>85</v>
      </c>
      <c r="L19" s="124">
        <v>-89</v>
      </c>
      <c r="M19" s="124">
        <v>-89</v>
      </c>
      <c r="N19" s="92">
        <f t="shared" si="1"/>
        <v>67</v>
      </c>
      <c r="O19" s="92">
        <f t="shared" si="2"/>
        <v>85</v>
      </c>
      <c r="P19" s="92">
        <f t="shared" si="0"/>
        <v>152</v>
      </c>
      <c r="Q19" s="93">
        <f t="shared" si="3"/>
        <v>218.07366447091567</v>
      </c>
      <c r="R19" s="93">
        <f>IF(OR(D19="",B19="",V19=""),0,IF(OR(C19="UM",C19="JM",C19="SM",C19="UK",C19="JK",C19="SK"),"",Q19*(IF(ABS(1900-YEAR((V19+1)-D19))&lt;29,0,(VLOOKUP((YEAR(V19)-YEAR(D19)),'Meltzer-Malone'!$A$3:$B$63,2))))))</f>
      </c>
      <c r="S19" s="97">
        <v>2</v>
      </c>
      <c r="T19" s="97"/>
      <c r="U19" s="95">
        <f t="shared" si="4"/>
        <v>1.4346951609928662</v>
      </c>
      <c r="V19" s="137">
        <f>R5</f>
        <v>42063</v>
      </c>
    </row>
    <row r="20" spans="1:22" s="13" customFormat="1" ht="19.5" customHeight="1">
      <c r="A20" s="150">
        <v>58</v>
      </c>
      <c r="B20" s="151">
        <v>57.78</v>
      </c>
      <c r="C20" s="152" t="s">
        <v>213</v>
      </c>
      <c r="D20" s="153">
        <v>32986</v>
      </c>
      <c r="E20" s="154"/>
      <c r="F20" s="155" t="s">
        <v>223</v>
      </c>
      <c r="G20" s="155" t="s">
        <v>103</v>
      </c>
      <c r="H20" s="139">
        <v>-54</v>
      </c>
      <c r="I20" s="140">
        <v>54</v>
      </c>
      <c r="J20" s="140">
        <v>60</v>
      </c>
      <c r="K20" s="139">
        <v>75</v>
      </c>
      <c r="L20" s="124">
        <v>80</v>
      </c>
      <c r="M20" s="124">
        <v>83</v>
      </c>
      <c r="N20" s="92">
        <f t="shared" si="1"/>
        <v>60</v>
      </c>
      <c r="O20" s="92">
        <f t="shared" si="2"/>
        <v>83</v>
      </c>
      <c r="P20" s="92">
        <f t="shared" si="0"/>
        <v>143</v>
      </c>
      <c r="Q20" s="93">
        <f t="shared" si="3"/>
        <v>201.88696753330672</v>
      </c>
      <c r="R20" s="93">
        <f>IF(OR(D20="",B20="",V20=""),0,IF(OR(C20="UM",C20="JM",C20="SM",C20="UK",C20="JK",C20="SK"),"",Q20*(IF(ABS(1900-YEAR((V20+1)-D20))&lt;29,0,(VLOOKUP((YEAR(V20)-YEAR(D20)),'Meltzer-Malone'!$A$3:$B$63,2))))))</f>
      </c>
      <c r="S20" s="97">
        <v>3</v>
      </c>
      <c r="T20" s="97"/>
      <c r="U20" s="95">
        <f t="shared" si="4"/>
        <v>1.4117969757573896</v>
      </c>
      <c r="V20" s="137">
        <f>R5</f>
        <v>42063</v>
      </c>
    </row>
    <row r="21" spans="1:22" s="13" customFormat="1" ht="19.5" customHeight="1">
      <c r="A21" s="85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1"/>
        <v>0</v>
      </c>
      <c r="O21" s="92">
        <f t="shared" si="2"/>
        <v>0</v>
      </c>
      <c r="P21" s="92">
        <f t="shared" si="0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85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1"/>
        <v>0</v>
      </c>
      <c r="O22" s="92">
        <f t="shared" si="2"/>
        <v>0</v>
      </c>
      <c r="P22" s="92">
        <f t="shared" si="0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85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>IF(P24="","",IF(B24="","",IF(OR(C24="UK",C24="JK",C24="SK",C24="K1",C24="K2",C24="K3",C24="K4",C24="K5",C24="K6",C24="K7",C24="K8",C24="K9",C24="K10"),IF(B24&gt;148.026,P24,IF(B24&lt;28,10^(0.89726074*LOG10(28/148.026)^2)*P24,10^(0.89726074*LOG10(B24/148.026)^2)*P24)),IF(B24&gt;174.393,P24,IF(B24&lt;32,10^(0.794358141*LOG10(32/174.393)^2)*P24,10^(0.794358141*LOG10(B24/174.393)^2)*P24)))))</f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147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152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157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159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143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168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146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 t="s">
        <v>254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39"/>
  <sheetViews>
    <sheetView showGridLines="0" showRowColHeaders="0" showZeros="0" showOutlineSymbols="0" zoomScaleSheetLayoutView="75" zoomScalePageLayoutView="0" workbookViewId="0" topLeftCell="A4">
      <selection activeCell="I27" sqref="I27:T27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7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62</v>
      </c>
      <c r="B9" s="151">
        <v>61.38</v>
      </c>
      <c r="C9" s="152" t="s">
        <v>126</v>
      </c>
      <c r="D9" s="153">
        <v>31782</v>
      </c>
      <c r="E9" s="154"/>
      <c r="F9" s="155" t="s">
        <v>189</v>
      </c>
      <c r="G9" s="155" t="s">
        <v>134</v>
      </c>
      <c r="H9" s="139">
        <v>70</v>
      </c>
      <c r="I9" s="140">
        <v>73</v>
      </c>
      <c r="J9" s="140">
        <v>-76</v>
      </c>
      <c r="K9" s="139">
        <v>87</v>
      </c>
      <c r="L9" s="124">
        <v>-92</v>
      </c>
      <c r="M9" s="124">
        <v>92</v>
      </c>
      <c r="N9" s="92">
        <f>IF(MAX(H9:J9)&lt;0,0,TRUNC(MAX(H9:J9)/1)*1)</f>
        <v>73</v>
      </c>
      <c r="O9" s="92">
        <f>IF(MAX(K9:M9)&lt;0,0,TRUNC(MAX(K9:M9)/1)*1)</f>
        <v>92</v>
      </c>
      <c r="P9" s="92">
        <f aca="true" t="shared" si="0" ref="P9:P24">IF(N9=0,0,IF(O9=0,0,SUM(N9:O9)))</f>
        <v>165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240.35601022890955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1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1.4567030922964215</v>
      </c>
      <c r="V9" s="137">
        <f>R5</f>
        <v>42063</v>
      </c>
    </row>
    <row r="10" spans="1:22" s="13" customFormat="1" ht="19.5" customHeight="1">
      <c r="A10" s="150">
        <v>69</v>
      </c>
      <c r="B10" s="151">
        <v>69</v>
      </c>
      <c r="C10" s="152" t="s">
        <v>190</v>
      </c>
      <c r="D10" s="153">
        <v>36192</v>
      </c>
      <c r="E10" s="154"/>
      <c r="F10" s="155" t="s">
        <v>191</v>
      </c>
      <c r="G10" s="155" t="s">
        <v>64</v>
      </c>
      <c r="H10" s="139">
        <v>93</v>
      </c>
      <c r="I10" s="140">
        <v>98</v>
      </c>
      <c r="J10" s="140">
        <v>-102</v>
      </c>
      <c r="K10" s="139">
        <v>-112</v>
      </c>
      <c r="L10" s="124">
        <v>112</v>
      </c>
      <c r="M10" s="172" t="s">
        <v>171</v>
      </c>
      <c r="N10" s="92">
        <f aca="true" t="shared" si="1" ref="N10:N24">IF(MAX(H10:J10)&lt;0,0,TRUNC(MAX(H10:J10)/1)*1)</f>
        <v>98</v>
      </c>
      <c r="O10" s="92">
        <f aca="true" t="shared" si="2" ref="O10:O24">IF(MAX(K10:M10)&lt;0,0,TRUNC(MAX(K10:M10)/1)*1)</f>
        <v>112</v>
      </c>
      <c r="P10" s="92">
        <f t="shared" si="0"/>
        <v>210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282.50450623745917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4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1.3452595535117104</v>
      </c>
      <c r="V10" s="137">
        <f>R5</f>
        <v>42063</v>
      </c>
    </row>
    <row r="11" spans="1:22" s="13" customFormat="1" ht="19.5" customHeight="1">
      <c r="A11" s="150">
        <v>69</v>
      </c>
      <c r="B11" s="151">
        <v>68.58</v>
      </c>
      <c r="C11" s="152" t="s">
        <v>126</v>
      </c>
      <c r="D11" s="153">
        <v>32437</v>
      </c>
      <c r="E11" s="154"/>
      <c r="F11" s="155" t="s">
        <v>192</v>
      </c>
      <c r="G11" s="155" t="s">
        <v>57</v>
      </c>
      <c r="H11" s="139">
        <v>80</v>
      </c>
      <c r="I11" s="140">
        <v>84</v>
      </c>
      <c r="J11" s="140">
        <v>-90</v>
      </c>
      <c r="K11" s="139">
        <v>-105</v>
      </c>
      <c r="L11" s="124">
        <v>-105</v>
      </c>
      <c r="M11" s="124">
        <v>105</v>
      </c>
      <c r="N11" s="92">
        <f t="shared" si="1"/>
        <v>84</v>
      </c>
      <c r="O11" s="92">
        <f t="shared" si="2"/>
        <v>105</v>
      </c>
      <c r="P11" s="92">
        <f t="shared" si="0"/>
        <v>189</v>
      </c>
      <c r="Q11" s="93">
        <f t="shared" si="3"/>
        <v>255.25239538423773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6</v>
      </c>
      <c r="T11" s="97"/>
      <c r="U11" s="95">
        <f t="shared" si="4"/>
        <v>1.3505417745197763</v>
      </c>
      <c r="V11" s="137">
        <f>R5</f>
        <v>42063</v>
      </c>
    </row>
    <row r="12" spans="1:22" s="13" customFormat="1" ht="19.5" customHeight="1">
      <c r="A12" s="150">
        <v>69</v>
      </c>
      <c r="B12" s="151">
        <v>67.46</v>
      </c>
      <c r="C12" s="152" t="s">
        <v>126</v>
      </c>
      <c r="D12" s="153">
        <v>33342</v>
      </c>
      <c r="E12" s="154"/>
      <c r="F12" s="155" t="s">
        <v>193</v>
      </c>
      <c r="G12" s="155" t="s">
        <v>50</v>
      </c>
      <c r="H12" s="139">
        <v>105</v>
      </c>
      <c r="I12" s="140">
        <v>108</v>
      </c>
      <c r="J12" s="140">
        <v>110</v>
      </c>
      <c r="K12" s="139">
        <v>133</v>
      </c>
      <c r="L12" s="124">
        <v>-140</v>
      </c>
      <c r="M12" s="124">
        <v>-145</v>
      </c>
      <c r="N12" s="92">
        <f t="shared" si="1"/>
        <v>110</v>
      </c>
      <c r="O12" s="92">
        <f t="shared" si="2"/>
        <v>133</v>
      </c>
      <c r="P12" s="92">
        <f t="shared" si="0"/>
        <v>243</v>
      </c>
      <c r="Q12" s="93">
        <f t="shared" si="3"/>
        <v>331.71105574469937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2</v>
      </c>
      <c r="T12" s="97" t="s">
        <v>22</v>
      </c>
      <c r="U12" s="95">
        <f t="shared" si="4"/>
        <v>1.3650660730234543</v>
      </c>
      <c r="V12" s="137">
        <f>R5</f>
        <v>42063</v>
      </c>
    </row>
    <row r="13" spans="1:22" s="13" customFormat="1" ht="19.5" customHeight="1">
      <c r="A13" s="150">
        <v>69</v>
      </c>
      <c r="B13" s="151">
        <v>68.9</v>
      </c>
      <c r="C13" s="152" t="s">
        <v>126</v>
      </c>
      <c r="D13" s="153">
        <v>33679</v>
      </c>
      <c r="E13" s="154"/>
      <c r="F13" s="155" t="s">
        <v>194</v>
      </c>
      <c r="G13" s="155" t="s">
        <v>64</v>
      </c>
      <c r="H13" s="139">
        <v>95</v>
      </c>
      <c r="I13" s="140">
        <v>-100</v>
      </c>
      <c r="J13" s="140">
        <v>-100</v>
      </c>
      <c r="K13" s="139">
        <v>115</v>
      </c>
      <c r="L13" s="124">
        <v>122</v>
      </c>
      <c r="M13" s="124">
        <v>-128</v>
      </c>
      <c r="N13" s="92">
        <f t="shared" si="1"/>
        <v>95</v>
      </c>
      <c r="O13" s="92">
        <f t="shared" si="2"/>
        <v>122</v>
      </c>
      <c r="P13" s="92">
        <f t="shared" si="0"/>
        <v>217</v>
      </c>
      <c r="Q13" s="93">
        <f t="shared" si="3"/>
        <v>292.1925165416264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3</v>
      </c>
      <c r="T13" s="97" t="s">
        <v>22</v>
      </c>
      <c r="U13" s="95">
        <f t="shared" si="4"/>
        <v>1.346509292818555</v>
      </c>
      <c r="V13" s="137">
        <f>R5</f>
        <v>42063</v>
      </c>
    </row>
    <row r="14" spans="1:22" s="13" customFormat="1" ht="19.5" customHeight="1">
      <c r="A14" s="150">
        <v>69</v>
      </c>
      <c r="B14" s="151">
        <v>67.52</v>
      </c>
      <c r="C14" s="152" t="s">
        <v>126</v>
      </c>
      <c r="D14" s="153">
        <v>32605</v>
      </c>
      <c r="E14" s="154"/>
      <c r="F14" s="155" t="s">
        <v>195</v>
      </c>
      <c r="G14" s="155" t="s">
        <v>108</v>
      </c>
      <c r="H14" s="139">
        <v>82</v>
      </c>
      <c r="I14" s="140">
        <v>-87</v>
      </c>
      <c r="J14" s="140">
        <v>88</v>
      </c>
      <c r="K14" s="139">
        <v>101</v>
      </c>
      <c r="L14" s="124">
        <v>-104</v>
      </c>
      <c r="M14" s="124">
        <v>105</v>
      </c>
      <c r="N14" s="92">
        <f t="shared" si="1"/>
        <v>88</v>
      </c>
      <c r="O14" s="92">
        <f t="shared" si="2"/>
        <v>105</v>
      </c>
      <c r="P14" s="92">
        <f t="shared" si="0"/>
        <v>193</v>
      </c>
      <c r="Q14" s="93">
        <f t="shared" si="3"/>
        <v>263.3043804105355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5</v>
      </c>
      <c r="T14" s="97" t="s">
        <v>22</v>
      </c>
      <c r="U14" s="95">
        <f t="shared" si="4"/>
        <v>1.3642714010908574</v>
      </c>
      <c r="V14" s="137">
        <f>R5</f>
        <v>42063</v>
      </c>
    </row>
    <row r="15" spans="1:22" s="13" customFormat="1" ht="19.5" customHeight="1">
      <c r="A15" s="150">
        <v>69</v>
      </c>
      <c r="B15" s="151">
        <v>68.88</v>
      </c>
      <c r="C15" s="152" t="s">
        <v>126</v>
      </c>
      <c r="D15" s="153">
        <v>34579</v>
      </c>
      <c r="E15" s="154"/>
      <c r="F15" s="155" t="s">
        <v>196</v>
      </c>
      <c r="G15" s="155" t="s">
        <v>136</v>
      </c>
      <c r="H15" s="139">
        <v>-115</v>
      </c>
      <c r="I15" s="140">
        <v>115</v>
      </c>
      <c r="J15" s="140">
        <v>-120</v>
      </c>
      <c r="K15" s="139">
        <v>140</v>
      </c>
      <c r="L15" s="124">
        <v>147</v>
      </c>
      <c r="M15" s="124">
        <v>-152</v>
      </c>
      <c r="N15" s="92">
        <f t="shared" si="1"/>
        <v>115</v>
      </c>
      <c r="O15" s="92">
        <f t="shared" si="2"/>
        <v>147</v>
      </c>
      <c r="P15" s="92">
        <f t="shared" si="0"/>
        <v>262</v>
      </c>
      <c r="Q15" s="93">
        <f t="shared" si="3"/>
        <v>352.8510761268912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1</v>
      </c>
      <c r="T15" s="130" t="s">
        <v>172</v>
      </c>
      <c r="U15" s="95">
        <f t="shared" si="4"/>
        <v>1.3467598325453862</v>
      </c>
      <c r="V15" s="137">
        <f>R5</f>
        <v>42063</v>
      </c>
    </row>
    <row r="16" spans="1:22" s="13" customFormat="1" ht="19.5" customHeight="1">
      <c r="A16" s="150"/>
      <c r="B16" s="151"/>
      <c r="C16" s="152"/>
      <c r="D16" s="153"/>
      <c r="E16" s="154"/>
      <c r="F16" s="155"/>
      <c r="G16" s="155"/>
      <c r="H16" s="139"/>
      <c r="I16" s="140"/>
      <c r="J16" s="140"/>
      <c r="K16" s="139"/>
      <c r="L16" s="91"/>
      <c r="M16" s="91"/>
      <c r="N16" s="92">
        <f t="shared" si="1"/>
        <v>0</v>
      </c>
      <c r="O16" s="92">
        <f t="shared" si="2"/>
        <v>0</v>
      </c>
      <c r="P16" s="92">
        <f t="shared" si="0"/>
        <v>0</v>
      </c>
      <c r="Q16" s="93">
        <f t="shared" si="3"/>
      </c>
      <c r="R16" s="93">
        <f>IF(OR(D16="",B16="",V16=""),0,IF(OR(C16="UM",C16="JM",C16="SM",C16="UK",C16="JK",C16="SK"),"",Q16*(IF(ABS(1900-YEAR((V16+1)-D16))&lt;29,0,(VLOOKUP((YEAR(V16)-YEAR(D16)),'Meltzer-Malone'!$A$3:$B$63,2))))))</f>
        <v>0</v>
      </c>
      <c r="S16" s="97"/>
      <c r="T16" s="97"/>
      <c r="U16" s="95">
        <f t="shared" si="4"/>
      </c>
      <c r="V16" s="137">
        <f>R5</f>
        <v>42063</v>
      </c>
    </row>
    <row r="17" spans="1:22" s="13" customFormat="1" ht="19.5" customHeight="1">
      <c r="A17" s="150"/>
      <c r="B17" s="151"/>
      <c r="C17" s="152"/>
      <c r="D17" s="153"/>
      <c r="E17" s="154"/>
      <c r="F17" s="155"/>
      <c r="G17" s="155"/>
      <c r="H17" s="139"/>
      <c r="I17" s="140"/>
      <c r="J17" s="140"/>
      <c r="K17" s="139"/>
      <c r="L17" s="91"/>
      <c r="M17" s="91"/>
      <c r="N17" s="92">
        <f t="shared" si="1"/>
        <v>0</v>
      </c>
      <c r="O17" s="92">
        <f t="shared" si="2"/>
        <v>0</v>
      </c>
      <c r="P17" s="92">
        <f t="shared" si="0"/>
        <v>0</v>
      </c>
      <c r="Q17" s="93">
        <f t="shared" si="3"/>
      </c>
      <c r="R17" s="93">
        <f>IF(OR(D17="",B17="",V17=""),0,IF(OR(C17="UM",C17="JM",C17="SM",C17="UK",C17="JK",C17="SK"),"",Q17*(IF(ABS(1900-YEAR((V17+1)-D17))&lt;29,0,(VLOOKUP((YEAR(V17)-YEAR(D17)),'Meltzer-Malone'!$A$3:$B$63,2))))))</f>
        <v>0</v>
      </c>
      <c r="S17" s="97"/>
      <c r="T17" s="97"/>
      <c r="U17" s="95">
        <f t="shared" si="4"/>
      </c>
      <c r="V17" s="137">
        <f>R5</f>
        <v>42063</v>
      </c>
    </row>
    <row r="18" spans="1:22" s="13" customFormat="1" ht="19.5" customHeight="1">
      <c r="A18" s="85"/>
      <c r="B18" s="86"/>
      <c r="C18" s="87"/>
      <c r="D18" s="87" t="s">
        <v>22</v>
      </c>
      <c r="E18" s="89"/>
      <c r="F18" s="90" t="s">
        <v>22</v>
      </c>
      <c r="G18" s="90" t="s">
        <v>22</v>
      </c>
      <c r="H18" s="96"/>
      <c r="I18" s="91"/>
      <c r="J18" s="91"/>
      <c r="K18" s="96"/>
      <c r="L18" s="91"/>
      <c r="M18" s="91"/>
      <c r="N18" s="92">
        <f t="shared" si="1"/>
        <v>0</v>
      </c>
      <c r="O18" s="92">
        <f t="shared" si="2"/>
        <v>0</v>
      </c>
      <c r="P18" s="92">
        <f t="shared" si="0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 t="s">
        <v>22</v>
      </c>
      <c r="T18" s="97" t="s">
        <v>22</v>
      </c>
      <c r="U18" s="95">
        <f t="shared" si="4"/>
      </c>
      <c r="V18" s="137">
        <f>R5</f>
        <v>42063</v>
      </c>
    </row>
    <row r="19" spans="1:22" s="13" customFormat="1" ht="19.5" customHeight="1">
      <c r="A19" s="85"/>
      <c r="B19" s="86"/>
      <c r="C19" s="87"/>
      <c r="D19" s="87"/>
      <c r="E19" s="89"/>
      <c r="F19" s="90"/>
      <c r="G19" s="90"/>
      <c r="H19" s="96"/>
      <c r="I19" s="91"/>
      <c r="J19" s="91"/>
      <c r="K19" s="96"/>
      <c r="L19" s="91"/>
      <c r="M19" s="91"/>
      <c r="N19" s="92">
        <f t="shared" si="1"/>
        <v>0</v>
      </c>
      <c r="O19" s="92">
        <f t="shared" si="2"/>
        <v>0</v>
      </c>
      <c r="P19" s="92">
        <f t="shared" si="0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42063</v>
      </c>
    </row>
    <row r="20" spans="1:22" s="13" customFormat="1" ht="19.5" customHeight="1">
      <c r="A20" s="85"/>
      <c r="B20" s="86"/>
      <c r="C20" s="87"/>
      <c r="D20" s="87"/>
      <c r="E20" s="89"/>
      <c r="F20" s="90"/>
      <c r="G20" s="90"/>
      <c r="H20" s="96"/>
      <c r="I20" s="91"/>
      <c r="J20" s="91"/>
      <c r="K20" s="96"/>
      <c r="L20" s="91"/>
      <c r="M20" s="91"/>
      <c r="N20" s="92">
        <f t="shared" si="1"/>
        <v>0</v>
      </c>
      <c r="O20" s="92">
        <f t="shared" si="2"/>
        <v>0</v>
      </c>
      <c r="P20" s="92">
        <f t="shared" si="0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42063</v>
      </c>
    </row>
    <row r="21" spans="1:22" s="13" customFormat="1" ht="19.5" customHeight="1">
      <c r="A21" s="85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1"/>
        <v>0</v>
      </c>
      <c r="O21" s="92">
        <f t="shared" si="2"/>
        <v>0</v>
      </c>
      <c r="P21" s="92">
        <f t="shared" si="0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85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1"/>
        <v>0</v>
      </c>
      <c r="O22" s="92">
        <f t="shared" si="2"/>
        <v>0</v>
      </c>
      <c r="P22" s="92">
        <f t="shared" si="0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85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85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161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145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142</v>
      </c>
      <c r="D29" s="180"/>
      <c r="E29" s="180"/>
      <c r="F29" s="180"/>
      <c r="G29" s="59"/>
      <c r="H29" s="56">
        <v>3</v>
      </c>
      <c r="I29" s="179" t="s">
        <v>146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144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255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151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163</v>
      </c>
      <c r="D35" s="180"/>
      <c r="E35" s="180"/>
      <c r="F35" s="180"/>
      <c r="G35" s="61" t="s">
        <v>24</v>
      </c>
      <c r="H35" s="179" t="s">
        <v>256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39"/>
  <sheetViews>
    <sheetView showGridLines="0" showRowColHeaders="0" showZeros="0" showOutlineSymbols="0" zoomScaleSheetLayoutView="75" zoomScalePageLayoutView="0" workbookViewId="0" topLeftCell="A7">
      <selection activeCell="F17" sqref="F17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8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63</v>
      </c>
      <c r="B9" s="151">
        <v>62.3</v>
      </c>
      <c r="C9" s="152" t="s">
        <v>209</v>
      </c>
      <c r="D9" s="153">
        <v>35975</v>
      </c>
      <c r="E9" s="154"/>
      <c r="F9" s="155" t="s">
        <v>224</v>
      </c>
      <c r="G9" s="155" t="s">
        <v>70</v>
      </c>
      <c r="H9" s="139">
        <v>63</v>
      </c>
      <c r="I9" s="140">
        <v>66</v>
      </c>
      <c r="J9" s="140">
        <v>-68</v>
      </c>
      <c r="K9" s="139">
        <v>82</v>
      </c>
      <c r="L9" s="124">
        <v>-85</v>
      </c>
      <c r="M9" s="124">
        <v>85</v>
      </c>
      <c r="N9" s="92">
        <f>IF(MAX(H9:J9)&lt;0,0,TRUNC(MAX(H9:J9)/1)*1)</f>
        <v>66</v>
      </c>
      <c r="O9" s="92">
        <f>IF(MAX(K9:M9)&lt;0,0,TRUNC(MAX(K9:M9)/1)*1)</f>
        <v>85</v>
      </c>
      <c r="P9" s="92">
        <f aca="true" t="shared" si="0" ref="P9:P24">IF(N9=0,0,IF(O9=0,0,SUM(N9:O9)))</f>
        <v>151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202.1747253734916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2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1.3389054660496134</v>
      </c>
      <c r="V9" s="137">
        <f>R5</f>
        <v>42063</v>
      </c>
    </row>
    <row r="10" spans="1:22" s="13" customFormat="1" ht="19.5" customHeight="1">
      <c r="A10" s="150">
        <v>63</v>
      </c>
      <c r="B10" s="151">
        <v>62.04</v>
      </c>
      <c r="C10" s="152" t="s">
        <v>211</v>
      </c>
      <c r="D10" s="153">
        <v>35431</v>
      </c>
      <c r="E10" s="154"/>
      <c r="F10" s="155" t="s">
        <v>225</v>
      </c>
      <c r="G10" s="155" t="s">
        <v>94</v>
      </c>
      <c r="H10" s="139">
        <v>60</v>
      </c>
      <c r="I10" s="140">
        <v>65</v>
      </c>
      <c r="J10" s="140">
        <v>70</v>
      </c>
      <c r="K10" s="139">
        <v>75</v>
      </c>
      <c r="L10" s="124">
        <v>-80</v>
      </c>
      <c r="M10" s="124">
        <v>80</v>
      </c>
      <c r="N10" s="92">
        <f aca="true" t="shared" si="1" ref="N10:N24">IF(MAX(H10:J10)&lt;0,0,TRUNC(MAX(H10:J10)/1)*1)</f>
        <v>70</v>
      </c>
      <c r="O10" s="92">
        <f aca="true" t="shared" si="2" ref="O10:O24">IF(MAX(K10:M10)&lt;0,0,TRUNC(MAX(K10:M10)/1)*1)</f>
        <v>80</v>
      </c>
      <c r="P10" s="92">
        <f t="shared" si="0"/>
        <v>150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201.404489047339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3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1.3426965936489268</v>
      </c>
      <c r="V10" s="137">
        <f>R5</f>
        <v>42063</v>
      </c>
    </row>
    <row r="11" spans="1:22" s="13" customFormat="1" ht="19.5" customHeight="1">
      <c r="A11" s="150">
        <v>63</v>
      </c>
      <c r="B11" s="151">
        <v>62.56</v>
      </c>
      <c r="C11" s="152" t="s">
        <v>213</v>
      </c>
      <c r="D11" s="153">
        <v>32948</v>
      </c>
      <c r="E11" s="154"/>
      <c r="F11" s="155" t="s">
        <v>226</v>
      </c>
      <c r="G11" s="155" t="s">
        <v>110</v>
      </c>
      <c r="H11" s="139">
        <v>40</v>
      </c>
      <c r="I11" s="140">
        <v>44</v>
      </c>
      <c r="J11" s="140">
        <v>46</v>
      </c>
      <c r="K11" s="139">
        <v>60</v>
      </c>
      <c r="L11" s="124">
        <v>-63</v>
      </c>
      <c r="M11" s="124">
        <v>-63</v>
      </c>
      <c r="N11" s="92">
        <f t="shared" si="1"/>
        <v>46</v>
      </c>
      <c r="O11" s="92">
        <f t="shared" si="2"/>
        <v>60</v>
      </c>
      <c r="P11" s="92">
        <f t="shared" si="0"/>
        <v>106</v>
      </c>
      <c r="Q11" s="93">
        <f t="shared" si="3"/>
        <v>141.5268381412058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9</v>
      </c>
      <c r="T11" s="97"/>
      <c r="U11" s="95">
        <f t="shared" si="4"/>
        <v>1.335158850388734</v>
      </c>
      <c r="V11" s="137">
        <f>R5</f>
        <v>42063</v>
      </c>
    </row>
    <row r="12" spans="1:22" s="13" customFormat="1" ht="19.5" customHeight="1">
      <c r="A12" s="150">
        <v>63</v>
      </c>
      <c r="B12" s="151">
        <v>60.9</v>
      </c>
      <c r="C12" s="152" t="s">
        <v>213</v>
      </c>
      <c r="D12" s="153">
        <v>33596</v>
      </c>
      <c r="E12" s="154"/>
      <c r="F12" s="155" t="s">
        <v>227</v>
      </c>
      <c r="G12" s="155" t="s">
        <v>94</v>
      </c>
      <c r="H12" s="139">
        <v>46</v>
      </c>
      <c r="I12" s="140">
        <v>50</v>
      </c>
      <c r="J12" s="140">
        <v>52</v>
      </c>
      <c r="K12" s="139">
        <v>62</v>
      </c>
      <c r="L12" s="124">
        <v>67</v>
      </c>
      <c r="M12" s="124">
        <v>-71</v>
      </c>
      <c r="N12" s="92">
        <f t="shared" si="1"/>
        <v>52</v>
      </c>
      <c r="O12" s="92">
        <f t="shared" si="2"/>
        <v>67</v>
      </c>
      <c r="P12" s="92">
        <f t="shared" si="0"/>
        <v>119</v>
      </c>
      <c r="Q12" s="93">
        <f t="shared" si="3"/>
        <v>161.82359060609485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6</v>
      </c>
      <c r="T12" s="97" t="s">
        <v>22</v>
      </c>
      <c r="U12" s="95">
        <f t="shared" si="4"/>
        <v>1.3598621059335703</v>
      </c>
      <c r="V12" s="137">
        <f>R5</f>
        <v>42063</v>
      </c>
    </row>
    <row r="13" spans="1:22" s="13" customFormat="1" ht="19.5" customHeight="1">
      <c r="A13" s="150">
        <v>63</v>
      </c>
      <c r="B13" s="151">
        <v>62.16</v>
      </c>
      <c r="C13" s="152" t="s">
        <v>213</v>
      </c>
      <c r="D13" s="153">
        <v>32706</v>
      </c>
      <c r="E13" s="154"/>
      <c r="F13" s="155" t="s">
        <v>228</v>
      </c>
      <c r="G13" s="155" t="s">
        <v>63</v>
      </c>
      <c r="H13" s="139">
        <v>43</v>
      </c>
      <c r="I13" s="140">
        <v>46</v>
      </c>
      <c r="J13" s="140">
        <v>48</v>
      </c>
      <c r="K13" s="139">
        <v>61</v>
      </c>
      <c r="L13" s="124">
        <v>-64</v>
      </c>
      <c r="M13" s="124">
        <v>64</v>
      </c>
      <c r="N13" s="92">
        <f t="shared" si="1"/>
        <v>48</v>
      </c>
      <c r="O13" s="92">
        <f t="shared" si="2"/>
        <v>64</v>
      </c>
      <c r="P13" s="92">
        <f t="shared" si="0"/>
        <v>112</v>
      </c>
      <c r="Q13" s="93">
        <f t="shared" si="3"/>
        <v>150.1854220442419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8</v>
      </c>
      <c r="T13" s="97" t="s">
        <v>22</v>
      </c>
      <c r="U13" s="95">
        <f t="shared" si="4"/>
        <v>1.3409412682521598</v>
      </c>
      <c r="V13" s="137">
        <f>R5</f>
        <v>42063</v>
      </c>
    </row>
    <row r="14" spans="1:22" s="13" customFormat="1" ht="19.5" customHeight="1">
      <c r="A14" s="150">
        <v>63</v>
      </c>
      <c r="B14" s="151">
        <v>61.74</v>
      </c>
      <c r="C14" s="152" t="s">
        <v>213</v>
      </c>
      <c r="D14" s="153">
        <v>32737</v>
      </c>
      <c r="E14" s="154"/>
      <c r="F14" s="155" t="s">
        <v>229</v>
      </c>
      <c r="G14" s="155" t="s">
        <v>136</v>
      </c>
      <c r="H14" s="139">
        <v>76</v>
      </c>
      <c r="I14" s="140">
        <v>-79</v>
      </c>
      <c r="J14" s="140">
        <v>-79</v>
      </c>
      <c r="K14" s="139">
        <v>-90</v>
      </c>
      <c r="L14" s="124">
        <v>-90</v>
      </c>
      <c r="M14" s="124">
        <v>90</v>
      </c>
      <c r="N14" s="92">
        <f t="shared" si="1"/>
        <v>76</v>
      </c>
      <c r="O14" s="92">
        <f t="shared" si="2"/>
        <v>90</v>
      </c>
      <c r="P14" s="92">
        <f t="shared" si="0"/>
        <v>166</v>
      </c>
      <c r="Q14" s="93">
        <f t="shared" si="3"/>
        <v>223.62311082494054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 t="s">
        <v>22</v>
      </c>
      <c r="T14" s="97" t="s">
        <v>22</v>
      </c>
      <c r="U14" s="95">
        <f t="shared" si="4"/>
        <v>1.34712717364422</v>
      </c>
      <c r="V14" s="137">
        <f>R5</f>
        <v>42063</v>
      </c>
    </row>
    <row r="15" spans="1:22" s="13" customFormat="1" ht="19.5" customHeight="1">
      <c r="A15" s="150">
        <v>63</v>
      </c>
      <c r="B15" s="151">
        <v>62.52</v>
      </c>
      <c r="C15" s="152" t="s">
        <v>213</v>
      </c>
      <c r="D15" s="153">
        <v>34499</v>
      </c>
      <c r="E15" s="154"/>
      <c r="F15" s="155" t="s">
        <v>230</v>
      </c>
      <c r="G15" s="155" t="s">
        <v>57</v>
      </c>
      <c r="H15" s="139">
        <v>53</v>
      </c>
      <c r="I15" s="140">
        <v>56</v>
      </c>
      <c r="J15" s="140">
        <v>-59</v>
      </c>
      <c r="K15" s="139">
        <v>72</v>
      </c>
      <c r="L15" s="124">
        <v>-75</v>
      </c>
      <c r="M15" s="124">
        <v>-76</v>
      </c>
      <c r="N15" s="92">
        <f t="shared" si="1"/>
        <v>56</v>
      </c>
      <c r="O15" s="92">
        <f t="shared" si="2"/>
        <v>72</v>
      </c>
      <c r="P15" s="92">
        <f t="shared" si="0"/>
        <v>128</v>
      </c>
      <c r="Q15" s="93">
        <f t="shared" si="3"/>
        <v>170.9737449592604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5</v>
      </c>
      <c r="T15" s="97"/>
      <c r="U15" s="95">
        <f t="shared" si="4"/>
        <v>1.3357323824942218</v>
      </c>
      <c r="V15" s="137">
        <f>R5</f>
        <v>42063</v>
      </c>
    </row>
    <row r="16" spans="1:22" s="13" customFormat="1" ht="19.5" customHeight="1">
      <c r="A16" s="150">
        <v>63</v>
      </c>
      <c r="B16" s="151">
        <v>59.8</v>
      </c>
      <c r="C16" s="152" t="s">
        <v>213</v>
      </c>
      <c r="D16" s="153">
        <v>32946</v>
      </c>
      <c r="E16" s="154"/>
      <c r="F16" s="155" t="s">
        <v>231</v>
      </c>
      <c r="G16" s="155" t="s">
        <v>57</v>
      </c>
      <c r="H16" s="139">
        <v>50</v>
      </c>
      <c r="I16" s="140">
        <v>-53</v>
      </c>
      <c r="J16" s="140">
        <v>54</v>
      </c>
      <c r="K16" s="139">
        <v>70</v>
      </c>
      <c r="L16" s="124">
        <v>74</v>
      </c>
      <c r="M16" s="124">
        <v>77</v>
      </c>
      <c r="N16" s="92">
        <f t="shared" si="1"/>
        <v>54</v>
      </c>
      <c r="O16" s="92">
        <f t="shared" si="2"/>
        <v>77</v>
      </c>
      <c r="P16" s="92">
        <f t="shared" si="0"/>
        <v>131</v>
      </c>
      <c r="Q16" s="93">
        <f t="shared" si="3"/>
        <v>180.42711243085608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4</v>
      </c>
      <c r="T16" s="97"/>
      <c r="U16" s="95">
        <f t="shared" si="4"/>
        <v>1.3773062017622602</v>
      </c>
      <c r="V16" s="137">
        <f>R5</f>
        <v>42063</v>
      </c>
    </row>
    <row r="17" spans="1:22" s="13" customFormat="1" ht="19.5" customHeight="1">
      <c r="A17" s="150">
        <v>63</v>
      </c>
      <c r="B17" s="151">
        <v>61.66</v>
      </c>
      <c r="C17" s="152" t="s">
        <v>232</v>
      </c>
      <c r="D17" s="153">
        <v>25930</v>
      </c>
      <c r="E17" s="154"/>
      <c r="F17" s="155" t="s">
        <v>233</v>
      </c>
      <c r="G17" s="155" t="s">
        <v>133</v>
      </c>
      <c r="H17" s="139">
        <v>45</v>
      </c>
      <c r="I17" s="140">
        <v>48</v>
      </c>
      <c r="J17" s="140">
        <v>-50</v>
      </c>
      <c r="K17" s="139">
        <v>61</v>
      </c>
      <c r="L17" s="124">
        <v>64</v>
      </c>
      <c r="M17" s="124">
        <v>-67</v>
      </c>
      <c r="N17" s="92">
        <f t="shared" si="1"/>
        <v>48</v>
      </c>
      <c r="O17" s="92">
        <f t="shared" si="2"/>
        <v>64</v>
      </c>
      <c r="P17" s="92">
        <f t="shared" si="0"/>
        <v>112</v>
      </c>
      <c r="Q17" s="93">
        <f t="shared" si="3"/>
        <v>151.0117234754665</v>
      </c>
      <c r="R17" s="93">
        <f>IF(OR(D17="",B17="",V17=""),0,IF(OR(C17="UM",C17="JM",C17="SM",C17="UK",C17="JK",C17="SK"),"",Q17*(IF(ABS(1900-YEAR((V17+1)-D17))&lt;29,0,(VLOOKUP((YEAR(V17)-YEAR(D17)),'Meltzer-Malone'!$A$3:$B$63,2))))))</f>
        <v>180.45900955318248</v>
      </c>
      <c r="S17" s="97">
        <v>7</v>
      </c>
      <c r="T17" s="130" t="s">
        <v>253</v>
      </c>
      <c r="U17" s="95">
        <f t="shared" si="4"/>
        <v>1.3483189596023797</v>
      </c>
      <c r="V17" s="137">
        <f>R5</f>
        <v>42063</v>
      </c>
    </row>
    <row r="18" spans="1:22" s="13" customFormat="1" ht="19.5" customHeight="1">
      <c r="A18" s="150"/>
      <c r="B18" s="151"/>
      <c r="C18" s="152"/>
      <c r="D18" s="153"/>
      <c r="E18" s="154"/>
      <c r="F18" s="155"/>
      <c r="G18" s="155"/>
      <c r="H18" s="139"/>
      <c r="I18" s="140"/>
      <c r="J18" s="140"/>
      <c r="K18" s="139"/>
      <c r="L18" s="91"/>
      <c r="M18" s="91"/>
      <c r="N18" s="92">
        <f t="shared" si="1"/>
        <v>0</v>
      </c>
      <c r="O18" s="92">
        <f t="shared" si="2"/>
        <v>0</v>
      </c>
      <c r="P18" s="92">
        <f t="shared" si="0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 t="s">
        <v>22</v>
      </c>
      <c r="T18" s="97" t="s">
        <v>22</v>
      </c>
      <c r="U18" s="95">
        <f t="shared" si="4"/>
      </c>
      <c r="V18" s="137">
        <f>R5</f>
        <v>42063</v>
      </c>
    </row>
    <row r="19" spans="1:22" s="13" customFormat="1" ht="19.5" customHeight="1">
      <c r="A19" s="104"/>
      <c r="B19" s="86"/>
      <c r="C19" s="87"/>
      <c r="D19" s="87"/>
      <c r="E19" s="89"/>
      <c r="F19" s="90"/>
      <c r="G19" s="90"/>
      <c r="H19" s="96"/>
      <c r="I19" s="91"/>
      <c r="J19" s="91"/>
      <c r="K19" s="96"/>
      <c r="L19" s="91"/>
      <c r="M19" s="91"/>
      <c r="N19" s="92">
        <f t="shared" si="1"/>
        <v>0</v>
      </c>
      <c r="O19" s="92">
        <f t="shared" si="2"/>
        <v>0</v>
      </c>
      <c r="P19" s="92">
        <f t="shared" si="0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42063</v>
      </c>
    </row>
    <row r="20" spans="1:22" s="13" customFormat="1" ht="19.5" customHeight="1">
      <c r="A20" s="104"/>
      <c r="B20" s="86"/>
      <c r="C20" s="87"/>
      <c r="D20" s="87"/>
      <c r="E20" s="89"/>
      <c r="F20" s="90"/>
      <c r="G20" s="90"/>
      <c r="H20" s="96"/>
      <c r="I20" s="91"/>
      <c r="J20" s="91"/>
      <c r="K20" s="96"/>
      <c r="L20" s="91"/>
      <c r="M20" s="91"/>
      <c r="N20" s="92">
        <f t="shared" si="1"/>
        <v>0</v>
      </c>
      <c r="O20" s="92">
        <f t="shared" si="2"/>
        <v>0</v>
      </c>
      <c r="P20" s="92">
        <f t="shared" si="0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42063</v>
      </c>
    </row>
    <row r="21" spans="1:22" s="13" customFormat="1" ht="19.5" customHeight="1">
      <c r="A21" s="104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1"/>
        <v>0</v>
      </c>
      <c r="O21" s="92">
        <f t="shared" si="2"/>
        <v>0</v>
      </c>
      <c r="P21" s="92">
        <f t="shared" si="0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104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1"/>
        <v>0</v>
      </c>
      <c r="O22" s="92">
        <f t="shared" si="2"/>
        <v>0</v>
      </c>
      <c r="P22" s="92">
        <f t="shared" si="0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104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1"/>
        <v>0</v>
      </c>
      <c r="O23" s="92">
        <f t="shared" si="2"/>
        <v>0</v>
      </c>
      <c r="P23" s="92">
        <f t="shared" si="0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104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1"/>
        <v>0</v>
      </c>
      <c r="O24" s="92">
        <f t="shared" si="2"/>
        <v>0</v>
      </c>
      <c r="P24" s="102">
        <f t="shared" si="0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144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162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80" t="s">
        <v>157</v>
      </c>
      <c r="D29" s="180"/>
      <c r="E29" s="180"/>
      <c r="F29" s="180"/>
      <c r="G29" s="59"/>
      <c r="H29" s="56">
        <v>3</v>
      </c>
      <c r="I29" s="179" t="s">
        <v>156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80" t="s">
        <v>159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80" t="s">
        <v>143</v>
      </c>
      <c r="D31" s="180"/>
      <c r="E31" s="180"/>
      <c r="F31" s="180"/>
      <c r="G31" s="61" t="s">
        <v>38</v>
      </c>
      <c r="H31" s="179" t="s">
        <v>145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169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257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153</v>
      </c>
      <c r="D35" s="180"/>
      <c r="E35" s="180"/>
      <c r="F35" s="180"/>
      <c r="G35" s="61" t="s">
        <v>24</v>
      </c>
      <c r="H35" s="179" t="s">
        <v>258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V39"/>
  <sheetViews>
    <sheetView showGridLines="0" showRowColHeaders="0" showZeros="0" showOutlineSymbols="0" zoomScale="110" zoomScaleNormal="110" zoomScaleSheetLayoutView="75" zoomScalePageLayoutView="0" workbookViewId="0" topLeftCell="A13">
      <selection activeCell="I27" sqref="I27:T27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8" width="10.574218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 customWidth="1"/>
  </cols>
  <sheetData>
    <row r="1" spans="1:20" s="77" customFormat="1" ht="43.5" customHeight="1">
      <c r="A1" s="74"/>
      <c r="B1" s="74"/>
      <c r="C1" s="75"/>
      <c r="D1" s="74"/>
      <c r="E1" s="74"/>
      <c r="F1" s="181" t="s">
        <v>45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76"/>
      <c r="R1" s="76"/>
      <c r="S1" s="76"/>
      <c r="T1" s="76"/>
    </row>
    <row r="2" spans="1:20" s="77" customFormat="1" ht="24.75" customHeight="1">
      <c r="A2" s="74"/>
      <c r="B2" s="74"/>
      <c r="C2" s="75"/>
      <c r="D2" s="74"/>
      <c r="E2" s="74"/>
      <c r="F2" s="182" t="s">
        <v>46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76"/>
      <c r="R2" s="76"/>
      <c r="S2" s="76"/>
      <c r="T2" s="76"/>
    </row>
    <row r="3" spans="1:20" s="77" customFormat="1" ht="12.75">
      <c r="A3" s="74"/>
      <c r="B3" s="74"/>
      <c r="C3" s="75"/>
      <c r="D3" s="74"/>
      <c r="E3" s="74"/>
      <c r="F3" s="78"/>
      <c r="G3" s="78"/>
      <c r="H3" s="74"/>
      <c r="I3" s="79"/>
      <c r="J3" s="74"/>
      <c r="K3" s="74"/>
      <c r="L3" s="74"/>
      <c r="M3" s="74"/>
      <c r="N3" s="74"/>
      <c r="O3" s="74"/>
      <c r="P3" s="74"/>
      <c r="Q3" s="76"/>
      <c r="R3" s="76"/>
      <c r="S3" s="76"/>
      <c r="T3" s="76"/>
    </row>
    <row r="4" spans="1:20" s="77" customFormat="1" ht="12" customHeight="1">
      <c r="A4" s="74"/>
      <c r="B4" s="74"/>
      <c r="C4" s="75"/>
      <c r="D4" s="74"/>
      <c r="E4" s="74"/>
      <c r="F4" s="78"/>
      <c r="G4" s="78"/>
      <c r="H4" s="74"/>
      <c r="I4" s="79"/>
      <c r="J4" s="74"/>
      <c r="K4" s="74"/>
      <c r="L4" s="74"/>
      <c r="M4" s="74"/>
      <c r="N4" s="74"/>
      <c r="O4" s="74"/>
      <c r="P4" s="74"/>
      <c r="Q4" s="76"/>
      <c r="R4" s="76"/>
      <c r="S4" s="76"/>
      <c r="T4" s="76"/>
    </row>
    <row r="5" spans="1:20" s="58" customFormat="1" ht="15">
      <c r="A5" s="80"/>
      <c r="B5" s="81" t="s">
        <v>31</v>
      </c>
      <c r="C5" s="183" t="s">
        <v>47</v>
      </c>
      <c r="D5" s="183"/>
      <c r="E5" s="183"/>
      <c r="F5" s="183"/>
      <c r="G5" s="53" t="s">
        <v>0</v>
      </c>
      <c r="H5" s="185" t="s">
        <v>50</v>
      </c>
      <c r="I5" s="185"/>
      <c r="J5" s="185"/>
      <c r="K5" s="185"/>
      <c r="L5" s="81" t="s">
        <v>1</v>
      </c>
      <c r="M5" s="187" t="s">
        <v>51</v>
      </c>
      <c r="N5" s="187"/>
      <c r="O5" s="187"/>
      <c r="P5" s="187"/>
      <c r="Q5" s="81" t="s">
        <v>2</v>
      </c>
      <c r="R5" s="82">
        <v>42063</v>
      </c>
      <c r="S5" s="83" t="s">
        <v>30</v>
      </c>
      <c r="T5" s="84">
        <v>9</v>
      </c>
    </row>
    <row r="6" spans="1:20" s="77" customFormat="1" ht="12.75">
      <c r="A6" s="74"/>
      <c r="B6" s="74"/>
      <c r="C6" s="75"/>
      <c r="D6" s="74"/>
      <c r="E6" s="74"/>
      <c r="F6" s="78"/>
      <c r="G6" s="78"/>
      <c r="H6" s="74"/>
      <c r="I6" s="79"/>
      <c r="J6" s="74"/>
      <c r="K6" s="74"/>
      <c r="L6" s="74"/>
      <c r="M6" s="74"/>
      <c r="N6" s="74"/>
      <c r="O6" s="74"/>
      <c r="P6" s="74"/>
      <c r="Q6" s="76"/>
      <c r="R6" s="76"/>
      <c r="S6" s="76"/>
      <c r="T6" s="76"/>
    </row>
    <row r="7" spans="1:22" s="1" customFormat="1" ht="12.7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ht="12.7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48</v>
      </c>
      <c r="S8" s="29"/>
      <c r="T8" s="39"/>
      <c r="U8" s="39"/>
      <c r="V8" s="14"/>
    </row>
    <row r="9" spans="1:22" s="13" customFormat="1" ht="19.5" customHeight="1">
      <c r="A9" s="150">
        <v>77</v>
      </c>
      <c r="B9" s="151">
        <v>76.12</v>
      </c>
      <c r="C9" s="152" t="s">
        <v>179</v>
      </c>
      <c r="D9" s="153">
        <v>35355</v>
      </c>
      <c r="E9" s="154"/>
      <c r="F9" s="155" t="s">
        <v>180</v>
      </c>
      <c r="G9" s="155" t="s">
        <v>61</v>
      </c>
      <c r="H9" s="139">
        <v>93</v>
      </c>
      <c r="I9" s="140">
        <v>96</v>
      </c>
      <c r="J9" s="140">
        <v>100</v>
      </c>
      <c r="K9" s="139">
        <v>113</v>
      </c>
      <c r="L9" s="124">
        <v>116</v>
      </c>
      <c r="M9" s="124">
        <v>120</v>
      </c>
      <c r="N9" s="92">
        <f aca="true" t="shared" si="0" ref="N9:N24">IF(MAX(H9:J9)&lt;0,0,TRUNC(MAX(H9:J9)/1)*1)</f>
        <v>100</v>
      </c>
      <c r="O9" s="92">
        <f aca="true" t="shared" si="1" ref="O9:O24">IF(MAX(K9:M9)&lt;0,0,TRUNC(MAX(K9:M9)/1)*1)</f>
        <v>120</v>
      </c>
      <c r="P9" s="92">
        <f aca="true" t="shared" si="2" ref="P9:P24">IF(N9=0,0,IF(O9=0,0,SUM(N9:O9)))</f>
        <v>220</v>
      </c>
      <c r="Q9" s="93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278.86166023405457</v>
      </c>
      <c r="R9" s="93">
        <f>IF(OR(D9="",B9="",V9=""),0,IF(OR(C9="UM",C9="JM",C9="SM",C9="UK",C9="JK",C9="SK"),"",Q9*(IF(ABS(1900-YEAR((V9+1)-D9))&lt;29,0,(VLOOKUP((YEAR(V9)-YEAR(D9)),'Meltzer-Malone'!$A$3:$B$63,2))))))</f>
      </c>
      <c r="S9" s="94">
        <v>8</v>
      </c>
      <c r="T9" s="94" t="s">
        <v>22</v>
      </c>
      <c r="U9" s="95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1.2675530010638845</v>
      </c>
      <c r="V9" s="137">
        <f>R5</f>
        <v>42063</v>
      </c>
    </row>
    <row r="10" spans="1:22" s="13" customFormat="1" ht="19.5" customHeight="1">
      <c r="A10" s="150">
        <v>77</v>
      </c>
      <c r="B10" s="151">
        <v>76.38</v>
      </c>
      <c r="C10" s="152" t="s">
        <v>126</v>
      </c>
      <c r="D10" s="153">
        <v>32155</v>
      </c>
      <c r="E10" s="154"/>
      <c r="F10" s="155" t="s">
        <v>181</v>
      </c>
      <c r="G10" s="155" t="s">
        <v>57</v>
      </c>
      <c r="H10" s="139">
        <v>85</v>
      </c>
      <c r="I10" s="140">
        <v>90</v>
      </c>
      <c r="J10" s="140">
        <v>94</v>
      </c>
      <c r="K10" s="139">
        <v>115</v>
      </c>
      <c r="L10" s="124">
        <v>-120</v>
      </c>
      <c r="M10" s="124">
        <v>-124</v>
      </c>
      <c r="N10" s="92">
        <f t="shared" si="0"/>
        <v>94</v>
      </c>
      <c r="O10" s="92">
        <f t="shared" si="1"/>
        <v>115</v>
      </c>
      <c r="P10" s="92">
        <f t="shared" si="2"/>
        <v>209</v>
      </c>
      <c r="Q10" s="93">
        <f aca="true" t="shared" si="3" ref="Q10:Q24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264.40344937558206</v>
      </c>
      <c r="R10" s="93">
        <f>IF(OR(D10="",B10="",V10=""),0,IF(OR(C10="UM",C10="JM",C10="SM",C10="UK",C10="JK",C10="SK"),"",Q10*(IF(ABS(1900-YEAR((V10+1)-D10))&lt;29,0,(VLOOKUP((YEAR(V10)-YEAR(D10)),'Meltzer-Malone'!$A$3:$B$63,2))))))</f>
      </c>
      <c r="S10" s="97">
        <v>1</v>
      </c>
      <c r="T10" s="97"/>
      <c r="U10" s="95">
        <f aca="true" t="shared" si="4" ref="U10:U2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1.265088274524316</v>
      </c>
      <c r="V10" s="137">
        <f>R5</f>
        <v>42063</v>
      </c>
    </row>
    <row r="11" spans="1:22" s="13" customFormat="1" ht="19.5" customHeight="1">
      <c r="A11" s="150">
        <v>77</v>
      </c>
      <c r="B11" s="171">
        <v>75.8</v>
      </c>
      <c r="C11" s="152" t="s">
        <v>126</v>
      </c>
      <c r="D11" s="153">
        <v>33034</v>
      </c>
      <c r="E11" s="154"/>
      <c r="F11" s="155" t="s">
        <v>182</v>
      </c>
      <c r="G11" s="155" t="s">
        <v>134</v>
      </c>
      <c r="H11" s="139">
        <v>95</v>
      </c>
      <c r="I11" s="140">
        <v>-101</v>
      </c>
      <c r="J11" s="140">
        <v>-101</v>
      </c>
      <c r="K11" s="139">
        <v>120</v>
      </c>
      <c r="L11" s="124">
        <v>-125</v>
      </c>
      <c r="M11" s="124">
        <v>-125</v>
      </c>
      <c r="N11" s="92">
        <f t="shared" si="0"/>
        <v>95</v>
      </c>
      <c r="O11" s="92">
        <f t="shared" si="1"/>
        <v>120</v>
      </c>
      <c r="P11" s="92">
        <f t="shared" si="2"/>
        <v>215</v>
      </c>
      <c r="Q11" s="93">
        <f t="shared" si="3"/>
        <v>273.1830423758698</v>
      </c>
      <c r="R11" s="93">
        <f>IF(OR(D11="",B11="",V11=""),0,IF(OR(C11="UM",C11="JM",C11="SM",C11="UK",C11="JK",C11="SK"),"",Q11*(IF(ABS(1900-YEAR((V11+1)-D11))&lt;29,0,(VLOOKUP((YEAR(V11)-YEAR(D11)),'Meltzer-Malone'!$A$3:$B$63,2))))))</f>
      </c>
      <c r="S11" s="97">
        <v>9</v>
      </c>
      <c r="T11" s="97"/>
      <c r="U11" s="95">
        <f t="shared" si="4"/>
        <v>1.2706188017482314</v>
      </c>
      <c r="V11" s="137">
        <f>R5</f>
        <v>42063</v>
      </c>
    </row>
    <row r="12" spans="1:22" s="13" customFormat="1" ht="19.5" customHeight="1">
      <c r="A12" s="150">
        <v>77</v>
      </c>
      <c r="B12" s="171">
        <v>76.34</v>
      </c>
      <c r="C12" s="152" t="s">
        <v>126</v>
      </c>
      <c r="D12" s="153">
        <v>34330</v>
      </c>
      <c r="E12" s="154"/>
      <c r="F12" s="155" t="s">
        <v>183</v>
      </c>
      <c r="G12" s="155" t="s">
        <v>59</v>
      </c>
      <c r="H12" s="139">
        <v>-98</v>
      </c>
      <c r="I12" s="140">
        <v>100</v>
      </c>
      <c r="J12" s="140">
        <v>105</v>
      </c>
      <c r="K12" s="139">
        <v>122</v>
      </c>
      <c r="L12" s="124">
        <v>126</v>
      </c>
      <c r="M12" s="124">
        <v>130</v>
      </c>
      <c r="N12" s="92">
        <f t="shared" si="0"/>
        <v>105</v>
      </c>
      <c r="O12" s="92">
        <f t="shared" si="1"/>
        <v>130</v>
      </c>
      <c r="P12" s="92">
        <f t="shared" si="2"/>
        <v>235</v>
      </c>
      <c r="Q12" s="93">
        <f t="shared" si="3"/>
        <v>297.3844970324318</v>
      </c>
      <c r="R12" s="93">
        <f>IF(OR(D12="",B12="",V12=""),0,IF(OR(C12="UM",C12="JM",C12="SM",C12="UK",C12="JK",C12="SK"),"",Q12*(IF(ABS(1900-YEAR((V12+1)-D12))&lt;29,0,(VLOOKUP((YEAR(V12)-YEAR(D12)),'Meltzer-Malone'!$A$3:$B$63,2))))))</f>
      </c>
      <c r="S12" s="97">
        <v>5</v>
      </c>
      <c r="T12" s="97" t="s">
        <v>22</v>
      </c>
      <c r="U12" s="95">
        <f t="shared" si="4"/>
        <v>1.2654659448188588</v>
      </c>
      <c r="V12" s="137">
        <f>R5</f>
        <v>42063</v>
      </c>
    </row>
    <row r="13" spans="1:22" s="13" customFormat="1" ht="19.5" customHeight="1">
      <c r="A13" s="150">
        <v>77</v>
      </c>
      <c r="B13" s="151">
        <v>76</v>
      </c>
      <c r="C13" s="152" t="s">
        <v>126</v>
      </c>
      <c r="D13" s="153">
        <v>33722</v>
      </c>
      <c r="E13" s="154"/>
      <c r="F13" s="155" t="s">
        <v>184</v>
      </c>
      <c r="G13" s="155" t="s">
        <v>50</v>
      </c>
      <c r="H13" s="139">
        <v>100</v>
      </c>
      <c r="I13" s="140">
        <v>105</v>
      </c>
      <c r="J13" s="140">
        <v>-107</v>
      </c>
      <c r="K13" s="139">
        <v>120</v>
      </c>
      <c r="L13" s="124">
        <v>-125</v>
      </c>
      <c r="M13" s="124">
        <v>-125</v>
      </c>
      <c r="N13" s="92">
        <f t="shared" si="0"/>
        <v>105</v>
      </c>
      <c r="O13" s="92">
        <f t="shared" si="1"/>
        <v>120</v>
      </c>
      <c r="P13" s="92">
        <f t="shared" si="2"/>
        <v>225</v>
      </c>
      <c r="Q13" s="93">
        <f t="shared" si="3"/>
        <v>285.4571571819932</v>
      </c>
      <c r="R13" s="93">
        <f>IF(OR(D13="",B13="",V13=""),0,IF(OR(C13="UM",C13="JM",C13="SM",C13="UK",C13="JK",C13="SK"),"",Q13*(IF(ABS(1900-YEAR((V13+1)-D13))&lt;29,0,(VLOOKUP((YEAR(V13)-YEAR(D13)),'Meltzer-Malone'!$A$3:$B$63,2))))))</f>
      </c>
      <c r="S13" s="97">
        <v>7</v>
      </c>
      <c r="T13" s="97" t="s">
        <v>22</v>
      </c>
      <c r="U13" s="95">
        <f t="shared" si="4"/>
        <v>1.2686984763644142</v>
      </c>
      <c r="V13" s="137">
        <f>R5</f>
        <v>42063</v>
      </c>
    </row>
    <row r="14" spans="1:22" s="13" customFormat="1" ht="19.5" customHeight="1">
      <c r="A14" s="150">
        <v>77</v>
      </c>
      <c r="B14" s="151">
        <v>74.52</v>
      </c>
      <c r="C14" s="152" t="s">
        <v>126</v>
      </c>
      <c r="D14" s="153">
        <v>32995</v>
      </c>
      <c r="E14" s="154"/>
      <c r="F14" s="155" t="s">
        <v>185</v>
      </c>
      <c r="G14" s="155" t="s">
        <v>87</v>
      </c>
      <c r="H14" s="139">
        <v>100</v>
      </c>
      <c r="I14" s="148">
        <v>103</v>
      </c>
      <c r="J14" s="140">
        <v>105</v>
      </c>
      <c r="K14" s="139">
        <v>127</v>
      </c>
      <c r="L14" s="124">
        <v>130</v>
      </c>
      <c r="M14" s="124">
        <v>-135</v>
      </c>
      <c r="N14" s="92">
        <f t="shared" si="0"/>
        <v>105</v>
      </c>
      <c r="O14" s="92">
        <f t="shared" si="1"/>
        <v>130</v>
      </c>
      <c r="P14" s="92">
        <f t="shared" si="2"/>
        <v>235</v>
      </c>
      <c r="Q14" s="93">
        <f t="shared" si="3"/>
        <v>301.56345366824144</v>
      </c>
      <c r="R14" s="93">
        <f>IF(OR(D14="",B14="",V14=""),0,IF(OR(C14="UM",C14="JM",C14="SM",C14="UK",C14="JK",C14="SK"),"",Q14*(IF(ABS(1900-YEAR((V14+1)-D14))&lt;29,0,(VLOOKUP((YEAR(V14)-YEAR(D14)),'Meltzer-Malone'!$A$3:$B$63,2))))))</f>
      </c>
      <c r="S14" s="97">
        <v>4</v>
      </c>
      <c r="T14" s="97" t="s">
        <v>22</v>
      </c>
      <c r="U14" s="95">
        <f t="shared" si="4"/>
        <v>1.2832487390137934</v>
      </c>
      <c r="V14" s="137">
        <f>R5</f>
        <v>42063</v>
      </c>
    </row>
    <row r="15" spans="1:22" s="13" customFormat="1" ht="19.5" customHeight="1">
      <c r="A15" s="150">
        <v>77</v>
      </c>
      <c r="B15" s="151">
        <v>76.26</v>
      </c>
      <c r="C15" s="152" t="s">
        <v>126</v>
      </c>
      <c r="D15" s="153">
        <v>31220</v>
      </c>
      <c r="E15" s="154"/>
      <c r="F15" s="155" t="s">
        <v>186</v>
      </c>
      <c r="G15" s="155" t="s">
        <v>87</v>
      </c>
      <c r="H15" s="139">
        <v>108</v>
      </c>
      <c r="I15" s="140">
        <v>113</v>
      </c>
      <c r="J15" s="140">
        <v>117</v>
      </c>
      <c r="K15" s="139">
        <v>127</v>
      </c>
      <c r="L15" s="124">
        <v>135</v>
      </c>
      <c r="M15" s="124">
        <v>-140</v>
      </c>
      <c r="N15" s="92">
        <f t="shared" si="0"/>
        <v>117</v>
      </c>
      <c r="O15" s="92">
        <f t="shared" si="1"/>
        <v>135</v>
      </c>
      <c r="P15" s="92">
        <f t="shared" si="2"/>
        <v>252</v>
      </c>
      <c r="Q15" s="93">
        <f t="shared" si="3"/>
        <v>319.08818045124906</v>
      </c>
      <c r="R15" s="93">
        <f>IF(OR(D15="",B15="",V15=""),0,IF(OR(C15="UM",C15="JM",C15="SM",C15="UK",C15="JK",C15="SK"),"",Q15*(IF(ABS(1900-YEAR((V15+1)-D15))&lt;29,0,(VLOOKUP((YEAR(V15)-YEAR(D15)),'Meltzer-Malone'!$A$3:$B$63,2))))))</f>
      </c>
      <c r="S15" s="97">
        <v>3</v>
      </c>
      <c r="T15" s="97"/>
      <c r="U15" s="95">
        <f t="shared" si="4"/>
        <v>1.2662229382986074</v>
      </c>
      <c r="V15" s="137">
        <f>R5</f>
        <v>42063</v>
      </c>
    </row>
    <row r="16" spans="1:22" s="13" customFormat="1" ht="19.5" customHeight="1">
      <c r="A16" s="150">
        <v>77</v>
      </c>
      <c r="B16" s="171">
        <v>76.84</v>
      </c>
      <c r="C16" s="152" t="s">
        <v>126</v>
      </c>
      <c r="D16" s="153">
        <v>32655</v>
      </c>
      <c r="E16" s="154"/>
      <c r="F16" s="155" t="s">
        <v>187</v>
      </c>
      <c r="G16" s="155" t="s">
        <v>61</v>
      </c>
      <c r="H16" s="139">
        <v>110</v>
      </c>
      <c r="I16" s="140">
        <v>114</v>
      </c>
      <c r="J16" s="140">
        <v>117</v>
      </c>
      <c r="K16" s="139">
        <v>136</v>
      </c>
      <c r="L16" s="124">
        <v>141</v>
      </c>
      <c r="M16" s="91">
        <v>-143</v>
      </c>
      <c r="N16" s="92">
        <f t="shared" si="0"/>
        <v>117</v>
      </c>
      <c r="O16" s="92">
        <f t="shared" si="1"/>
        <v>141</v>
      </c>
      <c r="P16" s="92">
        <f t="shared" si="2"/>
        <v>258</v>
      </c>
      <c r="Q16" s="93">
        <f t="shared" si="3"/>
        <v>325.28235407111566</v>
      </c>
      <c r="R16" s="93">
        <f>IF(OR(D16="",B16="",V16=""),0,IF(OR(C16="UM",C16="JM",C16="SM",C16="UK",C16="JK",C16="SK"),"",Q16*(IF(ABS(1900-YEAR((V16+1)-D16))&lt;29,0,(VLOOKUP((YEAR(V16)-YEAR(D16)),'Meltzer-Malone'!$A$3:$B$63,2))))))</f>
      </c>
      <c r="S16" s="97">
        <v>2</v>
      </c>
      <c r="T16" s="97"/>
      <c r="U16" s="95">
        <f t="shared" si="4"/>
        <v>1.2607843181050995</v>
      </c>
      <c r="V16" s="137">
        <f>R5</f>
        <v>42063</v>
      </c>
    </row>
    <row r="17" spans="1:22" s="13" customFormat="1" ht="19.5" customHeight="1">
      <c r="A17" s="150">
        <v>77</v>
      </c>
      <c r="B17" s="171">
        <v>76.42</v>
      </c>
      <c r="C17" s="152" t="s">
        <v>118</v>
      </c>
      <c r="D17" s="153">
        <v>28656</v>
      </c>
      <c r="E17" s="154"/>
      <c r="F17" s="155" t="s">
        <v>188</v>
      </c>
      <c r="G17" s="155" t="s">
        <v>59</v>
      </c>
      <c r="H17" s="139">
        <v>130</v>
      </c>
      <c r="I17" s="140">
        <v>-133</v>
      </c>
      <c r="J17" s="140">
        <v>-133</v>
      </c>
      <c r="K17" s="139">
        <v>142</v>
      </c>
      <c r="L17" s="124">
        <v>-148</v>
      </c>
      <c r="M17" s="124">
        <v>148</v>
      </c>
      <c r="N17" s="92">
        <f t="shared" si="0"/>
        <v>130</v>
      </c>
      <c r="O17" s="92">
        <f t="shared" si="1"/>
        <v>148</v>
      </c>
      <c r="P17" s="92">
        <f t="shared" si="2"/>
        <v>278</v>
      </c>
      <c r="Q17" s="93">
        <f t="shared" si="3"/>
        <v>351.5897007694986</v>
      </c>
      <c r="R17" s="93">
        <f>IF(OR(D17="",B17="",V17=""),0,IF(OR(C17="UM",C17="JM",C17="SM",C17="UK",C17="JK",C17="SK"),"",Q17*(IF(ABS(1900-YEAR((V17+1)-D17))&lt;29,0,(VLOOKUP((YEAR(V17)-YEAR(D17)),'Meltzer-Malone'!$A$3:$B$63,2))))))</f>
        <v>386.74867084644853</v>
      </c>
      <c r="S17" s="97">
        <v>1</v>
      </c>
      <c r="T17" s="97"/>
      <c r="U17" s="95">
        <f t="shared" si="4"/>
        <v>1.2647111538471174</v>
      </c>
      <c r="V17" s="137">
        <f>R5</f>
        <v>42063</v>
      </c>
    </row>
    <row r="18" spans="1:22" s="13" customFormat="1" ht="19.5" customHeight="1">
      <c r="A18" s="104"/>
      <c r="B18" s="86"/>
      <c r="C18" s="87"/>
      <c r="D18" s="87" t="s">
        <v>22</v>
      </c>
      <c r="E18" s="89"/>
      <c r="F18" s="90" t="s">
        <v>22</v>
      </c>
      <c r="G18" s="90" t="s">
        <v>22</v>
      </c>
      <c r="H18" s="96"/>
      <c r="I18" s="91"/>
      <c r="J18" s="91"/>
      <c r="K18" s="96"/>
      <c r="L18" s="91"/>
      <c r="M18" s="91"/>
      <c r="N18" s="92">
        <f t="shared" si="0"/>
        <v>0</v>
      </c>
      <c r="O18" s="92">
        <f t="shared" si="1"/>
        <v>0</v>
      </c>
      <c r="P18" s="92">
        <f t="shared" si="2"/>
        <v>0</v>
      </c>
      <c r="Q18" s="93">
        <f t="shared" si="3"/>
      </c>
      <c r="R18" s="93">
        <f>IF(OR(D18="",B18="",V18=""),0,IF(OR(C18="UM",C18="JM",C18="SM",C18="UK",C18="JK",C18="SK"),"",Q18*(IF(ABS(1900-YEAR((V18+1)-D18))&lt;29,0,(VLOOKUP((YEAR(V18)-YEAR(D18)),'Meltzer-Malone'!$A$3:$B$63,2))))))</f>
        <v>0</v>
      </c>
      <c r="S18" s="97" t="s">
        <v>22</v>
      </c>
      <c r="T18" s="97" t="s">
        <v>22</v>
      </c>
      <c r="U18" s="95">
        <f t="shared" si="4"/>
      </c>
      <c r="V18" s="137">
        <f>R5</f>
        <v>42063</v>
      </c>
    </row>
    <row r="19" spans="1:22" s="13" customFormat="1" ht="19.5" customHeight="1">
      <c r="A19" s="104"/>
      <c r="B19" s="86"/>
      <c r="C19" s="87"/>
      <c r="D19" s="87"/>
      <c r="E19" s="89"/>
      <c r="F19" s="90"/>
      <c r="G19" s="90"/>
      <c r="H19" s="96"/>
      <c r="I19" s="91"/>
      <c r="J19" s="91"/>
      <c r="K19" s="96"/>
      <c r="L19" s="91"/>
      <c r="M19" s="91"/>
      <c r="N19" s="92">
        <f t="shared" si="0"/>
        <v>0</v>
      </c>
      <c r="O19" s="92">
        <f t="shared" si="1"/>
        <v>0</v>
      </c>
      <c r="P19" s="92">
        <f t="shared" si="2"/>
        <v>0</v>
      </c>
      <c r="Q19" s="93">
        <f t="shared" si="3"/>
      </c>
      <c r="R19" s="93">
        <f>IF(OR(D19="",B19="",V19=""),0,IF(OR(C19="UM",C19="JM",C19="SM",C19="UK",C19="JK",C19="SK"),"",Q19*(IF(ABS(1900-YEAR((V19+1)-D19))&lt;29,0,(VLOOKUP((YEAR(V19)-YEAR(D19)),'Meltzer-Malone'!$A$3:$B$63,2))))))</f>
        <v>0</v>
      </c>
      <c r="S19" s="97"/>
      <c r="T19" s="97"/>
      <c r="U19" s="95">
        <f t="shared" si="4"/>
      </c>
      <c r="V19" s="137">
        <f>R5</f>
        <v>42063</v>
      </c>
    </row>
    <row r="20" spans="1:22" s="13" customFormat="1" ht="19.5" customHeight="1">
      <c r="A20" s="104"/>
      <c r="B20" s="86"/>
      <c r="C20" s="87"/>
      <c r="D20" s="87"/>
      <c r="E20" s="89"/>
      <c r="F20" s="90"/>
      <c r="G20" s="90"/>
      <c r="H20" s="96"/>
      <c r="I20" s="91"/>
      <c r="J20" s="91"/>
      <c r="K20" s="96"/>
      <c r="L20" s="91"/>
      <c r="M20" s="91"/>
      <c r="N20" s="92">
        <f t="shared" si="0"/>
        <v>0</v>
      </c>
      <c r="O20" s="92">
        <f t="shared" si="1"/>
        <v>0</v>
      </c>
      <c r="P20" s="92">
        <f t="shared" si="2"/>
        <v>0</v>
      </c>
      <c r="Q20" s="93">
        <f t="shared" si="3"/>
      </c>
      <c r="R20" s="93">
        <f>IF(OR(D20="",B20="",V20=""),0,IF(OR(C20="UM",C20="JM",C20="SM",C20="UK",C20="JK",C20="SK"),"",Q20*(IF(ABS(1900-YEAR((V20+1)-D20))&lt;29,0,(VLOOKUP((YEAR(V20)-YEAR(D20)),'Meltzer-Malone'!$A$3:$B$63,2))))))</f>
        <v>0</v>
      </c>
      <c r="S20" s="97"/>
      <c r="T20" s="97"/>
      <c r="U20" s="95">
        <f t="shared" si="4"/>
      </c>
      <c r="V20" s="137">
        <f>R5</f>
        <v>42063</v>
      </c>
    </row>
    <row r="21" spans="1:22" s="13" customFormat="1" ht="19.5" customHeight="1">
      <c r="A21" s="104"/>
      <c r="B21" s="86"/>
      <c r="C21" s="87"/>
      <c r="D21" s="87"/>
      <c r="E21" s="89"/>
      <c r="F21" s="90"/>
      <c r="G21" s="90"/>
      <c r="H21" s="96"/>
      <c r="I21" s="91"/>
      <c r="J21" s="91"/>
      <c r="K21" s="96"/>
      <c r="L21" s="91"/>
      <c r="M21" s="91"/>
      <c r="N21" s="92">
        <f t="shared" si="0"/>
        <v>0</v>
      </c>
      <c r="O21" s="92">
        <f t="shared" si="1"/>
        <v>0</v>
      </c>
      <c r="P21" s="92">
        <f t="shared" si="2"/>
        <v>0</v>
      </c>
      <c r="Q21" s="93">
        <f t="shared" si="3"/>
      </c>
      <c r="R21" s="93">
        <f>IF(OR(D21="",B21="",V21=""),0,IF(OR(C21="UM",C21="JM",C21="SM",C21="UK",C21="JK",C21="SK"),"",Q21*(IF(ABS(1900-YEAR((V21+1)-D21))&lt;29,0,(VLOOKUP((YEAR(V21)-YEAR(D21)),'Meltzer-Malone'!$A$3:$B$63,2))))))</f>
        <v>0</v>
      </c>
      <c r="S21" s="97"/>
      <c r="T21" s="97"/>
      <c r="U21" s="95">
        <f t="shared" si="4"/>
      </c>
      <c r="V21" s="137">
        <f>R5</f>
        <v>42063</v>
      </c>
    </row>
    <row r="22" spans="1:22" s="13" customFormat="1" ht="19.5" customHeight="1">
      <c r="A22" s="104"/>
      <c r="B22" s="86"/>
      <c r="C22" s="87"/>
      <c r="D22" s="87"/>
      <c r="E22" s="89"/>
      <c r="F22" s="90"/>
      <c r="G22" s="90"/>
      <c r="H22" s="96"/>
      <c r="I22" s="91"/>
      <c r="J22" s="91"/>
      <c r="K22" s="96"/>
      <c r="L22" s="91"/>
      <c r="M22" s="91"/>
      <c r="N22" s="92">
        <f t="shared" si="0"/>
        <v>0</v>
      </c>
      <c r="O22" s="92">
        <f t="shared" si="1"/>
        <v>0</v>
      </c>
      <c r="P22" s="92">
        <f t="shared" si="2"/>
        <v>0</v>
      </c>
      <c r="Q22" s="93">
        <f t="shared" si="3"/>
      </c>
      <c r="R22" s="93">
        <f>IF(OR(D22="",B22="",V22=""),0,IF(OR(C22="UM",C22="JM",C22="SM",C22="UK",C22="JK",C22="SK"),"",Q22*(IF(ABS(1900-YEAR((V22+1)-D22))&lt;29,0,(VLOOKUP((YEAR(V22)-YEAR(D22)),'Meltzer-Malone'!$A$3:$B$63,2))))))</f>
        <v>0</v>
      </c>
      <c r="S22" s="97"/>
      <c r="T22" s="97"/>
      <c r="U22" s="95">
        <f t="shared" si="4"/>
      </c>
      <c r="V22" s="137">
        <f>R5</f>
        <v>42063</v>
      </c>
    </row>
    <row r="23" spans="1:22" s="13" customFormat="1" ht="19.5" customHeight="1">
      <c r="A23" s="104"/>
      <c r="B23" s="86"/>
      <c r="C23" s="87"/>
      <c r="D23" s="87"/>
      <c r="E23" s="89"/>
      <c r="F23" s="90"/>
      <c r="G23" s="90"/>
      <c r="H23" s="96"/>
      <c r="I23" s="91"/>
      <c r="J23" s="91"/>
      <c r="K23" s="96"/>
      <c r="L23" s="91"/>
      <c r="M23" s="91"/>
      <c r="N23" s="92">
        <f t="shared" si="0"/>
        <v>0</v>
      </c>
      <c r="O23" s="92">
        <f t="shared" si="1"/>
        <v>0</v>
      </c>
      <c r="P23" s="92">
        <f t="shared" si="2"/>
        <v>0</v>
      </c>
      <c r="Q23" s="93">
        <f t="shared" si="3"/>
      </c>
      <c r="R23" s="93">
        <f>IF(OR(D23="",B23="",V23=""),0,IF(OR(C23="UM",C23="JM",C23="SM",C23="UK",C23="JK",C23="SK"),"",Q23*(IF(ABS(1900-YEAR((V23+1)-D23))&lt;29,0,(VLOOKUP((YEAR(V23)-YEAR(D23)),'Meltzer-Malone'!$A$3:$B$63,2))))))</f>
        <v>0</v>
      </c>
      <c r="S23" s="97"/>
      <c r="T23" s="97"/>
      <c r="U23" s="95">
        <f t="shared" si="4"/>
      </c>
      <c r="V23" s="137">
        <f>R5</f>
        <v>42063</v>
      </c>
    </row>
    <row r="24" spans="1:22" s="13" customFormat="1" ht="19.5" customHeight="1">
      <c r="A24" s="104"/>
      <c r="B24" s="86"/>
      <c r="C24" s="87"/>
      <c r="D24" s="98"/>
      <c r="E24" s="99"/>
      <c r="F24" s="100"/>
      <c r="G24" s="100"/>
      <c r="H24" s="101"/>
      <c r="I24" s="91"/>
      <c r="J24" s="91"/>
      <c r="K24" s="101"/>
      <c r="L24" s="91"/>
      <c r="M24" s="91"/>
      <c r="N24" s="92">
        <f t="shared" si="0"/>
        <v>0</v>
      </c>
      <c r="O24" s="92">
        <f t="shared" si="1"/>
        <v>0</v>
      </c>
      <c r="P24" s="102">
        <f t="shared" si="2"/>
        <v>0</v>
      </c>
      <c r="Q24" s="93">
        <f t="shared" si="3"/>
      </c>
      <c r="R24" s="93">
        <f>IF(OR(D24="",B24="",V24=""),0,IF(OR(C24="UM",C24="JM",C24="SM",C24="UK",C24="JK",C24="SK"),"",Q24*(IF(ABS(1900-YEAR((V24+1)-D24))&lt;29,0,(VLOOKUP((YEAR(V24)-YEAR(D24)),'Meltzer-Malone'!$A$3:$B$63,2))))))</f>
        <v>0</v>
      </c>
      <c r="S24" s="103"/>
      <c r="T24" s="103"/>
      <c r="U24" s="95">
        <f t="shared" si="4"/>
      </c>
      <c r="V24" s="137">
        <f>R5</f>
        <v>42063</v>
      </c>
    </row>
    <row r="25" spans="1:22" s="9" customFormat="1" ht="9" customHeight="1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ht="12.75"/>
    <row r="27" spans="1:20" s="8" customFormat="1" ht="15">
      <c r="A27" s="8" t="s">
        <v>19</v>
      </c>
      <c r="B27"/>
      <c r="C27" s="180"/>
      <c r="D27" s="180"/>
      <c r="E27" s="180"/>
      <c r="F27" s="180"/>
      <c r="G27" s="55" t="s">
        <v>36</v>
      </c>
      <c r="H27" s="56">
        <v>1</v>
      </c>
      <c r="I27" s="179" t="s">
        <v>160</v>
      </c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2:20" s="8" customFormat="1" ht="15">
      <c r="B28"/>
      <c r="C28" s="41"/>
      <c r="D28" s="40"/>
      <c r="E28" s="40"/>
      <c r="F28" s="41"/>
      <c r="G28" s="57" t="s">
        <v>22</v>
      </c>
      <c r="H28" s="56">
        <v>2</v>
      </c>
      <c r="I28" s="179" t="s">
        <v>148</v>
      </c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8" customFormat="1" ht="15">
      <c r="A29" s="58" t="s">
        <v>37</v>
      </c>
      <c r="B29"/>
      <c r="C29" s="179" t="s">
        <v>158</v>
      </c>
      <c r="D29" s="180"/>
      <c r="E29" s="180"/>
      <c r="F29" s="180"/>
      <c r="G29" s="59"/>
      <c r="H29" s="56">
        <v>3</v>
      </c>
      <c r="I29" s="179" t="s">
        <v>146</v>
      </c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 ht="15">
      <c r="A30" s="7"/>
      <c r="B30"/>
      <c r="C30" s="179" t="s">
        <v>155</v>
      </c>
      <c r="D30" s="180"/>
      <c r="E30" s="180"/>
      <c r="F30" s="180"/>
      <c r="G30" s="43"/>
      <c r="H30" s="4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15">
      <c r="A31" s="8"/>
      <c r="B31"/>
      <c r="C31" s="179" t="s">
        <v>150</v>
      </c>
      <c r="D31" s="180"/>
      <c r="E31" s="180"/>
      <c r="F31" s="180"/>
      <c r="G31" s="61" t="s">
        <v>38</v>
      </c>
      <c r="H31" s="179" t="s">
        <v>144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5">
      <c r="C32" s="47"/>
      <c r="D32" s="42"/>
      <c r="E32" s="42"/>
      <c r="F32" s="43"/>
      <c r="G32" s="61" t="s">
        <v>39</v>
      </c>
      <c r="H32" s="179" t="s">
        <v>259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8" t="s">
        <v>20</v>
      </c>
      <c r="B33"/>
      <c r="C33" s="180" t="s">
        <v>52</v>
      </c>
      <c r="D33" s="180"/>
      <c r="E33" s="180"/>
      <c r="F33" s="180"/>
      <c r="G33" s="61" t="s">
        <v>40</v>
      </c>
      <c r="H33" s="179" t="s">
        <v>257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>
      <c r="C34" s="180"/>
      <c r="D34" s="180"/>
      <c r="E34" s="180"/>
      <c r="F34" s="180"/>
      <c r="G34" s="61"/>
      <c r="H34" s="40"/>
      <c r="I34" s="63"/>
      <c r="J34" s="2"/>
      <c r="K34" s="2"/>
      <c r="L34" s="2"/>
      <c r="M34" s="2"/>
      <c r="N34" s="2"/>
      <c r="O34" s="2"/>
      <c r="P34" s="2"/>
      <c r="Q34" s="60"/>
      <c r="R34" s="60"/>
      <c r="S34" s="60"/>
      <c r="T34" s="60"/>
    </row>
    <row r="35" spans="1:20" ht="13.5">
      <c r="A35" s="56" t="s">
        <v>41</v>
      </c>
      <c r="B35" s="64"/>
      <c r="C35" s="179" t="s">
        <v>149</v>
      </c>
      <c r="D35" s="180"/>
      <c r="E35" s="180"/>
      <c r="F35" s="180"/>
      <c r="G35" s="61" t="s">
        <v>24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3:20" ht="13.5">
      <c r="C36" s="180"/>
      <c r="D36" s="180"/>
      <c r="E36" s="180"/>
      <c r="F36" s="180"/>
      <c r="G36" s="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3.5">
      <c r="A37" s="64" t="s">
        <v>23</v>
      </c>
      <c r="B37" s="64"/>
      <c r="C37" s="44" t="s">
        <v>49</v>
      </c>
      <c r="D37" s="45"/>
      <c r="E37" s="45"/>
      <c r="F37" s="4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3.5">
      <c r="A38" s="65"/>
      <c r="B38" s="65"/>
      <c r="C38" s="66"/>
      <c r="D38" s="42"/>
      <c r="E38" s="42"/>
      <c r="F38" s="43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8:20" ht="13.5"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</sheetData>
  <sheetProtection sheet="1"/>
  <mergeCells count="25"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33:F33"/>
    <mergeCell ref="C34:F34"/>
    <mergeCell ref="C35:F35"/>
    <mergeCell ref="C36:F36"/>
    <mergeCell ref="I27:T27"/>
    <mergeCell ref="I28:T28"/>
    <mergeCell ref="I29:T29"/>
    <mergeCell ref="I30:T30"/>
    <mergeCell ref="H31:T31"/>
    <mergeCell ref="H32:T32"/>
    <mergeCell ref="H33:T33"/>
    <mergeCell ref="H35:T35"/>
    <mergeCell ref="H36:T36"/>
    <mergeCell ref="H37:T37"/>
    <mergeCell ref="H38:T38"/>
    <mergeCell ref="H39:T39"/>
  </mergeCells>
  <conditionalFormatting sqref="H9:M24">
    <cfRule type="cellIs" priority="1" dxfId="36" operator="between" stopIfTrue="1">
      <formula>1</formula>
      <formula>300</formula>
    </cfRule>
    <cfRule type="cellIs" priority="2" dxfId="37" operator="lessThanOrEqual" stopIfTrue="1">
      <formula>0</formula>
    </cfRule>
  </conditionalFormatting>
  <dataValidations count="2">
    <dataValidation type="list" allowBlank="1" showInputMessage="1" showErrorMessage="1" errorTitle="Feil_i_vek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Pedersen, Arne H.</cp:lastModifiedBy>
  <cp:lastPrinted>2015-03-04T07:32:39Z</cp:lastPrinted>
  <dcterms:created xsi:type="dcterms:W3CDTF">2001-08-31T20:44:44Z</dcterms:created>
  <dcterms:modified xsi:type="dcterms:W3CDTF">2015-12-22T14:36:04Z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fb809ca8e56e4d4a8122c12376747d">
    <vt:lpwstr>Stevneprotokoller|62758785-c66c-4e54-854b-2bf1204ae428</vt:lpwstr>
  </property>
  <property fmtid="{D5CDD505-2E9C-101B-9397-08002B2CF9AE}" pid="4" name="arDokumentkatego">
    <vt:lpwstr>32;#Stevneprotokoller|62758785-c66c-4e54-854b-2bf1204ae428</vt:lpwstr>
  </property>
  <property fmtid="{D5CDD505-2E9C-101B-9397-08002B2CF9AE}" pid="5" name="TaxCatchA">
    <vt:lpwstr>32;#Stevneprotokoller|62758785-c66c-4e54-854b-2bf1204ae428</vt:lpwstr>
  </property>
</Properties>
</file>