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13_ncr:1_{7083A3C9-6D62-7441-A40C-F3CDC8E0B074}" xr6:coauthVersionLast="47" xr6:coauthVersionMax="47" xr10:uidLastSave="{00000000-0000-0000-0000-000000000000}"/>
  <bookViews>
    <workbookView xWindow="0" yWindow="500" windowWidth="26100" windowHeight="16660" tabRatio="433" activeTab="9" xr2:uid="{00000000-000D-0000-FFFF-FFFF00000000}"/>
  </bookViews>
  <sheets>
    <sheet name="Pulje 1" sheetId="34" r:id="rId1"/>
    <sheet name="Pulje 2" sheetId="51" r:id="rId2"/>
    <sheet name="Pulje 3" sheetId="52" r:id="rId3"/>
    <sheet name="Pulje 4" sheetId="53" r:id="rId4"/>
    <sheet name="Pulje 5" sheetId="54" r:id="rId5"/>
    <sheet name="Pulje 6" sheetId="55" r:id="rId6"/>
    <sheet name="Pulje 7" sheetId="56" r:id="rId7"/>
    <sheet name="Pulje 8" sheetId="57" r:id="rId8"/>
    <sheet name="Pulje 9" sheetId="58" r:id="rId9"/>
    <sheet name="Lagkonk" sheetId="59" r:id="rId10"/>
    <sheet name="Meltzer-Faber" sheetId="23" state="hidden" r:id="rId11"/>
    <sheet name="Module1" sheetId="2" state="veryHidden" r:id="rId12"/>
  </sheets>
  <definedNames>
    <definedName name="_xlnm.Print_Area" localSheetId="9">Lagkonk!$A:$L</definedName>
    <definedName name="_xlnm.Print_Area" localSheetId="0">'Pulje 1'!$B$1:$AB$46</definedName>
    <definedName name="_xlnm.Print_Area" localSheetId="1">'Pulje 2'!$B$1:$AB$46</definedName>
    <definedName name="_xlnm.Print_Area" localSheetId="2">'Pulje 3'!$B$1:$AB$46</definedName>
    <definedName name="_xlnm.Print_Area" localSheetId="3">'Pulje 4'!$B$1:$AB$46</definedName>
    <definedName name="_xlnm.Print_Area" localSheetId="4">'Pulje 5'!$B$1:$AB$46</definedName>
    <definedName name="_xlnm.Print_Area" localSheetId="5">'Pulje 6'!$B$1:$AB$46</definedName>
    <definedName name="_xlnm.Print_Area" localSheetId="6">'Pulje 7'!$B$1:$AB$46</definedName>
    <definedName name="_xlnm.Print_Area" localSheetId="7">'Pulje 8'!$B$1:$AB$46</definedName>
    <definedName name="_xlnm.Print_Area" localSheetId="8">'Pulje 9'!$B$1:$AB$46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7" i="58" l="1"/>
  <c r="B122" i="59"/>
  <c r="C122" i="59"/>
  <c r="D122" i="59"/>
  <c r="E122" i="59"/>
  <c r="F122" i="59"/>
  <c r="G122" i="59"/>
  <c r="H122" i="59"/>
  <c r="I122" i="59"/>
  <c r="J122" i="59"/>
  <c r="K122" i="59"/>
  <c r="B119" i="59"/>
  <c r="C119" i="59"/>
  <c r="D119" i="59"/>
  <c r="E119" i="59"/>
  <c r="F119" i="59"/>
  <c r="G119" i="59"/>
  <c r="H119" i="59"/>
  <c r="I119" i="59"/>
  <c r="J119" i="59"/>
  <c r="K119" i="59"/>
  <c r="L119" i="59"/>
  <c r="W10" i="52"/>
  <c r="U23" i="34"/>
  <c r="V24" i="34"/>
  <c r="W24" i="34"/>
  <c r="X24" i="34"/>
  <c r="U25" i="34"/>
  <c r="V26" i="34"/>
  <c r="Y26" i="34" s="1"/>
  <c r="W26" i="34"/>
  <c r="X26" i="34"/>
  <c r="U27" i="34"/>
  <c r="X22" i="34"/>
  <c r="W22" i="34"/>
  <c r="V22" i="34"/>
  <c r="Z22" i="34" s="1"/>
  <c r="U21" i="34"/>
  <c r="X20" i="34"/>
  <c r="W20" i="34"/>
  <c r="V20" i="34"/>
  <c r="U19" i="34"/>
  <c r="X18" i="34"/>
  <c r="W18" i="34"/>
  <c r="Y18" i="34" s="1"/>
  <c r="V18" i="34"/>
  <c r="U17" i="34"/>
  <c r="X16" i="34"/>
  <c r="W16" i="34"/>
  <c r="V16" i="34"/>
  <c r="U15" i="34"/>
  <c r="X14" i="34"/>
  <c r="W14" i="34"/>
  <c r="V14" i="34"/>
  <c r="U13" i="34"/>
  <c r="X12" i="34"/>
  <c r="W12" i="34"/>
  <c r="V12" i="34"/>
  <c r="U11" i="34"/>
  <c r="X10" i="34"/>
  <c r="W10" i="34"/>
  <c r="V10" i="34"/>
  <c r="U9" i="34"/>
  <c r="AA121" i="59"/>
  <c r="K61" i="59" s="1"/>
  <c r="Z121" i="59"/>
  <c r="J61" i="59" s="1"/>
  <c r="Y121" i="59"/>
  <c r="I61" i="59" s="1"/>
  <c r="V121" i="59"/>
  <c r="F61" i="59" s="1"/>
  <c r="U121" i="59"/>
  <c r="E61" i="59" s="1"/>
  <c r="T121" i="59"/>
  <c r="D61" i="59" s="1"/>
  <c r="S121" i="59"/>
  <c r="C61" i="59" s="1"/>
  <c r="R121" i="59"/>
  <c r="B61" i="59" s="1"/>
  <c r="Q121" i="59"/>
  <c r="AA120" i="59"/>
  <c r="K55" i="59" s="1"/>
  <c r="Z120" i="59"/>
  <c r="J55" i="59" s="1"/>
  <c r="Y120" i="59"/>
  <c r="I55" i="59" s="1"/>
  <c r="V120" i="59"/>
  <c r="F55" i="59" s="1"/>
  <c r="U120" i="59"/>
  <c r="E55" i="59" s="1"/>
  <c r="T120" i="59"/>
  <c r="D55" i="59" s="1"/>
  <c r="S120" i="59"/>
  <c r="C55" i="59" s="1"/>
  <c r="R120" i="59"/>
  <c r="B55" i="59" s="1"/>
  <c r="Q120" i="59"/>
  <c r="AA119" i="59"/>
  <c r="K49" i="59" s="1"/>
  <c r="Z119" i="59"/>
  <c r="J49" i="59" s="1"/>
  <c r="Y119" i="59"/>
  <c r="I49" i="59" s="1"/>
  <c r="V119" i="59"/>
  <c r="F49" i="59" s="1"/>
  <c r="U119" i="59"/>
  <c r="E49" i="59" s="1"/>
  <c r="T119" i="59"/>
  <c r="D49" i="59" s="1"/>
  <c r="S119" i="59"/>
  <c r="C49" i="59" s="1"/>
  <c r="R119" i="59"/>
  <c r="B49" i="59" s="1"/>
  <c r="Q119" i="59"/>
  <c r="AA118" i="59"/>
  <c r="K42" i="59" s="1"/>
  <c r="Z118" i="59"/>
  <c r="J42" i="59" s="1"/>
  <c r="Y118" i="59"/>
  <c r="I42" i="59" s="1"/>
  <c r="V118" i="59"/>
  <c r="F42" i="59" s="1"/>
  <c r="U118" i="59"/>
  <c r="E42" i="59" s="1"/>
  <c r="T118" i="59"/>
  <c r="D42" i="59" s="1"/>
  <c r="S118" i="59"/>
  <c r="C42" i="59" s="1"/>
  <c r="R118" i="59"/>
  <c r="B42" i="59" s="1"/>
  <c r="Q118" i="59"/>
  <c r="AA117" i="59"/>
  <c r="K36" i="59" s="1"/>
  <c r="Z117" i="59"/>
  <c r="J36" i="59" s="1"/>
  <c r="Y117" i="59"/>
  <c r="I36" i="59" s="1"/>
  <c r="V117" i="59"/>
  <c r="F36" i="59" s="1"/>
  <c r="U117" i="59"/>
  <c r="E36" i="59" s="1"/>
  <c r="T117" i="59"/>
  <c r="D36" i="59" s="1"/>
  <c r="S117" i="59"/>
  <c r="C36" i="59" s="1"/>
  <c r="R117" i="59"/>
  <c r="B36" i="59" s="1"/>
  <c r="Q117" i="59"/>
  <c r="AA116" i="59"/>
  <c r="K60" i="59" s="1"/>
  <c r="Z116" i="59"/>
  <c r="J60" i="59" s="1"/>
  <c r="Y116" i="59"/>
  <c r="I60" i="59" s="1"/>
  <c r="V116" i="59"/>
  <c r="F60" i="59" s="1"/>
  <c r="U116" i="59"/>
  <c r="E60" i="59" s="1"/>
  <c r="T116" i="59"/>
  <c r="D60" i="59" s="1"/>
  <c r="S116" i="59"/>
  <c r="C60" i="59" s="1"/>
  <c r="R116" i="59"/>
  <c r="B60" i="59" s="1"/>
  <c r="Q116" i="59"/>
  <c r="AA115" i="59"/>
  <c r="K54" i="59" s="1"/>
  <c r="Z115" i="59"/>
  <c r="J54" i="59" s="1"/>
  <c r="Y115" i="59"/>
  <c r="I54" i="59" s="1"/>
  <c r="V115" i="59"/>
  <c r="F54" i="59" s="1"/>
  <c r="U115" i="59"/>
  <c r="E54" i="59" s="1"/>
  <c r="T115" i="59"/>
  <c r="D54" i="59" s="1"/>
  <c r="S115" i="59"/>
  <c r="C54" i="59" s="1"/>
  <c r="R115" i="59"/>
  <c r="B54" i="59" s="1"/>
  <c r="Q115" i="59"/>
  <c r="AA112" i="59"/>
  <c r="K37" i="59" s="1"/>
  <c r="Z112" i="59"/>
  <c r="J37" i="59" s="1"/>
  <c r="Y112" i="59"/>
  <c r="I37" i="59" s="1"/>
  <c r="V112" i="59"/>
  <c r="F37" i="59" s="1"/>
  <c r="U112" i="59"/>
  <c r="E37" i="59" s="1"/>
  <c r="T112" i="59"/>
  <c r="D37" i="59" s="1"/>
  <c r="S112" i="59"/>
  <c r="C37" i="59" s="1"/>
  <c r="R112" i="59"/>
  <c r="B37" i="59" s="1"/>
  <c r="Q112" i="59"/>
  <c r="AA111" i="59"/>
  <c r="K35" i="59" s="1"/>
  <c r="Z111" i="59"/>
  <c r="J35" i="59" s="1"/>
  <c r="Y111" i="59"/>
  <c r="I35" i="59" s="1"/>
  <c r="V111" i="59"/>
  <c r="F35" i="59" s="1"/>
  <c r="U111" i="59"/>
  <c r="E35" i="59" s="1"/>
  <c r="T111" i="59"/>
  <c r="D35" i="59" s="1"/>
  <c r="S111" i="59"/>
  <c r="C35" i="59" s="1"/>
  <c r="R111" i="59"/>
  <c r="B35" i="59" s="1"/>
  <c r="Q111" i="59"/>
  <c r="AA109" i="59"/>
  <c r="K48" i="59" s="1"/>
  <c r="Z109" i="59"/>
  <c r="J48" i="59" s="1"/>
  <c r="Y109" i="59"/>
  <c r="I48" i="59" s="1"/>
  <c r="V109" i="59"/>
  <c r="F48" i="59" s="1"/>
  <c r="U109" i="59"/>
  <c r="E48" i="59" s="1"/>
  <c r="T109" i="59"/>
  <c r="D48" i="59" s="1"/>
  <c r="S109" i="59"/>
  <c r="C48" i="59" s="1"/>
  <c r="R109" i="59"/>
  <c r="B48" i="59" s="1"/>
  <c r="Q109" i="59"/>
  <c r="AA108" i="59"/>
  <c r="Z108" i="59"/>
  <c r="Y108" i="59"/>
  <c r="V108" i="59"/>
  <c r="U108" i="59"/>
  <c r="T108" i="59"/>
  <c r="S108" i="59"/>
  <c r="R108" i="59"/>
  <c r="Q108" i="59"/>
  <c r="AA107" i="59"/>
  <c r="Z107" i="59"/>
  <c r="Y107" i="59"/>
  <c r="V107" i="59"/>
  <c r="U107" i="59"/>
  <c r="T107" i="59"/>
  <c r="S107" i="59"/>
  <c r="R107" i="59"/>
  <c r="Q107" i="59"/>
  <c r="AA105" i="59"/>
  <c r="K41" i="59" s="1"/>
  <c r="Z105" i="59"/>
  <c r="J41" i="59" s="1"/>
  <c r="Y105" i="59"/>
  <c r="I41" i="59" s="1"/>
  <c r="V105" i="59"/>
  <c r="F41" i="59" s="1"/>
  <c r="U105" i="59"/>
  <c r="E41" i="59" s="1"/>
  <c r="T105" i="59"/>
  <c r="D41" i="59" s="1"/>
  <c r="S105" i="59"/>
  <c r="C41" i="59" s="1"/>
  <c r="R105" i="59"/>
  <c r="B41" i="59" s="1"/>
  <c r="Q105" i="59"/>
  <c r="AA104" i="59"/>
  <c r="Z104" i="59"/>
  <c r="Y104" i="59"/>
  <c r="V104" i="59"/>
  <c r="U104" i="59"/>
  <c r="T104" i="59"/>
  <c r="S104" i="59"/>
  <c r="R104" i="59"/>
  <c r="Q104" i="59"/>
  <c r="AA103" i="59"/>
  <c r="Z103" i="59"/>
  <c r="Y103" i="59"/>
  <c r="V103" i="59"/>
  <c r="U103" i="59"/>
  <c r="T103" i="59"/>
  <c r="S103" i="59"/>
  <c r="R103" i="59"/>
  <c r="Q103" i="59"/>
  <c r="AA102" i="59"/>
  <c r="Z102" i="59"/>
  <c r="Y102" i="59"/>
  <c r="V102" i="59"/>
  <c r="U102" i="59"/>
  <c r="T102" i="59"/>
  <c r="S102" i="59"/>
  <c r="R102" i="59"/>
  <c r="Q102" i="59"/>
  <c r="AA101" i="59"/>
  <c r="K34" i="59" s="1"/>
  <c r="Z101" i="59"/>
  <c r="J34" i="59" s="1"/>
  <c r="Y101" i="59"/>
  <c r="I34" i="59" s="1"/>
  <c r="V101" i="59"/>
  <c r="F34" i="59" s="1"/>
  <c r="U101" i="59"/>
  <c r="E34" i="59" s="1"/>
  <c r="T101" i="59"/>
  <c r="D34" i="59" s="1"/>
  <c r="S101" i="59"/>
  <c r="C34" i="59" s="1"/>
  <c r="R101" i="59"/>
  <c r="B34" i="59" s="1"/>
  <c r="Q101" i="59"/>
  <c r="AA98" i="59"/>
  <c r="K115" i="59" s="1"/>
  <c r="Z98" i="59"/>
  <c r="J115" i="59" s="1"/>
  <c r="Y98" i="59"/>
  <c r="I115" i="59" s="1"/>
  <c r="W98" i="59"/>
  <c r="G115" i="59" s="1"/>
  <c r="V98" i="59"/>
  <c r="F115" i="59" s="1"/>
  <c r="U98" i="59"/>
  <c r="E115" i="59" s="1"/>
  <c r="T98" i="59"/>
  <c r="D115" i="59" s="1"/>
  <c r="S98" i="59"/>
  <c r="C115" i="59" s="1"/>
  <c r="R98" i="59"/>
  <c r="B115" i="59" s="1"/>
  <c r="Q98" i="59"/>
  <c r="AA97" i="59"/>
  <c r="K126" i="59" s="1"/>
  <c r="Z97" i="59"/>
  <c r="J126" i="59" s="1"/>
  <c r="Y97" i="59"/>
  <c r="I126" i="59" s="1"/>
  <c r="V97" i="59"/>
  <c r="F126" i="59" s="1"/>
  <c r="U97" i="59"/>
  <c r="E126" i="59" s="1"/>
  <c r="T97" i="59"/>
  <c r="D126" i="59" s="1"/>
  <c r="S97" i="59"/>
  <c r="C126" i="59" s="1"/>
  <c r="R97" i="59"/>
  <c r="B126" i="59" s="1"/>
  <c r="Q97" i="59"/>
  <c r="AA95" i="59"/>
  <c r="Z95" i="59"/>
  <c r="Y95" i="59"/>
  <c r="V95" i="59"/>
  <c r="U95" i="59"/>
  <c r="T95" i="59"/>
  <c r="S95" i="59"/>
  <c r="R95" i="59"/>
  <c r="Q95" i="59"/>
  <c r="AA94" i="59"/>
  <c r="Z94" i="59"/>
  <c r="Y94" i="59"/>
  <c r="V94" i="59"/>
  <c r="U94" i="59"/>
  <c r="T94" i="59"/>
  <c r="S94" i="59"/>
  <c r="R94" i="59"/>
  <c r="Q94" i="59"/>
  <c r="AA93" i="59"/>
  <c r="K114" i="59" s="1"/>
  <c r="Z93" i="59"/>
  <c r="J114" i="59" s="1"/>
  <c r="Y93" i="59"/>
  <c r="I114" i="59" s="1"/>
  <c r="W93" i="59"/>
  <c r="G114" i="59" s="1"/>
  <c r="V93" i="59"/>
  <c r="F114" i="59" s="1"/>
  <c r="U93" i="59"/>
  <c r="E114" i="59" s="1"/>
  <c r="T93" i="59"/>
  <c r="D114" i="59" s="1"/>
  <c r="S93" i="59"/>
  <c r="C114" i="59" s="1"/>
  <c r="R93" i="59"/>
  <c r="B114" i="59" s="1"/>
  <c r="Q93" i="59"/>
  <c r="AA91" i="59"/>
  <c r="K121" i="59" s="1"/>
  <c r="Z91" i="59"/>
  <c r="J121" i="59" s="1"/>
  <c r="Y91" i="59"/>
  <c r="I121" i="59" s="1"/>
  <c r="V91" i="59"/>
  <c r="F121" i="59" s="1"/>
  <c r="U91" i="59"/>
  <c r="E121" i="59" s="1"/>
  <c r="T91" i="59"/>
  <c r="D121" i="59" s="1"/>
  <c r="S91" i="59"/>
  <c r="C121" i="59" s="1"/>
  <c r="R91" i="59"/>
  <c r="B121" i="59" s="1"/>
  <c r="Q91" i="59"/>
  <c r="AA90" i="59"/>
  <c r="Z90" i="59"/>
  <c r="Y90" i="59"/>
  <c r="V90" i="59"/>
  <c r="U90" i="59"/>
  <c r="T90" i="59"/>
  <c r="S90" i="59"/>
  <c r="R90" i="59"/>
  <c r="Q90" i="59"/>
  <c r="AA89" i="59"/>
  <c r="K120" i="59" s="1"/>
  <c r="Z89" i="59"/>
  <c r="J120" i="59" s="1"/>
  <c r="Y89" i="59"/>
  <c r="I120" i="59" s="1"/>
  <c r="V89" i="59"/>
  <c r="F120" i="59" s="1"/>
  <c r="U89" i="59"/>
  <c r="E120" i="59" s="1"/>
  <c r="T89" i="59"/>
  <c r="D120" i="59" s="1"/>
  <c r="S89" i="59"/>
  <c r="C120" i="59" s="1"/>
  <c r="R89" i="59"/>
  <c r="B120" i="59" s="1"/>
  <c r="Q89" i="59"/>
  <c r="AA88" i="59"/>
  <c r="K125" i="59" s="1"/>
  <c r="Z88" i="59"/>
  <c r="J125" i="59" s="1"/>
  <c r="Y88" i="59"/>
  <c r="I125" i="59" s="1"/>
  <c r="V88" i="59"/>
  <c r="F125" i="59" s="1"/>
  <c r="U88" i="59"/>
  <c r="E125" i="59" s="1"/>
  <c r="T88" i="59"/>
  <c r="D125" i="59" s="1"/>
  <c r="S88" i="59"/>
  <c r="C125" i="59" s="1"/>
  <c r="R88" i="59"/>
  <c r="B125" i="59" s="1"/>
  <c r="Q88" i="59"/>
  <c r="AA77" i="59"/>
  <c r="K21" i="59" s="1"/>
  <c r="Z77" i="59"/>
  <c r="J21" i="59" s="1"/>
  <c r="Y77" i="59"/>
  <c r="I21" i="59" s="1"/>
  <c r="V77" i="59"/>
  <c r="F21" i="59" s="1"/>
  <c r="U77" i="59"/>
  <c r="E21" i="59" s="1"/>
  <c r="T77" i="59"/>
  <c r="D21" i="59" s="1"/>
  <c r="S77" i="59"/>
  <c r="C21" i="59" s="1"/>
  <c r="R77" i="59"/>
  <c r="B21" i="59" s="1"/>
  <c r="Q77" i="59"/>
  <c r="AA76" i="59"/>
  <c r="Z76" i="59"/>
  <c r="Y76" i="59"/>
  <c r="V76" i="59"/>
  <c r="U76" i="59"/>
  <c r="T76" i="59"/>
  <c r="S76" i="59"/>
  <c r="R76" i="59"/>
  <c r="Q76" i="59"/>
  <c r="AA75" i="59"/>
  <c r="K15" i="59" s="1"/>
  <c r="Z75" i="59"/>
  <c r="J15" i="59" s="1"/>
  <c r="Y75" i="59"/>
  <c r="I15" i="59" s="1"/>
  <c r="V75" i="59"/>
  <c r="F15" i="59" s="1"/>
  <c r="U75" i="59"/>
  <c r="E15" i="59" s="1"/>
  <c r="T75" i="59"/>
  <c r="D15" i="59" s="1"/>
  <c r="S75" i="59"/>
  <c r="C15" i="59" s="1"/>
  <c r="R75" i="59"/>
  <c r="B15" i="59" s="1"/>
  <c r="Q75" i="59"/>
  <c r="AA74" i="59"/>
  <c r="K20" i="59" s="1"/>
  <c r="Z74" i="59"/>
  <c r="J20" i="59" s="1"/>
  <c r="Y74" i="59"/>
  <c r="I20" i="59" s="1"/>
  <c r="V74" i="59"/>
  <c r="F20" i="59" s="1"/>
  <c r="U74" i="59"/>
  <c r="E20" i="59" s="1"/>
  <c r="T74" i="59"/>
  <c r="D20" i="59" s="1"/>
  <c r="S74" i="59"/>
  <c r="C20" i="59" s="1"/>
  <c r="R74" i="59"/>
  <c r="B20" i="59" s="1"/>
  <c r="Q74" i="59"/>
  <c r="AA73" i="59"/>
  <c r="K8" i="59" s="1"/>
  <c r="Z73" i="59"/>
  <c r="J8" i="59" s="1"/>
  <c r="Y73" i="59"/>
  <c r="I8" i="59" s="1"/>
  <c r="V73" i="59"/>
  <c r="F8" i="59" s="1"/>
  <c r="U73" i="59"/>
  <c r="E8" i="59" s="1"/>
  <c r="T73" i="59"/>
  <c r="D8" i="59" s="1"/>
  <c r="S73" i="59"/>
  <c r="C8" i="59" s="1"/>
  <c r="R73" i="59"/>
  <c r="B8" i="59" s="1"/>
  <c r="Q73" i="59"/>
  <c r="AA69" i="59"/>
  <c r="K26" i="59" s="1"/>
  <c r="Z69" i="59"/>
  <c r="J26" i="59" s="1"/>
  <c r="Y69" i="59"/>
  <c r="I26" i="59" s="1"/>
  <c r="V69" i="59"/>
  <c r="F26" i="59" s="1"/>
  <c r="U69" i="59"/>
  <c r="E26" i="59" s="1"/>
  <c r="T69" i="59"/>
  <c r="D26" i="59" s="1"/>
  <c r="S69" i="59"/>
  <c r="C26" i="59" s="1"/>
  <c r="R69" i="59"/>
  <c r="B26" i="59" s="1"/>
  <c r="Q69" i="59"/>
  <c r="AA68" i="59"/>
  <c r="K9" i="59" s="1"/>
  <c r="Z68" i="59"/>
  <c r="J9" i="59" s="1"/>
  <c r="Y68" i="59"/>
  <c r="I9" i="59" s="1"/>
  <c r="X68" i="59"/>
  <c r="H9" i="59" s="1"/>
  <c r="V68" i="59"/>
  <c r="F9" i="59" s="1"/>
  <c r="U68" i="59"/>
  <c r="E9" i="59" s="1"/>
  <c r="T68" i="59"/>
  <c r="D9" i="59" s="1"/>
  <c r="S68" i="59"/>
  <c r="C9" i="59" s="1"/>
  <c r="R68" i="59"/>
  <c r="B9" i="59" s="1"/>
  <c r="Q68" i="59"/>
  <c r="AA67" i="59"/>
  <c r="K25" i="59" s="1"/>
  <c r="Z67" i="59"/>
  <c r="J25" i="59" s="1"/>
  <c r="Y67" i="59"/>
  <c r="I25" i="59" s="1"/>
  <c r="V67" i="59"/>
  <c r="F25" i="59" s="1"/>
  <c r="U67" i="59"/>
  <c r="E25" i="59" s="1"/>
  <c r="T67" i="59"/>
  <c r="D25" i="59" s="1"/>
  <c r="S67" i="59"/>
  <c r="C25" i="59" s="1"/>
  <c r="R67" i="59"/>
  <c r="B25" i="59" s="1"/>
  <c r="Q67" i="59"/>
  <c r="AA66" i="59"/>
  <c r="K7" i="59" s="1"/>
  <c r="Z66" i="59"/>
  <c r="J7" i="59" s="1"/>
  <c r="Y66" i="59"/>
  <c r="I7" i="59" s="1"/>
  <c r="V66" i="59"/>
  <c r="F7" i="59" s="1"/>
  <c r="U66" i="59"/>
  <c r="E7" i="59" s="1"/>
  <c r="T66" i="59"/>
  <c r="D7" i="59" s="1"/>
  <c r="S66" i="59"/>
  <c r="C7" i="59" s="1"/>
  <c r="R66" i="59"/>
  <c r="B7" i="59" s="1"/>
  <c r="Q66" i="59"/>
  <c r="AA65" i="59"/>
  <c r="Z65" i="59"/>
  <c r="Y65" i="59"/>
  <c r="V65" i="59"/>
  <c r="U65" i="59"/>
  <c r="T65" i="59"/>
  <c r="S65" i="59"/>
  <c r="R65" i="59"/>
  <c r="Q65" i="59"/>
  <c r="AA63" i="59"/>
  <c r="Z63" i="59"/>
  <c r="Y63" i="59"/>
  <c r="V63" i="59"/>
  <c r="U63" i="59"/>
  <c r="T63" i="59"/>
  <c r="S63" i="59"/>
  <c r="R63" i="59"/>
  <c r="Q63" i="59"/>
  <c r="AA61" i="59"/>
  <c r="K19" i="59" s="1"/>
  <c r="Z61" i="59"/>
  <c r="J19" i="59" s="1"/>
  <c r="Y61" i="59"/>
  <c r="I19" i="59" s="1"/>
  <c r="V61" i="59"/>
  <c r="F19" i="59" s="1"/>
  <c r="U61" i="59"/>
  <c r="E19" i="59" s="1"/>
  <c r="T61" i="59"/>
  <c r="D19" i="59" s="1"/>
  <c r="S61" i="59"/>
  <c r="C19" i="59" s="1"/>
  <c r="R61" i="59"/>
  <c r="B19" i="59" s="1"/>
  <c r="Q61" i="59"/>
  <c r="AA60" i="59"/>
  <c r="K14" i="59" s="1"/>
  <c r="Z60" i="59"/>
  <c r="J14" i="59" s="1"/>
  <c r="Y60" i="59"/>
  <c r="I14" i="59" s="1"/>
  <c r="V60" i="59"/>
  <c r="F14" i="59" s="1"/>
  <c r="U60" i="59"/>
  <c r="E14" i="59" s="1"/>
  <c r="T60" i="59"/>
  <c r="D14" i="59" s="1"/>
  <c r="S60" i="59"/>
  <c r="C14" i="59" s="1"/>
  <c r="R60" i="59"/>
  <c r="B14" i="59" s="1"/>
  <c r="Q60" i="59"/>
  <c r="AA59" i="59"/>
  <c r="K13" i="59" s="1"/>
  <c r="Z59" i="59"/>
  <c r="J13" i="59" s="1"/>
  <c r="Y59" i="59"/>
  <c r="I13" i="59" s="1"/>
  <c r="V59" i="59"/>
  <c r="F13" i="59" s="1"/>
  <c r="U59" i="59"/>
  <c r="E13" i="59" s="1"/>
  <c r="T59" i="59"/>
  <c r="D13" i="59" s="1"/>
  <c r="S59" i="59"/>
  <c r="C13" i="59" s="1"/>
  <c r="R59" i="59"/>
  <c r="B13" i="59" s="1"/>
  <c r="Q59" i="59"/>
  <c r="AA53" i="59"/>
  <c r="K75" i="59" s="1"/>
  <c r="Z53" i="59"/>
  <c r="J75" i="59" s="1"/>
  <c r="Y53" i="59"/>
  <c r="I75" i="59" s="1"/>
  <c r="V53" i="59"/>
  <c r="F75" i="59" s="1"/>
  <c r="U53" i="59"/>
  <c r="E75" i="59" s="1"/>
  <c r="T53" i="59"/>
  <c r="D75" i="59" s="1"/>
  <c r="S53" i="59"/>
  <c r="C75" i="59" s="1"/>
  <c r="R53" i="59"/>
  <c r="B75" i="59" s="1"/>
  <c r="Q53" i="59"/>
  <c r="AA52" i="59"/>
  <c r="K78" i="59" s="1"/>
  <c r="Z52" i="59"/>
  <c r="J78" i="59" s="1"/>
  <c r="Y52" i="59"/>
  <c r="I78" i="59" s="1"/>
  <c r="V52" i="59"/>
  <c r="F78" i="59" s="1"/>
  <c r="U52" i="59"/>
  <c r="E78" i="59" s="1"/>
  <c r="T52" i="59"/>
  <c r="D78" i="59" s="1"/>
  <c r="S52" i="59"/>
  <c r="C78" i="59" s="1"/>
  <c r="R52" i="59"/>
  <c r="B78" i="59" s="1"/>
  <c r="Q52" i="59"/>
  <c r="AA51" i="59"/>
  <c r="Z51" i="59"/>
  <c r="Y51" i="59"/>
  <c r="V51" i="59"/>
  <c r="U51" i="59"/>
  <c r="T51" i="59"/>
  <c r="S51" i="59"/>
  <c r="R51" i="59"/>
  <c r="Q51" i="59"/>
  <c r="AA50" i="59"/>
  <c r="Z50" i="59"/>
  <c r="Y50" i="59"/>
  <c r="V50" i="59"/>
  <c r="U50" i="59"/>
  <c r="T50" i="59"/>
  <c r="S50" i="59"/>
  <c r="R50" i="59"/>
  <c r="Q50" i="59"/>
  <c r="AA49" i="59"/>
  <c r="K97" i="59" s="1"/>
  <c r="Z49" i="59"/>
  <c r="J97" i="59" s="1"/>
  <c r="Y49" i="59"/>
  <c r="I97" i="59" s="1"/>
  <c r="V49" i="59"/>
  <c r="F97" i="59" s="1"/>
  <c r="U49" i="59"/>
  <c r="E110" i="59" s="1"/>
  <c r="T49" i="59"/>
  <c r="D97" i="59" s="1"/>
  <c r="S49" i="59"/>
  <c r="C97" i="59" s="1"/>
  <c r="R49" i="59"/>
  <c r="B97" i="59" s="1"/>
  <c r="Q49" i="59"/>
  <c r="AA48" i="59"/>
  <c r="Z48" i="59"/>
  <c r="Y48" i="59"/>
  <c r="V48" i="59"/>
  <c r="U48" i="59"/>
  <c r="T48" i="59"/>
  <c r="S48" i="59"/>
  <c r="R48" i="59"/>
  <c r="Q48" i="59"/>
  <c r="AA47" i="59"/>
  <c r="K76" i="59" s="1"/>
  <c r="Z47" i="59"/>
  <c r="J76" i="59" s="1"/>
  <c r="Y47" i="59"/>
  <c r="I76" i="59" s="1"/>
  <c r="V47" i="59"/>
  <c r="F76" i="59" s="1"/>
  <c r="U47" i="59"/>
  <c r="E76" i="59" s="1"/>
  <c r="T47" i="59"/>
  <c r="D76" i="59" s="1"/>
  <c r="S47" i="59"/>
  <c r="C76" i="59" s="1"/>
  <c r="R47" i="59"/>
  <c r="B76" i="59" s="1"/>
  <c r="Q47" i="59"/>
  <c r="AA46" i="59"/>
  <c r="Z46" i="59"/>
  <c r="Y46" i="59"/>
  <c r="V46" i="59"/>
  <c r="U46" i="59"/>
  <c r="T46" i="59"/>
  <c r="S46" i="59"/>
  <c r="R46" i="59"/>
  <c r="Q46" i="59"/>
  <c r="K96" i="59"/>
  <c r="J96" i="59"/>
  <c r="I96" i="59"/>
  <c r="F96" i="59"/>
  <c r="E96" i="59"/>
  <c r="D96" i="59"/>
  <c r="C96" i="59"/>
  <c r="B96" i="59"/>
  <c r="AA39" i="59"/>
  <c r="Z39" i="59"/>
  <c r="Y39" i="59"/>
  <c r="V39" i="59"/>
  <c r="U39" i="59"/>
  <c r="T39" i="59"/>
  <c r="S39" i="59"/>
  <c r="R39" i="59"/>
  <c r="Q39" i="59"/>
  <c r="AA38" i="59"/>
  <c r="K70" i="59" s="1"/>
  <c r="Z38" i="59"/>
  <c r="J70" i="59" s="1"/>
  <c r="Y38" i="59"/>
  <c r="I70" i="59" s="1"/>
  <c r="V38" i="59"/>
  <c r="F70" i="59" s="1"/>
  <c r="U38" i="59"/>
  <c r="E70" i="59" s="1"/>
  <c r="T38" i="59"/>
  <c r="D70" i="59" s="1"/>
  <c r="S38" i="59"/>
  <c r="C70" i="59" s="1"/>
  <c r="R38" i="59"/>
  <c r="B70" i="59" s="1"/>
  <c r="Q38" i="59"/>
  <c r="AA37" i="59"/>
  <c r="K84" i="59" s="1"/>
  <c r="Z37" i="59"/>
  <c r="J84" i="59" s="1"/>
  <c r="Y37" i="59"/>
  <c r="I84" i="59" s="1"/>
  <c r="V37" i="59"/>
  <c r="F84" i="59" s="1"/>
  <c r="U37" i="59"/>
  <c r="E84" i="59" s="1"/>
  <c r="T37" i="59"/>
  <c r="D84" i="59" s="1"/>
  <c r="S37" i="59"/>
  <c r="C84" i="59" s="1"/>
  <c r="R37" i="59"/>
  <c r="B84" i="59" s="1"/>
  <c r="Q37" i="59"/>
  <c r="AA36" i="59"/>
  <c r="K95" i="59" s="1"/>
  <c r="Z36" i="59"/>
  <c r="J95" i="59" s="1"/>
  <c r="Y36" i="59"/>
  <c r="I95" i="59" s="1"/>
  <c r="V36" i="59"/>
  <c r="F95" i="59" s="1"/>
  <c r="U36" i="59"/>
  <c r="E95" i="59" s="1"/>
  <c r="T36" i="59"/>
  <c r="D95" i="59" s="1"/>
  <c r="S36" i="59"/>
  <c r="C95" i="59" s="1"/>
  <c r="R36" i="59"/>
  <c r="B95" i="59" s="1"/>
  <c r="Q36" i="59"/>
  <c r="AA35" i="59"/>
  <c r="K90" i="59" s="1"/>
  <c r="Z35" i="59"/>
  <c r="J90" i="59" s="1"/>
  <c r="Y35" i="59"/>
  <c r="I90" i="59" s="1"/>
  <c r="V35" i="59"/>
  <c r="F90" i="59" s="1"/>
  <c r="U35" i="59"/>
  <c r="E90" i="59" s="1"/>
  <c r="T35" i="59"/>
  <c r="D90" i="59" s="1"/>
  <c r="S35" i="59"/>
  <c r="C90" i="59" s="1"/>
  <c r="R35" i="59"/>
  <c r="B90" i="59" s="1"/>
  <c r="Q35" i="59"/>
  <c r="AA34" i="59"/>
  <c r="Z34" i="59"/>
  <c r="Y34" i="59"/>
  <c r="V34" i="59"/>
  <c r="U34" i="59"/>
  <c r="T34" i="59"/>
  <c r="S34" i="59"/>
  <c r="R34" i="59"/>
  <c r="Q34" i="59"/>
  <c r="AA33" i="59"/>
  <c r="K89" i="59" s="1"/>
  <c r="Z33" i="59"/>
  <c r="J89" i="59" s="1"/>
  <c r="Y33" i="59"/>
  <c r="I89" i="59" s="1"/>
  <c r="V33" i="59"/>
  <c r="F89" i="59" s="1"/>
  <c r="U33" i="59"/>
  <c r="E89" i="59" s="1"/>
  <c r="T33" i="59"/>
  <c r="D89" i="59" s="1"/>
  <c r="S33" i="59"/>
  <c r="C89" i="59" s="1"/>
  <c r="R33" i="59"/>
  <c r="B89" i="59" s="1"/>
  <c r="Q33" i="59"/>
  <c r="K94" i="59"/>
  <c r="J94" i="59"/>
  <c r="I94" i="59"/>
  <c r="F94" i="59"/>
  <c r="E94" i="59"/>
  <c r="D94" i="59"/>
  <c r="C94" i="59"/>
  <c r="B94" i="59"/>
  <c r="AA31" i="59"/>
  <c r="K88" i="59" s="1"/>
  <c r="Z31" i="59"/>
  <c r="J88" i="59" s="1"/>
  <c r="Y31" i="59"/>
  <c r="I88" i="59" s="1"/>
  <c r="V31" i="59"/>
  <c r="F88" i="59" s="1"/>
  <c r="U31" i="59"/>
  <c r="E88" i="59" s="1"/>
  <c r="T31" i="59"/>
  <c r="D88" i="59" s="1"/>
  <c r="S31" i="59"/>
  <c r="C88" i="59" s="1"/>
  <c r="R31" i="59"/>
  <c r="B88" i="59" s="1"/>
  <c r="Q31" i="59"/>
  <c r="AA23" i="59"/>
  <c r="K77" i="59" s="1"/>
  <c r="Z23" i="59"/>
  <c r="J77" i="59" s="1"/>
  <c r="Y23" i="59"/>
  <c r="I77" i="59" s="1"/>
  <c r="V23" i="59"/>
  <c r="F77" i="59" s="1"/>
  <c r="U23" i="59"/>
  <c r="E77" i="59" s="1"/>
  <c r="T23" i="59"/>
  <c r="D77" i="59" s="1"/>
  <c r="S23" i="59"/>
  <c r="C77" i="59" s="1"/>
  <c r="R23" i="59"/>
  <c r="B77" i="59" s="1"/>
  <c r="Q23" i="59"/>
  <c r="AA22" i="59"/>
  <c r="Z22" i="59"/>
  <c r="Y22" i="59"/>
  <c r="V22" i="59"/>
  <c r="U22" i="59"/>
  <c r="T22" i="59"/>
  <c r="S22" i="59"/>
  <c r="R22" i="59"/>
  <c r="Q22" i="59"/>
  <c r="AA21" i="59"/>
  <c r="Z21" i="59"/>
  <c r="Y21" i="59"/>
  <c r="V21" i="59"/>
  <c r="U21" i="59"/>
  <c r="T21" i="59"/>
  <c r="S21" i="59"/>
  <c r="R21" i="59"/>
  <c r="Q21" i="59"/>
  <c r="AA20" i="59"/>
  <c r="K83" i="59" s="1"/>
  <c r="Z20" i="59"/>
  <c r="J83" i="59" s="1"/>
  <c r="Y20" i="59"/>
  <c r="I83" i="59" s="1"/>
  <c r="V20" i="59"/>
  <c r="F83" i="59" s="1"/>
  <c r="U20" i="59"/>
  <c r="E83" i="59" s="1"/>
  <c r="T20" i="59"/>
  <c r="D83" i="59" s="1"/>
  <c r="S20" i="59"/>
  <c r="C83" i="59" s="1"/>
  <c r="R20" i="59"/>
  <c r="B83" i="59" s="1"/>
  <c r="Q20" i="59"/>
  <c r="AA19" i="59"/>
  <c r="Z19" i="59"/>
  <c r="Y19" i="59"/>
  <c r="V19" i="59"/>
  <c r="U19" i="59"/>
  <c r="T19" i="59"/>
  <c r="S19" i="59"/>
  <c r="R19" i="59"/>
  <c r="Q19" i="59"/>
  <c r="AA17" i="59"/>
  <c r="K69" i="59" s="1"/>
  <c r="Z17" i="59"/>
  <c r="J69" i="59" s="1"/>
  <c r="Y17" i="59"/>
  <c r="I69" i="59" s="1"/>
  <c r="V17" i="59"/>
  <c r="F69" i="59" s="1"/>
  <c r="U17" i="59"/>
  <c r="E69" i="59" s="1"/>
  <c r="T17" i="59"/>
  <c r="D69" i="59" s="1"/>
  <c r="S17" i="59"/>
  <c r="C69" i="59" s="1"/>
  <c r="R17" i="59"/>
  <c r="B69" i="59" s="1"/>
  <c r="Q17" i="59"/>
  <c r="AA12" i="59"/>
  <c r="K113" i="59" s="1"/>
  <c r="Z12" i="59"/>
  <c r="J113" i="59" s="1"/>
  <c r="Y12" i="59"/>
  <c r="I113" i="59" s="1"/>
  <c r="V12" i="59"/>
  <c r="F113" i="59" s="1"/>
  <c r="U12" i="59"/>
  <c r="E113" i="59" s="1"/>
  <c r="T12" i="59"/>
  <c r="D113" i="59" s="1"/>
  <c r="S12" i="59"/>
  <c r="C113" i="59" s="1"/>
  <c r="R12" i="59"/>
  <c r="B113" i="59" s="1"/>
  <c r="Q12" i="59"/>
  <c r="AA11" i="59"/>
  <c r="K103" i="59" s="1"/>
  <c r="Z11" i="59"/>
  <c r="J103" i="59" s="1"/>
  <c r="Y11" i="59"/>
  <c r="I103" i="59" s="1"/>
  <c r="V11" i="59"/>
  <c r="F103" i="59" s="1"/>
  <c r="U11" i="59"/>
  <c r="E103" i="59" s="1"/>
  <c r="T11" i="59"/>
  <c r="D103" i="59" s="1"/>
  <c r="S11" i="59"/>
  <c r="C103" i="59" s="1"/>
  <c r="R11" i="59"/>
  <c r="B103" i="59" s="1"/>
  <c r="Q11" i="59"/>
  <c r="AA10" i="59"/>
  <c r="Z10" i="59"/>
  <c r="Y10" i="59"/>
  <c r="V10" i="59"/>
  <c r="U10" i="59"/>
  <c r="T10" i="59"/>
  <c r="S10" i="59"/>
  <c r="R10" i="59"/>
  <c r="Q10" i="59"/>
  <c r="AA9" i="59"/>
  <c r="K109" i="59" s="1"/>
  <c r="Z9" i="59"/>
  <c r="J109" i="59" s="1"/>
  <c r="Y9" i="59"/>
  <c r="I109" i="59" s="1"/>
  <c r="V9" i="59"/>
  <c r="F109" i="59" s="1"/>
  <c r="U9" i="59"/>
  <c r="E109" i="59" s="1"/>
  <c r="T9" i="59"/>
  <c r="D109" i="59" s="1"/>
  <c r="S9" i="59"/>
  <c r="C109" i="59" s="1"/>
  <c r="R9" i="59"/>
  <c r="B109" i="59" s="1"/>
  <c r="Q9" i="59"/>
  <c r="AA8" i="59"/>
  <c r="K108" i="59" s="1"/>
  <c r="Z8" i="59"/>
  <c r="J108" i="59" s="1"/>
  <c r="Y8" i="59"/>
  <c r="I108" i="59" s="1"/>
  <c r="V8" i="59"/>
  <c r="F108" i="59" s="1"/>
  <c r="U8" i="59"/>
  <c r="E108" i="59" s="1"/>
  <c r="T8" i="59"/>
  <c r="D108" i="59" s="1"/>
  <c r="S8" i="59"/>
  <c r="C108" i="59" s="1"/>
  <c r="R8" i="59"/>
  <c r="B108" i="59" s="1"/>
  <c r="Q8" i="59"/>
  <c r="AA7" i="59"/>
  <c r="Z7" i="59"/>
  <c r="Y7" i="59"/>
  <c r="V7" i="59"/>
  <c r="U7" i="59"/>
  <c r="T7" i="59"/>
  <c r="S7" i="59"/>
  <c r="R7" i="59"/>
  <c r="Q7" i="59"/>
  <c r="AA6" i="59"/>
  <c r="K107" i="59" s="1"/>
  <c r="Z6" i="59"/>
  <c r="J107" i="59" s="1"/>
  <c r="Y6" i="59"/>
  <c r="I107" i="59" s="1"/>
  <c r="V6" i="59"/>
  <c r="F107" i="59" s="1"/>
  <c r="U6" i="59"/>
  <c r="E107" i="59" s="1"/>
  <c r="T6" i="59"/>
  <c r="D107" i="59" s="1"/>
  <c r="S6" i="59"/>
  <c r="C107" i="59" s="1"/>
  <c r="R6" i="59"/>
  <c r="B107" i="59" s="1"/>
  <c r="Q6" i="59"/>
  <c r="AA5" i="59"/>
  <c r="Z5" i="59"/>
  <c r="Y5" i="59"/>
  <c r="V5" i="59"/>
  <c r="U5" i="59"/>
  <c r="T5" i="59"/>
  <c r="S5" i="59"/>
  <c r="R5" i="59"/>
  <c r="Q5" i="59"/>
  <c r="AA4" i="59"/>
  <c r="K102" i="59" s="1"/>
  <c r="Z4" i="59"/>
  <c r="J102" i="59" s="1"/>
  <c r="Y4" i="59"/>
  <c r="I102" i="59" s="1"/>
  <c r="V4" i="59"/>
  <c r="F102" i="59" s="1"/>
  <c r="U4" i="59"/>
  <c r="E102" i="59" s="1"/>
  <c r="T4" i="59"/>
  <c r="D102" i="59" s="1"/>
  <c r="S4" i="59"/>
  <c r="C102" i="59" s="1"/>
  <c r="R4" i="59"/>
  <c r="B102" i="59" s="1"/>
  <c r="Q4" i="59"/>
  <c r="AF33" i="58"/>
  <c r="AE33" i="58"/>
  <c r="X32" i="58"/>
  <c r="W32" i="58"/>
  <c r="V32" i="58"/>
  <c r="Y32" i="58" s="1"/>
  <c r="AJ31" i="58"/>
  <c r="AE31" i="58"/>
  <c r="Z32" i="58" s="1"/>
  <c r="AD31" i="58"/>
  <c r="AI31" i="58" s="1"/>
  <c r="AC31" i="58"/>
  <c r="R31" i="58"/>
  <c r="Q31" i="58"/>
  <c r="S31" i="58" s="1"/>
  <c r="T31" i="58" s="1"/>
  <c r="S32" i="58" s="1"/>
  <c r="Y30" i="58"/>
  <c r="X30" i="58"/>
  <c r="W30" i="58"/>
  <c r="V30" i="58"/>
  <c r="AJ29" i="58"/>
  <c r="AE29" i="58"/>
  <c r="AF29" i="58" s="1"/>
  <c r="AD29" i="58"/>
  <c r="AI29" i="58" s="1"/>
  <c r="AC29" i="58"/>
  <c r="S29" i="58"/>
  <c r="T29" i="58" s="1"/>
  <c r="S30" i="58" s="1"/>
  <c r="Z30" i="58" s="1"/>
  <c r="R29" i="58"/>
  <c r="Q29" i="58"/>
  <c r="Y28" i="58"/>
  <c r="X28" i="58"/>
  <c r="W28" i="58"/>
  <c r="V28" i="58"/>
  <c r="AJ27" i="58"/>
  <c r="AE27" i="58"/>
  <c r="Z28" i="58" s="1"/>
  <c r="AD27" i="58"/>
  <c r="AI27" i="58" s="1"/>
  <c r="AC27" i="58"/>
  <c r="R27" i="58"/>
  <c r="Q27" i="58"/>
  <c r="S27" i="58" s="1"/>
  <c r="T27" i="58" s="1"/>
  <c r="S28" i="58" s="1"/>
  <c r="X26" i="58"/>
  <c r="W26" i="58"/>
  <c r="Y26" i="58" s="1"/>
  <c r="V26" i="58"/>
  <c r="AJ25" i="58"/>
  <c r="AE25" i="58"/>
  <c r="AD25" i="58"/>
  <c r="AC25" i="58"/>
  <c r="S25" i="58"/>
  <c r="T25" i="58" s="1"/>
  <c r="S26" i="58" s="1"/>
  <c r="R25" i="58"/>
  <c r="Q25" i="58"/>
  <c r="X24" i="58"/>
  <c r="W24" i="58"/>
  <c r="Y24" i="58" s="1"/>
  <c r="V24" i="58"/>
  <c r="AJ23" i="58"/>
  <c r="AE23" i="58"/>
  <c r="AF23" i="58" s="1"/>
  <c r="AD23" i="58"/>
  <c r="AC23" i="58"/>
  <c r="S23" i="58"/>
  <c r="T23" i="58" s="1"/>
  <c r="S24" i="58" s="1"/>
  <c r="R23" i="58"/>
  <c r="Q23" i="58"/>
  <c r="X22" i="58"/>
  <c r="W22" i="58"/>
  <c r="V22" i="58"/>
  <c r="AJ21" i="58"/>
  <c r="AD21" i="58"/>
  <c r="AC21" i="58"/>
  <c r="AE21" i="58" s="1"/>
  <c r="R21" i="58"/>
  <c r="X121" i="59" s="1"/>
  <c r="H61" i="59" s="1"/>
  <c r="Q21" i="58"/>
  <c r="X20" i="58"/>
  <c r="W20" i="58"/>
  <c r="V20" i="58"/>
  <c r="AJ19" i="58"/>
  <c r="AD19" i="58"/>
  <c r="AC19" i="58"/>
  <c r="AE19" i="58" s="1"/>
  <c r="R19" i="58"/>
  <c r="X120" i="59" s="1"/>
  <c r="H55" i="59" s="1"/>
  <c r="Q19" i="58"/>
  <c r="X18" i="58"/>
  <c r="W18" i="58"/>
  <c r="V18" i="58"/>
  <c r="AJ17" i="58"/>
  <c r="AD17" i="58"/>
  <c r="AC17" i="58"/>
  <c r="AE17" i="58" s="1"/>
  <c r="X119" i="59"/>
  <c r="H49" i="59" s="1"/>
  <c r="Q17" i="58"/>
  <c r="X16" i="58"/>
  <c r="W16" i="58"/>
  <c r="V16" i="58"/>
  <c r="AJ15" i="58"/>
  <c r="AD15" i="58"/>
  <c r="AC15" i="58"/>
  <c r="AE15" i="58" s="1"/>
  <c r="R15" i="58"/>
  <c r="X118" i="59" s="1"/>
  <c r="H42" i="59" s="1"/>
  <c r="Q15" i="58"/>
  <c r="X14" i="58"/>
  <c r="W14" i="58"/>
  <c r="V14" i="58"/>
  <c r="AJ13" i="58"/>
  <c r="AD13" i="58"/>
  <c r="AC13" i="58"/>
  <c r="AE13" i="58" s="1"/>
  <c r="R13" i="58"/>
  <c r="X117" i="59" s="1"/>
  <c r="H36" i="59" s="1"/>
  <c r="Q13" i="58"/>
  <c r="X12" i="58"/>
  <c r="W12" i="58"/>
  <c r="V12" i="58"/>
  <c r="AJ11" i="58"/>
  <c r="AE11" i="58"/>
  <c r="AD11" i="58"/>
  <c r="AC11" i="58"/>
  <c r="R11" i="58"/>
  <c r="X116" i="59" s="1"/>
  <c r="H60" i="59" s="1"/>
  <c r="Q11" i="58"/>
  <c r="X10" i="58"/>
  <c r="W10" i="58"/>
  <c r="V10" i="58"/>
  <c r="AJ9" i="58"/>
  <c r="AE9" i="58"/>
  <c r="AD9" i="58"/>
  <c r="AC9" i="58"/>
  <c r="R9" i="58"/>
  <c r="X115" i="59" s="1"/>
  <c r="H54" i="59" s="1"/>
  <c r="Q9" i="58"/>
  <c r="W115" i="59" s="1"/>
  <c r="G54" i="59" s="1"/>
  <c r="AF33" i="57"/>
  <c r="AE33" i="57"/>
  <c r="X32" i="57"/>
  <c r="W32" i="57"/>
  <c r="V32" i="57"/>
  <c r="AJ31" i="57"/>
  <c r="AE31" i="57"/>
  <c r="AD31" i="57"/>
  <c r="AC31" i="57"/>
  <c r="R31" i="57"/>
  <c r="X112" i="59" s="1"/>
  <c r="H37" i="59" s="1"/>
  <c r="Q31" i="57"/>
  <c r="W112" i="59" s="1"/>
  <c r="G37" i="59" s="1"/>
  <c r="X30" i="57"/>
  <c r="W30" i="57"/>
  <c r="V30" i="57"/>
  <c r="AJ29" i="57"/>
  <c r="AE29" i="57"/>
  <c r="AF29" i="57" s="1"/>
  <c r="AD29" i="57"/>
  <c r="AC29" i="57"/>
  <c r="R29" i="57"/>
  <c r="X111" i="59" s="1"/>
  <c r="H35" i="59" s="1"/>
  <c r="Q29" i="57"/>
  <c r="X28" i="57"/>
  <c r="W28" i="57"/>
  <c r="Y28" i="57" s="1"/>
  <c r="V28" i="57"/>
  <c r="AJ27" i="57"/>
  <c r="AD27" i="57"/>
  <c r="AI27" i="57" s="1"/>
  <c r="AC27" i="57"/>
  <c r="AE27" i="57" s="1"/>
  <c r="S27" i="57"/>
  <c r="T27" i="57" s="1"/>
  <c r="S28" i="57" s="1"/>
  <c r="R27" i="57"/>
  <c r="Q27" i="57"/>
  <c r="X26" i="57"/>
  <c r="W26" i="57"/>
  <c r="V26" i="57"/>
  <c r="AJ25" i="57"/>
  <c r="AE25" i="57"/>
  <c r="AD25" i="57"/>
  <c r="AI25" i="57" s="1"/>
  <c r="AC25" i="57"/>
  <c r="R25" i="57"/>
  <c r="X109" i="59" s="1"/>
  <c r="H48" i="59" s="1"/>
  <c r="Q25" i="57"/>
  <c r="X24" i="57"/>
  <c r="W24" i="57"/>
  <c r="V24" i="57"/>
  <c r="AJ23" i="57"/>
  <c r="AE23" i="57"/>
  <c r="AF23" i="57" s="1"/>
  <c r="AD23" i="57"/>
  <c r="AI23" i="57" s="1"/>
  <c r="AC23" i="57"/>
  <c r="R23" i="57"/>
  <c r="X108" i="59" s="1"/>
  <c r="Q23" i="57"/>
  <c r="W108" i="59" s="1"/>
  <c r="X22" i="57"/>
  <c r="W22" i="57"/>
  <c r="V22" i="57"/>
  <c r="AJ21" i="57"/>
  <c r="AD21" i="57"/>
  <c r="AI21" i="57" s="1"/>
  <c r="AC21" i="57"/>
  <c r="AE21" i="57" s="1"/>
  <c r="R21" i="57"/>
  <c r="X107" i="59" s="1"/>
  <c r="Q21" i="57"/>
  <c r="X20" i="57"/>
  <c r="W20" i="57"/>
  <c r="V20" i="57"/>
  <c r="AJ19" i="57"/>
  <c r="AD19" i="57"/>
  <c r="AI19" i="57" s="1"/>
  <c r="AC19" i="57"/>
  <c r="AE19" i="57" s="1"/>
  <c r="R19" i="57"/>
  <c r="Q19" i="57"/>
  <c r="S19" i="57" s="1"/>
  <c r="T19" i="57" s="1"/>
  <c r="S20" i="57" s="1"/>
  <c r="X18" i="57"/>
  <c r="W18" i="57"/>
  <c r="V18" i="57"/>
  <c r="AJ17" i="57"/>
  <c r="AE17" i="57"/>
  <c r="AF17" i="57" s="1"/>
  <c r="AG17" i="57" s="1"/>
  <c r="AD17" i="57"/>
  <c r="AC17" i="57"/>
  <c r="R17" i="57"/>
  <c r="X105" i="59" s="1"/>
  <c r="H41" i="59" s="1"/>
  <c r="Q17" i="57"/>
  <c r="X16" i="57"/>
  <c r="W16" i="57"/>
  <c r="V16" i="57"/>
  <c r="AJ15" i="57"/>
  <c r="AE15" i="57"/>
  <c r="AD15" i="57"/>
  <c r="AC15" i="57"/>
  <c r="R15" i="57"/>
  <c r="X104" i="59" s="1"/>
  <c r="Q15" i="57"/>
  <c r="X14" i="57"/>
  <c r="W14" i="57"/>
  <c r="V14" i="57"/>
  <c r="AJ13" i="57"/>
  <c r="AE13" i="57"/>
  <c r="AF13" i="57" s="1"/>
  <c r="AD13" i="57"/>
  <c r="AC13" i="57"/>
  <c r="R13" i="57"/>
  <c r="X103" i="59" s="1"/>
  <c r="Q13" i="57"/>
  <c r="W103" i="59" s="1"/>
  <c r="X12" i="57"/>
  <c r="W12" i="57"/>
  <c r="V12" i="57"/>
  <c r="AJ11" i="57"/>
  <c r="AD11" i="57"/>
  <c r="AC11" i="57"/>
  <c r="AE11" i="57" s="1"/>
  <c r="R11" i="57"/>
  <c r="X102" i="59" s="1"/>
  <c r="Q11" i="57"/>
  <c r="X10" i="57"/>
  <c r="W10" i="57"/>
  <c r="V10" i="57"/>
  <c r="AJ9" i="57"/>
  <c r="AE9" i="57"/>
  <c r="AF9" i="57" s="1"/>
  <c r="AD9" i="57"/>
  <c r="AC9" i="57"/>
  <c r="R9" i="57"/>
  <c r="X101" i="59" s="1"/>
  <c r="H34" i="59" s="1"/>
  <c r="Q9" i="57"/>
  <c r="AF33" i="56"/>
  <c r="AE33" i="56"/>
  <c r="X32" i="56"/>
  <c r="W32" i="56"/>
  <c r="V32" i="56"/>
  <c r="AJ31" i="56"/>
  <c r="AE31" i="56"/>
  <c r="AD31" i="56"/>
  <c r="AC31" i="56"/>
  <c r="R31" i="56"/>
  <c r="X98" i="59" s="1"/>
  <c r="H115" i="59" s="1"/>
  <c r="Q31" i="56"/>
  <c r="X30" i="56"/>
  <c r="W30" i="56"/>
  <c r="V30" i="56"/>
  <c r="AJ29" i="56"/>
  <c r="AE29" i="56"/>
  <c r="AF29" i="56" s="1"/>
  <c r="AD29" i="56"/>
  <c r="AC29" i="56"/>
  <c r="R29" i="56"/>
  <c r="X97" i="59" s="1"/>
  <c r="H126" i="59" s="1"/>
  <c r="Q29" i="56"/>
  <c r="W97" i="59" s="1"/>
  <c r="G126" i="59" s="1"/>
  <c r="Y28" i="56"/>
  <c r="X28" i="56"/>
  <c r="W28" i="56"/>
  <c r="V28" i="56"/>
  <c r="AJ27" i="56"/>
  <c r="AE27" i="56"/>
  <c r="AD27" i="56"/>
  <c r="AI27" i="56" s="1"/>
  <c r="AC27" i="56"/>
  <c r="R27" i="56"/>
  <c r="Q27" i="56"/>
  <c r="S27" i="56" s="1"/>
  <c r="T27" i="56" s="1"/>
  <c r="S28" i="56" s="1"/>
  <c r="X26" i="56"/>
  <c r="W26" i="56"/>
  <c r="V26" i="56"/>
  <c r="AJ25" i="56"/>
  <c r="AD25" i="56"/>
  <c r="AI25" i="56" s="1"/>
  <c r="AC25" i="56"/>
  <c r="AE25" i="56" s="1"/>
  <c r="R25" i="56"/>
  <c r="X95" i="59" s="1"/>
  <c r="Q25" i="56"/>
  <c r="X24" i="56"/>
  <c r="W24" i="56"/>
  <c r="V24" i="56"/>
  <c r="AJ23" i="56"/>
  <c r="AE23" i="56"/>
  <c r="AF23" i="56" s="1"/>
  <c r="AD23" i="56"/>
  <c r="AI23" i="56" s="1"/>
  <c r="AC23" i="56"/>
  <c r="R23" i="56"/>
  <c r="X94" i="59" s="1"/>
  <c r="Q23" i="56"/>
  <c r="W94" i="59" s="1"/>
  <c r="X22" i="56"/>
  <c r="W22" i="56"/>
  <c r="V22" i="56"/>
  <c r="AJ21" i="56"/>
  <c r="AD21" i="56"/>
  <c r="AI21" i="56" s="1"/>
  <c r="AC21" i="56"/>
  <c r="AE21" i="56" s="1"/>
  <c r="R21" i="56"/>
  <c r="X93" i="59" s="1"/>
  <c r="H114" i="59" s="1"/>
  <c r="Q21" i="56"/>
  <c r="X20" i="56"/>
  <c r="Y20" i="56" s="1"/>
  <c r="W20" i="56"/>
  <c r="V20" i="56"/>
  <c r="AJ19" i="56"/>
  <c r="AI19" i="56"/>
  <c r="AD19" i="56"/>
  <c r="AC19" i="56"/>
  <c r="AE19" i="56" s="1"/>
  <c r="R19" i="56"/>
  <c r="Q19" i="56"/>
  <c r="S19" i="56" s="1"/>
  <c r="T19" i="56" s="1"/>
  <c r="S20" i="56" s="1"/>
  <c r="X18" i="56"/>
  <c r="W18" i="56"/>
  <c r="V18" i="56"/>
  <c r="AJ17" i="56"/>
  <c r="AD17" i="56"/>
  <c r="AC17" i="56"/>
  <c r="AE17" i="56" s="1"/>
  <c r="R17" i="56"/>
  <c r="X91" i="59" s="1"/>
  <c r="H121" i="59" s="1"/>
  <c r="Q17" i="56"/>
  <c r="X16" i="56"/>
  <c r="W16" i="56"/>
  <c r="V16" i="56"/>
  <c r="AJ15" i="56"/>
  <c r="AD15" i="56"/>
  <c r="AC15" i="56"/>
  <c r="AE15" i="56" s="1"/>
  <c r="R15" i="56"/>
  <c r="X90" i="59" s="1"/>
  <c r="Q15" i="56"/>
  <c r="Y14" i="56"/>
  <c r="X14" i="56"/>
  <c r="W14" i="56"/>
  <c r="V14" i="56"/>
  <c r="AJ13" i="56"/>
  <c r="AD13" i="56"/>
  <c r="AC13" i="56"/>
  <c r="AE13" i="56" s="1"/>
  <c r="AF13" i="56" s="1"/>
  <c r="R13" i="56"/>
  <c r="X89" i="59" s="1"/>
  <c r="H120" i="59" s="1"/>
  <c r="Q13" i="56"/>
  <c r="W89" i="59" s="1"/>
  <c r="G120" i="59" s="1"/>
  <c r="X12" i="56"/>
  <c r="W12" i="56"/>
  <c r="V12" i="56"/>
  <c r="AJ11" i="56"/>
  <c r="AD11" i="56"/>
  <c r="AC11" i="56"/>
  <c r="AE11" i="56" s="1"/>
  <c r="R11" i="56"/>
  <c r="X88" i="59" s="1"/>
  <c r="H125" i="59" s="1"/>
  <c r="Q11" i="56"/>
  <c r="X10" i="56"/>
  <c r="W10" i="56"/>
  <c r="Y10" i="56" s="1"/>
  <c r="V10" i="56"/>
  <c r="AJ9" i="56"/>
  <c r="AD9" i="56"/>
  <c r="AC9" i="56"/>
  <c r="AE9" i="56" s="1"/>
  <c r="S9" i="56"/>
  <c r="T9" i="56" s="1"/>
  <c r="S10" i="56" s="1"/>
  <c r="R9" i="56"/>
  <c r="Q9" i="56"/>
  <c r="AF33" i="55"/>
  <c r="AE33" i="55"/>
  <c r="X32" i="55"/>
  <c r="W32" i="55"/>
  <c r="V32" i="55"/>
  <c r="Y32" i="55" s="1"/>
  <c r="AJ31" i="55"/>
  <c r="AE31" i="55"/>
  <c r="Z32" i="55" s="1"/>
  <c r="AD31" i="55"/>
  <c r="AI31" i="55" s="1"/>
  <c r="AC31" i="55"/>
  <c r="R31" i="55"/>
  <c r="Q31" i="55"/>
  <c r="S31" i="55" s="1"/>
  <c r="T31" i="55" s="1"/>
  <c r="S32" i="55" s="1"/>
  <c r="Y30" i="55"/>
  <c r="X30" i="55"/>
  <c r="W30" i="55"/>
  <c r="V30" i="55"/>
  <c r="AJ29" i="55"/>
  <c r="AE29" i="55"/>
  <c r="AF29" i="55" s="1"/>
  <c r="AD29" i="55"/>
  <c r="AI29" i="55" s="1"/>
  <c r="AC29" i="55"/>
  <c r="S29" i="55"/>
  <c r="T29" i="55" s="1"/>
  <c r="S30" i="55" s="1"/>
  <c r="Z30" i="55" s="1"/>
  <c r="R29" i="55"/>
  <c r="Q29" i="55"/>
  <c r="Y28" i="55"/>
  <c r="X28" i="55"/>
  <c r="W28" i="55"/>
  <c r="V28" i="55"/>
  <c r="AJ27" i="55"/>
  <c r="AD27" i="55"/>
  <c r="AI27" i="55" s="1"/>
  <c r="AC27" i="55"/>
  <c r="AE27" i="55" s="1"/>
  <c r="S27" i="55"/>
  <c r="T27" i="55" s="1"/>
  <c r="S28" i="55" s="1"/>
  <c r="R27" i="55"/>
  <c r="Q27" i="55"/>
  <c r="X26" i="55"/>
  <c r="W26" i="55"/>
  <c r="Y26" i="55" s="1"/>
  <c r="V26" i="55"/>
  <c r="AJ25" i="55"/>
  <c r="AE25" i="55"/>
  <c r="Z26" i="55" s="1"/>
  <c r="AD25" i="55"/>
  <c r="AI25" i="55" s="1"/>
  <c r="AC25" i="55"/>
  <c r="R25" i="55"/>
  <c r="Q25" i="55"/>
  <c r="S25" i="55" s="1"/>
  <c r="T25" i="55" s="1"/>
  <c r="S26" i="55" s="1"/>
  <c r="X24" i="55"/>
  <c r="W24" i="55"/>
  <c r="Y24" i="55" s="1"/>
  <c r="V24" i="55"/>
  <c r="AJ23" i="55"/>
  <c r="AE23" i="55"/>
  <c r="AF23" i="55" s="1"/>
  <c r="AD23" i="55"/>
  <c r="AI23" i="55" s="1"/>
  <c r="AC23" i="55"/>
  <c r="S23" i="55"/>
  <c r="T23" i="55" s="1"/>
  <c r="S24" i="55" s="1"/>
  <c r="R23" i="55"/>
  <c r="Q23" i="55"/>
  <c r="X22" i="55"/>
  <c r="W22" i="55"/>
  <c r="V22" i="55"/>
  <c r="Y22" i="55" s="1"/>
  <c r="AJ21" i="55"/>
  <c r="AD21" i="55"/>
  <c r="AC21" i="55"/>
  <c r="AE21" i="55" s="1"/>
  <c r="S21" i="55"/>
  <c r="T21" i="55" s="1"/>
  <c r="S22" i="55" s="1"/>
  <c r="R21" i="55"/>
  <c r="Q21" i="55"/>
  <c r="X20" i="55"/>
  <c r="W20" i="55"/>
  <c r="V20" i="55"/>
  <c r="AJ19" i="55"/>
  <c r="AD19" i="55"/>
  <c r="AC19" i="55"/>
  <c r="AE19" i="55" s="1"/>
  <c r="R19" i="55"/>
  <c r="Q19" i="55"/>
  <c r="S19" i="55" s="1"/>
  <c r="T19" i="55" s="1"/>
  <c r="S20" i="55" s="1"/>
  <c r="X18" i="55"/>
  <c r="W18" i="55"/>
  <c r="V18" i="55"/>
  <c r="AJ17" i="55"/>
  <c r="AD17" i="55"/>
  <c r="AC17" i="55"/>
  <c r="AE17" i="55" s="1"/>
  <c r="R17" i="55"/>
  <c r="X77" i="59" s="1"/>
  <c r="H21" i="59" s="1"/>
  <c r="Q17" i="55"/>
  <c r="X16" i="55"/>
  <c r="W16" i="55"/>
  <c r="V16" i="55"/>
  <c r="AJ15" i="55"/>
  <c r="AE15" i="55"/>
  <c r="AD15" i="55"/>
  <c r="AC15" i="55"/>
  <c r="R15" i="55"/>
  <c r="X76" i="59" s="1"/>
  <c r="Q15" i="55"/>
  <c r="X14" i="55"/>
  <c r="W14" i="55"/>
  <c r="V14" i="55"/>
  <c r="AJ13" i="55"/>
  <c r="AE13" i="55"/>
  <c r="AF13" i="55" s="1"/>
  <c r="AD13" i="55"/>
  <c r="AC13" i="55"/>
  <c r="R13" i="55"/>
  <c r="X75" i="59" s="1"/>
  <c r="H15" i="59" s="1"/>
  <c r="Q13" i="55"/>
  <c r="W75" i="59" s="1"/>
  <c r="G15" i="59" s="1"/>
  <c r="X12" i="55"/>
  <c r="W12" i="55"/>
  <c r="V12" i="55"/>
  <c r="AJ11" i="55"/>
  <c r="AD11" i="55"/>
  <c r="AC11" i="55"/>
  <c r="AE11" i="55" s="1"/>
  <c r="R11" i="55"/>
  <c r="X74" i="59" s="1"/>
  <c r="H20" i="59" s="1"/>
  <c r="Q11" i="55"/>
  <c r="W74" i="59" s="1"/>
  <c r="G20" i="59" s="1"/>
  <c r="X10" i="55"/>
  <c r="W10" i="55"/>
  <c r="V10" i="55"/>
  <c r="AJ9" i="55"/>
  <c r="AE9" i="55"/>
  <c r="AD9" i="55"/>
  <c r="AI9" i="55" s="1"/>
  <c r="AC9" i="55"/>
  <c r="R9" i="55"/>
  <c r="X73" i="59" s="1"/>
  <c r="H8" i="59" s="1"/>
  <c r="Q9" i="55"/>
  <c r="AF33" i="54"/>
  <c r="AE33" i="54"/>
  <c r="X32" i="54"/>
  <c r="W32" i="54"/>
  <c r="V32" i="54"/>
  <c r="Y32" i="54" s="1"/>
  <c r="AJ31" i="54"/>
  <c r="AE31" i="54"/>
  <c r="AD31" i="54"/>
  <c r="AI31" i="54" s="1"/>
  <c r="AC31" i="54"/>
  <c r="R31" i="54"/>
  <c r="Q31" i="54"/>
  <c r="S31" i="54" s="1"/>
  <c r="T31" i="54" s="1"/>
  <c r="S32" i="54" s="1"/>
  <c r="Y30" i="54"/>
  <c r="X30" i="54"/>
  <c r="W30" i="54"/>
  <c r="V30" i="54"/>
  <c r="AJ29" i="54"/>
  <c r="AE29" i="54"/>
  <c r="AF29" i="54" s="1"/>
  <c r="AD29" i="54"/>
  <c r="AI29" i="54" s="1"/>
  <c r="AC29" i="54"/>
  <c r="S29" i="54"/>
  <c r="T29" i="54" s="1"/>
  <c r="S30" i="54" s="1"/>
  <c r="Z30" i="54" s="1"/>
  <c r="R29" i="54"/>
  <c r="Q29" i="54"/>
  <c r="X28" i="54"/>
  <c r="Y28" i="54" s="1"/>
  <c r="W28" i="54"/>
  <c r="V28" i="54"/>
  <c r="AJ27" i="54"/>
  <c r="AD27" i="54"/>
  <c r="AC27" i="54"/>
  <c r="AE27" i="54" s="1"/>
  <c r="R27" i="54"/>
  <c r="X69" i="59" s="1"/>
  <c r="H26" i="59" s="1"/>
  <c r="Q27" i="54"/>
  <c r="X26" i="54"/>
  <c r="W26" i="54"/>
  <c r="V26" i="54"/>
  <c r="AJ25" i="54"/>
  <c r="AE25" i="54"/>
  <c r="AD25" i="54"/>
  <c r="AC25" i="54"/>
  <c r="R25" i="54"/>
  <c r="Q25" i="54"/>
  <c r="S25" i="54" s="1"/>
  <c r="T25" i="54" s="1"/>
  <c r="S26" i="54" s="1"/>
  <c r="X24" i="54"/>
  <c r="W24" i="54"/>
  <c r="V24" i="54"/>
  <c r="AJ23" i="54"/>
  <c r="AE23" i="54"/>
  <c r="AF23" i="54" s="1"/>
  <c r="AD23" i="54"/>
  <c r="AC23" i="54"/>
  <c r="R23" i="54"/>
  <c r="X67" i="59" s="1"/>
  <c r="H25" i="59" s="1"/>
  <c r="Q23" i="54"/>
  <c r="W67" i="59" s="1"/>
  <c r="G25" i="59" s="1"/>
  <c r="X22" i="54"/>
  <c r="W22" i="54"/>
  <c r="V22" i="54"/>
  <c r="AJ21" i="54"/>
  <c r="AD21" i="54"/>
  <c r="AC21" i="54"/>
  <c r="AE21" i="54" s="1"/>
  <c r="R21" i="54"/>
  <c r="X66" i="59" s="1"/>
  <c r="H7" i="59" s="1"/>
  <c r="Q21" i="54"/>
  <c r="W66" i="59" s="1"/>
  <c r="G7" i="59" s="1"/>
  <c r="X20" i="54"/>
  <c r="W20" i="54"/>
  <c r="V20" i="54"/>
  <c r="AJ19" i="54"/>
  <c r="AD19" i="54"/>
  <c r="AC19" i="54"/>
  <c r="AE19" i="54" s="1"/>
  <c r="R19" i="54"/>
  <c r="X65" i="59" s="1"/>
  <c r="Q19" i="54"/>
  <c r="X18" i="54"/>
  <c r="W18" i="54"/>
  <c r="Y18" i="54" s="1"/>
  <c r="V18" i="54"/>
  <c r="AJ17" i="54"/>
  <c r="AI17" i="54"/>
  <c r="AD17" i="54"/>
  <c r="AC17" i="54"/>
  <c r="AE17" i="54" s="1"/>
  <c r="R17" i="54"/>
  <c r="Q17" i="54"/>
  <c r="S17" i="54" s="1"/>
  <c r="T17" i="54" s="1"/>
  <c r="S18" i="54" s="1"/>
  <c r="X16" i="54"/>
  <c r="W16" i="54"/>
  <c r="V16" i="54"/>
  <c r="AJ15" i="54"/>
  <c r="AE15" i="54"/>
  <c r="AD15" i="54"/>
  <c r="AC15" i="54"/>
  <c r="R15" i="54"/>
  <c r="X63" i="59" s="1"/>
  <c r="Q15" i="54"/>
  <c r="X14" i="54"/>
  <c r="W14" i="54"/>
  <c r="V14" i="54"/>
  <c r="AJ13" i="54"/>
  <c r="AE13" i="54"/>
  <c r="AF13" i="54" s="1"/>
  <c r="AD13" i="54"/>
  <c r="AC13" i="54"/>
  <c r="R13" i="54"/>
  <c r="X61" i="59" s="1"/>
  <c r="H19" i="59" s="1"/>
  <c r="Q13" i="54"/>
  <c r="W61" i="59" s="1"/>
  <c r="G19" i="59" s="1"/>
  <c r="X12" i="54"/>
  <c r="W12" i="54"/>
  <c r="V12" i="54"/>
  <c r="AJ11" i="54"/>
  <c r="AD11" i="54"/>
  <c r="AC11" i="54"/>
  <c r="AE11" i="54" s="1"/>
  <c r="R11" i="54"/>
  <c r="X60" i="59" s="1"/>
  <c r="H14" i="59" s="1"/>
  <c r="Q11" i="54"/>
  <c r="X10" i="54"/>
  <c r="W10" i="54"/>
  <c r="V10" i="54"/>
  <c r="AJ9" i="54"/>
  <c r="AE9" i="54"/>
  <c r="AD9" i="54"/>
  <c r="AC9" i="54"/>
  <c r="R9" i="54"/>
  <c r="X59" i="59" s="1"/>
  <c r="H13" i="59" s="1"/>
  <c r="Q9" i="54"/>
  <c r="AF33" i="53"/>
  <c r="AE33" i="53"/>
  <c r="X32" i="53"/>
  <c r="W32" i="53"/>
  <c r="V32" i="53"/>
  <c r="Y32" i="53" s="1"/>
  <c r="AJ31" i="53"/>
  <c r="AE31" i="53"/>
  <c r="Z32" i="53" s="1"/>
  <c r="AD31" i="53"/>
  <c r="AI31" i="53" s="1"/>
  <c r="AC31" i="53"/>
  <c r="R31" i="53"/>
  <c r="Q31" i="53"/>
  <c r="S31" i="53" s="1"/>
  <c r="T31" i="53" s="1"/>
  <c r="S32" i="53" s="1"/>
  <c r="Y30" i="53"/>
  <c r="X30" i="53"/>
  <c r="W30" i="53"/>
  <c r="V30" i="53"/>
  <c r="AJ29" i="53"/>
  <c r="AD29" i="53"/>
  <c r="AI29" i="53" s="1"/>
  <c r="AC29" i="53"/>
  <c r="AE29" i="53" s="1"/>
  <c r="S29" i="53"/>
  <c r="T29" i="53" s="1"/>
  <c r="S30" i="53" s="1"/>
  <c r="R29" i="53"/>
  <c r="Q29" i="53"/>
  <c r="Y28" i="53"/>
  <c r="X28" i="53"/>
  <c r="W28" i="53"/>
  <c r="V28" i="53"/>
  <c r="AJ27" i="53"/>
  <c r="AG27" i="53"/>
  <c r="AF27" i="53"/>
  <c r="AH27" i="53" s="1"/>
  <c r="AE27" i="53"/>
  <c r="Z28" i="53" s="1"/>
  <c r="AD27" i="53"/>
  <c r="AI27" i="53" s="1"/>
  <c r="AC27" i="53"/>
  <c r="U27" i="53"/>
  <c r="R27" i="53"/>
  <c r="Q27" i="53"/>
  <c r="S27" i="53" s="1"/>
  <c r="T27" i="53" s="1"/>
  <c r="S28" i="53" s="1"/>
  <c r="X26" i="53"/>
  <c r="W26" i="53"/>
  <c r="V26" i="53"/>
  <c r="AJ25" i="53"/>
  <c r="AE25" i="53"/>
  <c r="AD25" i="53"/>
  <c r="AC25" i="53"/>
  <c r="R25" i="53"/>
  <c r="X53" i="59" s="1"/>
  <c r="H75" i="59" s="1"/>
  <c r="Q25" i="53"/>
  <c r="S25" i="53" s="1"/>
  <c r="T25" i="53" s="1"/>
  <c r="S26" i="53" s="1"/>
  <c r="X24" i="53"/>
  <c r="W24" i="53"/>
  <c r="V24" i="53"/>
  <c r="AJ23" i="53"/>
  <c r="AE23" i="53"/>
  <c r="AF23" i="53" s="1"/>
  <c r="AD23" i="53"/>
  <c r="AC23" i="53"/>
  <c r="R23" i="53"/>
  <c r="X52" i="59" s="1"/>
  <c r="H78" i="59" s="1"/>
  <c r="Q23" i="53"/>
  <c r="X22" i="53"/>
  <c r="W22" i="53"/>
  <c r="Y22" i="53" s="1"/>
  <c r="V22" i="53"/>
  <c r="AJ21" i="53"/>
  <c r="AD21" i="53"/>
  <c r="AC21" i="53"/>
  <c r="AE21" i="53" s="1"/>
  <c r="R21" i="53"/>
  <c r="X51" i="59" s="1"/>
  <c r="Q21" i="53"/>
  <c r="X20" i="53"/>
  <c r="W20" i="53"/>
  <c r="V20" i="53"/>
  <c r="AJ19" i="53"/>
  <c r="AD19" i="53"/>
  <c r="AC19" i="53"/>
  <c r="AE19" i="53" s="1"/>
  <c r="R19" i="53"/>
  <c r="X50" i="59" s="1"/>
  <c r="Q19" i="53"/>
  <c r="X18" i="53"/>
  <c r="W18" i="53"/>
  <c r="V18" i="53"/>
  <c r="AJ17" i="53"/>
  <c r="AE17" i="53"/>
  <c r="AD17" i="53"/>
  <c r="AC17" i="53"/>
  <c r="R17" i="53"/>
  <c r="X49" i="59" s="1"/>
  <c r="H97" i="59" s="1"/>
  <c r="Q17" i="53"/>
  <c r="X16" i="53"/>
  <c r="W16" i="53"/>
  <c r="V16" i="53"/>
  <c r="AJ15" i="53"/>
  <c r="AE15" i="53"/>
  <c r="AF15" i="53" s="1"/>
  <c r="AD15" i="53"/>
  <c r="AC15" i="53"/>
  <c r="R15" i="53"/>
  <c r="X48" i="59" s="1"/>
  <c r="Q15" i="53"/>
  <c r="X14" i="53"/>
  <c r="W14" i="53"/>
  <c r="V14" i="53"/>
  <c r="AJ13" i="53"/>
  <c r="AD13" i="53"/>
  <c r="AC13" i="53"/>
  <c r="AE13" i="53" s="1"/>
  <c r="R13" i="53"/>
  <c r="X47" i="59" s="1"/>
  <c r="H76" i="59" s="1"/>
  <c r="Q13" i="53"/>
  <c r="X12" i="53"/>
  <c r="W12" i="53"/>
  <c r="V12" i="53"/>
  <c r="AJ11" i="53"/>
  <c r="AE11" i="53"/>
  <c r="AD11" i="53"/>
  <c r="AC11" i="53"/>
  <c r="R11" i="53"/>
  <c r="X46" i="59" s="1"/>
  <c r="Q11" i="53"/>
  <c r="X10" i="53"/>
  <c r="W10" i="53"/>
  <c r="Y10" i="53" s="1"/>
  <c r="V10" i="53"/>
  <c r="AJ9" i="53"/>
  <c r="AE9" i="53"/>
  <c r="AD9" i="53"/>
  <c r="AC9" i="53"/>
  <c r="R9" i="53"/>
  <c r="H96" i="59" s="1"/>
  <c r="Q9" i="53"/>
  <c r="S9" i="53" s="1"/>
  <c r="T9" i="53" s="1"/>
  <c r="S10" i="53" s="1"/>
  <c r="AF33" i="52"/>
  <c r="AE33" i="52"/>
  <c r="X32" i="52"/>
  <c r="Y32" i="52" s="1"/>
  <c r="W32" i="52"/>
  <c r="V32" i="52"/>
  <c r="AJ31" i="52"/>
  <c r="AD31" i="52"/>
  <c r="AI31" i="52" s="1"/>
  <c r="AC31" i="52"/>
  <c r="AE31" i="52" s="1"/>
  <c r="R31" i="52"/>
  <c r="Q31" i="52"/>
  <c r="S31" i="52" s="1"/>
  <c r="T31" i="52" s="1"/>
  <c r="S32" i="52" s="1"/>
  <c r="Y30" i="52"/>
  <c r="X30" i="52"/>
  <c r="W30" i="52"/>
  <c r="V30" i="52"/>
  <c r="AJ29" i="52"/>
  <c r="AG29" i="52"/>
  <c r="AF29" i="52"/>
  <c r="AH29" i="52" s="1"/>
  <c r="AE29" i="52"/>
  <c r="Z30" i="52" s="1"/>
  <c r="AD29" i="52"/>
  <c r="AI29" i="52" s="1"/>
  <c r="AC29" i="52"/>
  <c r="U29" i="52"/>
  <c r="R29" i="52"/>
  <c r="Q29" i="52"/>
  <c r="S29" i="52" s="1"/>
  <c r="T29" i="52" s="1"/>
  <c r="S30" i="52" s="1"/>
  <c r="X28" i="52"/>
  <c r="W28" i="52"/>
  <c r="V28" i="52"/>
  <c r="Y28" i="52" s="1"/>
  <c r="AJ27" i="52"/>
  <c r="AE27" i="52"/>
  <c r="AD27" i="52"/>
  <c r="AC27" i="52"/>
  <c r="R27" i="52"/>
  <c r="Q27" i="52"/>
  <c r="S27" i="52" s="1"/>
  <c r="T27" i="52" s="1"/>
  <c r="S28" i="52" s="1"/>
  <c r="X26" i="52"/>
  <c r="W26" i="52"/>
  <c r="V26" i="52"/>
  <c r="AJ25" i="52"/>
  <c r="AE25" i="52"/>
  <c r="AF25" i="52" s="1"/>
  <c r="AD25" i="52"/>
  <c r="AC25" i="52"/>
  <c r="R25" i="52"/>
  <c r="X39" i="59" s="1"/>
  <c r="Q25" i="52"/>
  <c r="W39" i="59" s="1"/>
  <c r="X24" i="52"/>
  <c r="W24" i="52"/>
  <c r="V24" i="52"/>
  <c r="AJ23" i="52"/>
  <c r="AD23" i="52"/>
  <c r="AC23" i="52"/>
  <c r="AE23" i="52" s="1"/>
  <c r="R23" i="52"/>
  <c r="X38" i="59" s="1"/>
  <c r="H70" i="59" s="1"/>
  <c r="Q23" i="52"/>
  <c r="X22" i="52"/>
  <c r="W22" i="52"/>
  <c r="V22" i="52"/>
  <c r="AJ21" i="52"/>
  <c r="AD21" i="52"/>
  <c r="AC21" i="52"/>
  <c r="AE21" i="52" s="1"/>
  <c r="R21" i="52"/>
  <c r="X37" i="59" s="1"/>
  <c r="H84" i="59" s="1"/>
  <c r="Q21" i="52"/>
  <c r="X20" i="52"/>
  <c r="W20" i="52"/>
  <c r="V20" i="52"/>
  <c r="AJ19" i="52"/>
  <c r="AE19" i="52"/>
  <c r="AD19" i="52"/>
  <c r="AC19" i="52"/>
  <c r="R19" i="52"/>
  <c r="X36" i="59" s="1"/>
  <c r="H95" i="59" s="1"/>
  <c r="Q19" i="52"/>
  <c r="X18" i="52"/>
  <c r="W18" i="52"/>
  <c r="V18" i="52"/>
  <c r="AJ17" i="52"/>
  <c r="AE17" i="52"/>
  <c r="AF17" i="52" s="1"/>
  <c r="AD17" i="52"/>
  <c r="AC17" i="52"/>
  <c r="R17" i="52"/>
  <c r="X35" i="59" s="1"/>
  <c r="H90" i="59" s="1"/>
  <c r="Q17" i="52"/>
  <c r="W35" i="59" s="1"/>
  <c r="G90" i="59" s="1"/>
  <c r="X16" i="52"/>
  <c r="W16" i="52"/>
  <c r="V16" i="52"/>
  <c r="AJ15" i="52"/>
  <c r="AD15" i="52"/>
  <c r="AC15" i="52"/>
  <c r="AE15" i="52" s="1"/>
  <c r="R15" i="52"/>
  <c r="X34" i="59" s="1"/>
  <c r="Q15" i="52"/>
  <c r="X14" i="52"/>
  <c r="W14" i="52"/>
  <c r="V14" i="52"/>
  <c r="AJ13" i="52"/>
  <c r="AD13" i="52"/>
  <c r="AC13" i="52"/>
  <c r="AE13" i="52" s="1"/>
  <c r="R13" i="52"/>
  <c r="X33" i="59" s="1"/>
  <c r="H89" i="59" s="1"/>
  <c r="Q13" i="52"/>
  <c r="X12" i="52"/>
  <c r="W12" i="52"/>
  <c r="V12" i="52"/>
  <c r="Y12" i="52" s="1"/>
  <c r="AJ11" i="52"/>
  <c r="AE11" i="52"/>
  <c r="AD11" i="52"/>
  <c r="AC11" i="52"/>
  <c r="R11" i="52"/>
  <c r="H94" i="59" s="1"/>
  <c r="Q11" i="52"/>
  <c r="X10" i="52"/>
  <c r="V10" i="52"/>
  <c r="AJ9" i="52"/>
  <c r="AE9" i="52"/>
  <c r="AD9" i="52"/>
  <c r="AC9" i="52"/>
  <c r="R9" i="52"/>
  <c r="X31" i="59" s="1"/>
  <c r="H88" i="59" s="1"/>
  <c r="Q9" i="52"/>
  <c r="AF33" i="51"/>
  <c r="AE33" i="51"/>
  <c r="X32" i="51"/>
  <c r="W32" i="51"/>
  <c r="Y32" i="51" s="1"/>
  <c r="V32" i="51"/>
  <c r="AJ31" i="51"/>
  <c r="AD31" i="51"/>
  <c r="AI31" i="51" s="1"/>
  <c r="AC31" i="51"/>
  <c r="AE31" i="51" s="1"/>
  <c r="AF31" i="51" s="1"/>
  <c r="AH31" i="51" s="1"/>
  <c r="R31" i="51"/>
  <c r="Q31" i="51"/>
  <c r="S31" i="51" s="1"/>
  <c r="T31" i="51" s="1"/>
  <c r="S32" i="51" s="1"/>
  <c r="X30" i="51"/>
  <c r="W30" i="51"/>
  <c r="V30" i="51"/>
  <c r="AJ29" i="51"/>
  <c r="AD29" i="51"/>
  <c r="AI29" i="51" s="1"/>
  <c r="AC29" i="51"/>
  <c r="AE29" i="51" s="1"/>
  <c r="AF29" i="51" s="1"/>
  <c r="AH29" i="51" s="1"/>
  <c r="R29" i="51"/>
  <c r="Q29" i="51"/>
  <c r="S29" i="51" s="1"/>
  <c r="T29" i="51" s="1"/>
  <c r="S30" i="51" s="1"/>
  <c r="X28" i="51"/>
  <c r="W28" i="51"/>
  <c r="V28" i="51"/>
  <c r="Y28" i="51" s="1"/>
  <c r="AJ27" i="51"/>
  <c r="AI27" i="51"/>
  <c r="AD27" i="51"/>
  <c r="AC27" i="51"/>
  <c r="AE27" i="51" s="1"/>
  <c r="S27" i="51"/>
  <c r="T27" i="51" s="1"/>
  <c r="S28" i="51" s="1"/>
  <c r="R27" i="51"/>
  <c r="Q27" i="51"/>
  <c r="X26" i="51"/>
  <c r="W26" i="51"/>
  <c r="V26" i="51"/>
  <c r="AJ25" i="51"/>
  <c r="AD25" i="51"/>
  <c r="AI25" i="51" s="1"/>
  <c r="AC25" i="51"/>
  <c r="AE25" i="51" s="1"/>
  <c r="R25" i="51"/>
  <c r="Q25" i="51"/>
  <c r="S25" i="51" s="1"/>
  <c r="T25" i="51" s="1"/>
  <c r="S26" i="51" s="1"/>
  <c r="X24" i="51"/>
  <c r="W24" i="51"/>
  <c r="Y24" i="51" s="1"/>
  <c r="V24" i="51"/>
  <c r="AJ23" i="51"/>
  <c r="AD23" i="51"/>
  <c r="AI23" i="51" s="1"/>
  <c r="AC23" i="51"/>
  <c r="AE23" i="51" s="1"/>
  <c r="AF23" i="51" s="1"/>
  <c r="R23" i="51"/>
  <c r="Q23" i="51"/>
  <c r="S23" i="51" s="1"/>
  <c r="T23" i="51" s="1"/>
  <c r="S24" i="51" s="1"/>
  <c r="X22" i="51"/>
  <c r="W22" i="51"/>
  <c r="V22" i="51"/>
  <c r="AJ21" i="51"/>
  <c r="AD21" i="51"/>
  <c r="AC21" i="51"/>
  <c r="AE21" i="51" s="1"/>
  <c r="AF21" i="51" s="1"/>
  <c r="R21" i="51"/>
  <c r="X23" i="59" s="1"/>
  <c r="H77" i="59" s="1"/>
  <c r="Q21" i="51"/>
  <c r="X20" i="51"/>
  <c r="W20" i="51"/>
  <c r="V20" i="51"/>
  <c r="AJ19" i="51"/>
  <c r="AD19" i="51"/>
  <c r="AC19" i="51"/>
  <c r="AE19" i="51" s="1"/>
  <c r="R19" i="51"/>
  <c r="X22" i="59" s="1"/>
  <c r="Q19" i="51"/>
  <c r="W22" i="59" s="1"/>
  <c r="X18" i="51"/>
  <c r="W18" i="51"/>
  <c r="V18" i="51"/>
  <c r="AJ17" i="51"/>
  <c r="AD17" i="51"/>
  <c r="AC17" i="51"/>
  <c r="AE17" i="51" s="1"/>
  <c r="R17" i="51"/>
  <c r="X21" i="59" s="1"/>
  <c r="Q17" i="51"/>
  <c r="X16" i="51"/>
  <c r="W16" i="51"/>
  <c r="V16" i="51"/>
  <c r="AJ15" i="51"/>
  <c r="AD15" i="51"/>
  <c r="AC15" i="51"/>
  <c r="AE15" i="51" s="1"/>
  <c r="AF15" i="51" s="1"/>
  <c r="R15" i="51"/>
  <c r="X20" i="59" s="1"/>
  <c r="H83" i="59" s="1"/>
  <c r="Q15" i="51"/>
  <c r="X14" i="51"/>
  <c r="W14" i="51"/>
  <c r="V14" i="51"/>
  <c r="AJ13" i="51"/>
  <c r="AD13" i="51"/>
  <c r="AC13" i="51"/>
  <c r="AE13" i="51" s="1"/>
  <c r="AF13" i="51" s="1"/>
  <c r="R13" i="51"/>
  <c r="X19" i="59" s="1"/>
  <c r="Q13" i="51"/>
  <c r="X12" i="51"/>
  <c r="W12" i="51"/>
  <c r="V12" i="51"/>
  <c r="AJ11" i="51"/>
  <c r="AD11" i="51"/>
  <c r="AC11" i="51"/>
  <c r="AE11" i="51" s="1"/>
  <c r="R11" i="51"/>
  <c r="Q11" i="51"/>
  <c r="S11" i="51" s="1"/>
  <c r="T11" i="51" s="1"/>
  <c r="S12" i="51" s="1"/>
  <c r="X10" i="51"/>
  <c r="W10" i="51"/>
  <c r="V10" i="51"/>
  <c r="AJ9" i="51"/>
  <c r="AD9" i="51"/>
  <c r="AC9" i="51"/>
  <c r="AE9" i="51" s="1"/>
  <c r="R9" i="51"/>
  <c r="X17" i="59" s="1"/>
  <c r="H69" i="59" s="1"/>
  <c r="Q9" i="51"/>
  <c r="Y24" i="34" l="1"/>
  <c r="Y20" i="58"/>
  <c r="Y10" i="58"/>
  <c r="Y22" i="58"/>
  <c r="Y14" i="58"/>
  <c r="Y12" i="58"/>
  <c r="S17" i="58"/>
  <c r="T17" i="58" s="1"/>
  <c r="S18" i="58" s="1"/>
  <c r="Z18" i="58" s="1"/>
  <c r="S19" i="58"/>
  <c r="T19" i="58" s="1"/>
  <c r="S20" i="58" s="1"/>
  <c r="Z20" i="58" s="1"/>
  <c r="S21" i="58"/>
  <c r="T21" i="58" s="1"/>
  <c r="S22" i="58" s="1"/>
  <c r="Z22" i="58" s="1"/>
  <c r="S11" i="58"/>
  <c r="T11" i="58" s="1"/>
  <c r="S12" i="58" s="1"/>
  <c r="Z12" i="58" s="1"/>
  <c r="Y30" i="57"/>
  <c r="Y26" i="57"/>
  <c r="Y24" i="57"/>
  <c r="Y10" i="57"/>
  <c r="Y12" i="57"/>
  <c r="S13" i="58"/>
  <c r="T13" i="58" s="1"/>
  <c r="S14" i="58" s="1"/>
  <c r="Z14" i="58" s="1"/>
  <c r="S15" i="58"/>
  <c r="T15" i="58" s="1"/>
  <c r="S16" i="58" s="1"/>
  <c r="Z16" i="58" s="1"/>
  <c r="Y14" i="57"/>
  <c r="W119" i="59"/>
  <c r="G49" i="59" s="1"/>
  <c r="W120" i="59"/>
  <c r="G55" i="59" s="1"/>
  <c r="S9" i="58"/>
  <c r="T9" i="58" s="1"/>
  <c r="S10" i="58" s="1"/>
  <c r="Z10" i="58" s="1"/>
  <c r="AB115" i="59" s="1"/>
  <c r="L54" i="59" s="1"/>
  <c r="W121" i="59"/>
  <c r="G61" i="59" s="1"/>
  <c r="W116" i="59"/>
  <c r="G60" i="59" s="1"/>
  <c r="W118" i="59"/>
  <c r="G42" i="59" s="1"/>
  <c r="W117" i="59"/>
  <c r="G36" i="59" s="1"/>
  <c r="S17" i="57"/>
  <c r="T17" i="57" s="1"/>
  <c r="S18" i="57" s="1"/>
  <c r="Z18" i="57" s="1"/>
  <c r="AB105" i="59" s="1"/>
  <c r="L41" i="59" s="1"/>
  <c r="S25" i="57"/>
  <c r="T25" i="57" s="1"/>
  <c r="S26" i="57" s="1"/>
  <c r="Z26" i="57" s="1"/>
  <c r="AB109" i="59" s="1"/>
  <c r="L48" i="59" s="1"/>
  <c r="S11" i="57"/>
  <c r="T11" i="57" s="1"/>
  <c r="S12" i="57" s="1"/>
  <c r="Z12" i="57" s="1"/>
  <c r="AB102" i="59" s="1"/>
  <c r="S21" i="57"/>
  <c r="T21" i="57" s="1"/>
  <c r="S22" i="57" s="1"/>
  <c r="Z22" i="57" s="1"/>
  <c r="AB107" i="59" s="1"/>
  <c r="S9" i="57"/>
  <c r="T9" i="57" s="1"/>
  <c r="S10" i="57" s="1"/>
  <c r="Z10" i="57" s="1"/>
  <c r="AB101" i="59" s="1"/>
  <c r="L34" i="59" s="1"/>
  <c r="S15" i="57"/>
  <c r="T15" i="57" s="1"/>
  <c r="S16" i="57" s="1"/>
  <c r="Z16" i="57" s="1"/>
  <c r="AB104" i="59" s="1"/>
  <c r="S29" i="57"/>
  <c r="T29" i="57" s="1"/>
  <c r="S30" i="57" s="1"/>
  <c r="Y24" i="56"/>
  <c r="Y26" i="56"/>
  <c r="Y30" i="56"/>
  <c r="Y12" i="56"/>
  <c r="S13" i="57"/>
  <c r="T13" i="57" s="1"/>
  <c r="S14" i="57" s="1"/>
  <c r="Z14" i="57" s="1"/>
  <c r="AB103" i="59" s="1"/>
  <c r="W107" i="59"/>
  <c r="W102" i="59"/>
  <c r="W105" i="59"/>
  <c r="G41" i="59" s="1"/>
  <c r="W109" i="59"/>
  <c r="G48" i="59" s="1"/>
  <c r="S23" i="57"/>
  <c r="T23" i="57" s="1"/>
  <c r="S24" i="57" s="1"/>
  <c r="Z24" i="57" s="1"/>
  <c r="AB108" i="59" s="1"/>
  <c r="W101" i="59"/>
  <c r="G34" i="59" s="1"/>
  <c r="W104" i="59"/>
  <c r="W111" i="59"/>
  <c r="G35" i="59" s="1"/>
  <c r="S15" i="56"/>
  <c r="T15" i="56" s="1"/>
  <c r="S16" i="56" s="1"/>
  <c r="Z16" i="56" s="1"/>
  <c r="AB90" i="59" s="1"/>
  <c r="S11" i="56"/>
  <c r="T11" i="56" s="1"/>
  <c r="S12" i="56" s="1"/>
  <c r="Z12" i="56" s="1"/>
  <c r="AB88" i="59" s="1"/>
  <c r="L125" i="59" s="1"/>
  <c r="S17" i="56"/>
  <c r="T17" i="56" s="1"/>
  <c r="S18" i="56" s="1"/>
  <c r="Z18" i="56" s="1"/>
  <c r="AB91" i="59" s="1"/>
  <c r="L121" i="59" s="1"/>
  <c r="S25" i="56"/>
  <c r="T25" i="56" s="1"/>
  <c r="S26" i="56" s="1"/>
  <c r="Z26" i="56" s="1"/>
  <c r="AB95" i="59" s="1"/>
  <c r="S31" i="56"/>
  <c r="T31" i="56" s="1"/>
  <c r="S32" i="56" s="1"/>
  <c r="S21" i="56"/>
  <c r="T21" i="56" s="1"/>
  <c r="S22" i="56" s="1"/>
  <c r="Z22" i="56" s="1"/>
  <c r="AB93" i="59" s="1"/>
  <c r="L114" i="59" s="1"/>
  <c r="W90" i="59"/>
  <c r="W88" i="59"/>
  <c r="G125" i="59" s="1"/>
  <c r="W91" i="59"/>
  <c r="G121" i="59" s="1"/>
  <c r="S13" i="56"/>
  <c r="T13" i="56" s="1"/>
  <c r="S14" i="56" s="1"/>
  <c r="Z14" i="56" s="1"/>
  <c r="AB89" i="59" s="1"/>
  <c r="L120" i="59" s="1"/>
  <c r="S23" i="56"/>
  <c r="T23" i="56" s="1"/>
  <c r="S24" i="56" s="1"/>
  <c r="Z24" i="56" s="1"/>
  <c r="AB94" i="59" s="1"/>
  <c r="W95" i="59"/>
  <c r="S29" i="56"/>
  <c r="T29" i="56" s="1"/>
  <c r="S30" i="56" s="1"/>
  <c r="Y18" i="57"/>
  <c r="Y18" i="56"/>
  <c r="Y16" i="56"/>
  <c r="Y32" i="56"/>
  <c r="Y22" i="56"/>
  <c r="Y14" i="55"/>
  <c r="Y12" i="55"/>
  <c r="Y10" i="55"/>
  <c r="S17" i="55"/>
  <c r="T17" i="55" s="1"/>
  <c r="S18" i="55" s="1"/>
  <c r="Z18" i="55" s="1"/>
  <c r="Y10" i="54"/>
  <c r="S9" i="55"/>
  <c r="T9" i="55" s="1"/>
  <c r="S10" i="55" s="1"/>
  <c r="Z10" i="55" s="1"/>
  <c r="AB73" i="59" s="1"/>
  <c r="L8" i="59" s="1"/>
  <c r="S15" i="55"/>
  <c r="T15" i="55" s="1"/>
  <c r="S16" i="55" s="1"/>
  <c r="Z16" i="55" s="1"/>
  <c r="Y26" i="54"/>
  <c r="Y24" i="54"/>
  <c r="Y16" i="54"/>
  <c r="Y12" i="54"/>
  <c r="Y14" i="54"/>
  <c r="W77" i="59"/>
  <c r="G21" i="59" s="1"/>
  <c r="W73" i="59"/>
  <c r="G8" i="59" s="1"/>
  <c r="S13" i="55"/>
  <c r="T13" i="55" s="1"/>
  <c r="S14" i="55" s="1"/>
  <c r="Z14" i="55" s="1"/>
  <c r="S11" i="55"/>
  <c r="T11" i="55" s="1"/>
  <c r="S12" i="55" s="1"/>
  <c r="Z12" i="55" s="1"/>
  <c r="W76" i="59"/>
  <c r="S19" i="54"/>
  <c r="T19" i="54" s="1"/>
  <c r="S20" i="54" s="1"/>
  <c r="Z20" i="54" s="1"/>
  <c r="AB65" i="59" s="1"/>
  <c r="S27" i="54"/>
  <c r="T27" i="54" s="1"/>
  <c r="S28" i="54" s="1"/>
  <c r="Z28" i="54" s="1"/>
  <c r="AB69" i="59" s="1"/>
  <c r="L26" i="59" s="1"/>
  <c r="S15" i="54"/>
  <c r="T15" i="54" s="1"/>
  <c r="S16" i="54" s="1"/>
  <c r="Z16" i="54" s="1"/>
  <c r="AB63" i="59" s="1"/>
  <c r="S11" i="54"/>
  <c r="T11" i="54" s="1"/>
  <c r="S12" i="54" s="1"/>
  <c r="Z12" i="54" s="1"/>
  <c r="AB60" i="59" s="1"/>
  <c r="L14" i="59" s="1"/>
  <c r="S9" i="54"/>
  <c r="T9" i="54" s="1"/>
  <c r="S10" i="54" s="1"/>
  <c r="Z10" i="54" s="1"/>
  <c r="AB59" i="59" s="1"/>
  <c r="L13" i="59" s="1"/>
  <c r="Y24" i="53"/>
  <c r="Y26" i="53"/>
  <c r="Y14" i="53"/>
  <c r="Y12" i="53"/>
  <c r="Y16" i="53"/>
  <c r="Y18" i="53"/>
  <c r="S21" i="54"/>
  <c r="T21" i="54" s="1"/>
  <c r="S22" i="54" s="1"/>
  <c r="Z22" i="54" s="1"/>
  <c r="AB66" i="59" s="1"/>
  <c r="L7" i="59" s="1"/>
  <c r="W68" i="59"/>
  <c r="G9" i="59" s="1"/>
  <c r="S23" i="54"/>
  <c r="T23" i="54" s="1"/>
  <c r="S24" i="54" s="1"/>
  <c r="Z24" i="54" s="1"/>
  <c r="AB67" i="59" s="1"/>
  <c r="L25" i="59" s="1"/>
  <c r="W69" i="59"/>
  <c r="G26" i="59" s="1"/>
  <c r="W65" i="59"/>
  <c r="S13" i="54"/>
  <c r="T13" i="54" s="1"/>
  <c r="S14" i="54" s="1"/>
  <c r="Z14" i="54" s="1"/>
  <c r="AB61" i="59" s="1"/>
  <c r="L19" i="59" s="1"/>
  <c r="W60" i="59"/>
  <c r="G14" i="59" s="1"/>
  <c r="W63" i="59"/>
  <c r="W59" i="59"/>
  <c r="G13" i="59" s="1"/>
  <c r="S19" i="53"/>
  <c r="T19" i="53" s="1"/>
  <c r="S20" i="53" s="1"/>
  <c r="Z20" i="53" s="1"/>
  <c r="AB50" i="59" s="1"/>
  <c r="L122" i="59" s="1"/>
  <c r="S11" i="53"/>
  <c r="T11" i="53" s="1"/>
  <c r="S12" i="53" s="1"/>
  <c r="Z12" i="53" s="1"/>
  <c r="AB46" i="59" s="1"/>
  <c r="S13" i="53"/>
  <c r="T13" i="53" s="1"/>
  <c r="S14" i="53" s="1"/>
  <c r="Z14" i="53" s="1"/>
  <c r="AB47" i="59" s="1"/>
  <c r="L76" i="59" s="1"/>
  <c r="S15" i="53"/>
  <c r="T15" i="53" s="1"/>
  <c r="S16" i="53" s="1"/>
  <c r="Z16" i="53" s="1"/>
  <c r="AB48" i="59" s="1"/>
  <c r="S17" i="53"/>
  <c r="T17" i="53" s="1"/>
  <c r="S18" i="53" s="1"/>
  <c r="Z18" i="53" s="1"/>
  <c r="AB49" i="59" s="1"/>
  <c r="S23" i="53"/>
  <c r="T23" i="53" s="1"/>
  <c r="S24" i="53" s="1"/>
  <c r="Z24" i="53" s="1"/>
  <c r="AB52" i="59" s="1"/>
  <c r="L78" i="59" s="1"/>
  <c r="S21" i="53"/>
  <c r="T21" i="53" s="1"/>
  <c r="S22" i="53" s="1"/>
  <c r="Z22" i="53" s="1"/>
  <c r="AB51" i="59" s="1"/>
  <c r="Y26" i="52"/>
  <c r="Y24" i="52"/>
  <c r="Y22" i="52"/>
  <c r="Y18" i="52"/>
  <c r="Y20" i="52"/>
  <c r="Y16" i="52"/>
  <c r="Y10" i="52"/>
  <c r="W50" i="59"/>
  <c r="W46" i="59"/>
  <c r="G96" i="59"/>
  <c r="W53" i="59"/>
  <c r="G75" i="59" s="1"/>
  <c r="W47" i="59"/>
  <c r="G76" i="59" s="1"/>
  <c r="W48" i="59"/>
  <c r="W49" i="59"/>
  <c r="G97" i="59" s="1"/>
  <c r="W51" i="59"/>
  <c r="W52" i="59"/>
  <c r="G78" i="59" s="1"/>
  <c r="Y16" i="51"/>
  <c r="S9" i="52"/>
  <c r="T9" i="52" s="1"/>
  <c r="S10" i="52" s="1"/>
  <c r="Z10" i="52" s="1"/>
  <c r="AB31" i="59" s="1"/>
  <c r="L88" i="59" s="1"/>
  <c r="S15" i="52"/>
  <c r="T15" i="52" s="1"/>
  <c r="S16" i="52" s="1"/>
  <c r="Z16" i="52" s="1"/>
  <c r="AB34" i="59" s="1"/>
  <c r="S19" i="52"/>
  <c r="T19" i="52" s="1"/>
  <c r="S20" i="52" s="1"/>
  <c r="Z20" i="52" s="1"/>
  <c r="AB36" i="59" s="1"/>
  <c r="L95" i="59" s="1"/>
  <c r="S21" i="52"/>
  <c r="T21" i="52" s="1"/>
  <c r="S22" i="52" s="1"/>
  <c r="Z22" i="52" s="1"/>
  <c r="AB37" i="59" s="1"/>
  <c r="L84" i="59" s="1"/>
  <c r="S11" i="52"/>
  <c r="T11" i="52" s="1"/>
  <c r="S12" i="52" s="1"/>
  <c r="Z12" i="52" s="1"/>
  <c r="L94" i="59" s="1"/>
  <c r="S13" i="52"/>
  <c r="T13" i="52" s="1"/>
  <c r="S14" i="52" s="1"/>
  <c r="Z14" i="52" s="1"/>
  <c r="AB33" i="59" s="1"/>
  <c r="L89" i="59" s="1"/>
  <c r="S23" i="52"/>
  <c r="T23" i="52" s="1"/>
  <c r="S24" i="52" s="1"/>
  <c r="Z24" i="52" s="1"/>
  <c r="AB38" i="59" s="1"/>
  <c r="L70" i="59" s="1"/>
  <c r="Y20" i="51"/>
  <c r="W31" i="59"/>
  <c r="G88" i="59" s="1"/>
  <c r="W37" i="59"/>
  <c r="G84" i="59" s="1"/>
  <c r="S25" i="52"/>
  <c r="T25" i="52" s="1"/>
  <c r="S26" i="52" s="1"/>
  <c r="Z26" i="52" s="1"/>
  <c r="AB39" i="59" s="1"/>
  <c r="W36" i="59"/>
  <c r="G95" i="59" s="1"/>
  <c r="G94" i="59"/>
  <c r="W34" i="59"/>
  <c r="S17" i="52"/>
  <c r="T17" i="52" s="1"/>
  <c r="S18" i="52" s="1"/>
  <c r="Z18" i="52" s="1"/>
  <c r="AB35" i="59" s="1"/>
  <c r="L90" i="59" s="1"/>
  <c r="W33" i="59"/>
  <c r="G89" i="59" s="1"/>
  <c r="Z10" i="34"/>
  <c r="Y10" i="34"/>
  <c r="W38" i="59"/>
  <c r="G70" i="59" s="1"/>
  <c r="Y20" i="34"/>
  <c r="Y16" i="34"/>
  <c r="Y12" i="34"/>
  <c r="Y14" i="34"/>
  <c r="Y22" i="34"/>
  <c r="S21" i="51"/>
  <c r="T21" i="51" s="1"/>
  <c r="S22" i="51" s="1"/>
  <c r="Z22" i="51" s="1"/>
  <c r="AB23" i="59" s="1"/>
  <c r="L77" i="59" s="1"/>
  <c r="S13" i="51"/>
  <c r="T13" i="51" s="1"/>
  <c r="S14" i="51" s="1"/>
  <c r="Z14" i="51" s="1"/>
  <c r="AB19" i="59" s="1"/>
  <c r="S17" i="51"/>
  <c r="T17" i="51" s="1"/>
  <c r="S18" i="51" s="1"/>
  <c r="Z18" i="51" s="1"/>
  <c r="AB21" i="59" s="1"/>
  <c r="S15" i="51"/>
  <c r="T15" i="51" s="1"/>
  <c r="S16" i="51" s="1"/>
  <c r="Z16" i="51" s="1"/>
  <c r="AB20" i="59" s="1"/>
  <c r="L83" i="59" s="1"/>
  <c r="S9" i="51"/>
  <c r="T9" i="51" s="1"/>
  <c r="S10" i="51" s="1"/>
  <c r="Z10" i="51" s="1"/>
  <c r="AB17" i="59" s="1"/>
  <c r="L69" i="59" s="1"/>
  <c r="S19" i="51"/>
  <c r="T19" i="51" s="1"/>
  <c r="S20" i="51" s="1"/>
  <c r="Z20" i="51" s="1"/>
  <c r="AB22" i="59" s="1"/>
  <c r="W23" i="59"/>
  <c r="G77" i="59" s="1"/>
  <c r="W19" i="59"/>
  <c r="W21" i="59"/>
  <c r="W20" i="59"/>
  <c r="G83" i="59" s="1"/>
  <c r="W17" i="59"/>
  <c r="G69" i="59" s="1"/>
  <c r="E97" i="59"/>
  <c r="D110" i="59"/>
  <c r="K110" i="59"/>
  <c r="C110" i="59"/>
  <c r="J110" i="59"/>
  <c r="H110" i="59"/>
  <c r="I110" i="59"/>
  <c r="F110" i="59"/>
  <c r="Y22" i="54"/>
  <c r="Y20" i="54"/>
  <c r="Y20" i="53"/>
  <c r="B110" i="59"/>
  <c r="Z10" i="53"/>
  <c r="L96" i="59" s="1"/>
  <c r="Y14" i="52"/>
  <c r="Y12" i="51"/>
  <c r="Y16" i="55"/>
  <c r="Y18" i="55"/>
  <c r="Z28" i="56"/>
  <c r="Y20" i="55"/>
  <c r="Y16" i="58"/>
  <c r="Y18" i="58"/>
  <c r="AI15" i="51"/>
  <c r="AI17" i="53"/>
  <c r="AI23" i="54"/>
  <c r="AI13" i="56"/>
  <c r="Y32" i="57"/>
  <c r="S31" i="57"/>
  <c r="T31" i="57" s="1"/>
  <c r="S32" i="57" s="1"/>
  <c r="AI9" i="57"/>
  <c r="Z24" i="58"/>
  <c r="U17" i="57"/>
  <c r="Y20" i="57"/>
  <c r="Y16" i="57"/>
  <c r="Y22" i="57"/>
  <c r="Z24" i="55"/>
  <c r="Z26" i="54"/>
  <c r="AB68" i="59" s="1"/>
  <c r="L9" i="59" s="1"/>
  <c r="Z26" i="53"/>
  <c r="AB53" i="59" s="1"/>
  <c r="L75" i="59" s="1"/>
  <c r="AF17" i="53"/>
  <c r="AG17" i="53" s="1"/>
  <c r="AF21" i="58"/>
  <c r="U23" i="58"/>
  <c r="AH23" i="58"/>
  <c r="AI23" i="58" s="1"/>
  <c r="AG23" i="58"/>
  <c r="AF13" i="58"/>
  <c r="AF15" i="58"/>
  <c r="AF17" i="58"/>
  <c r="Z26" i="58"/>
  <c r="AF19" i="58"/>
  <c r="U29" i="58"/>
  <c r="AH29" i="58"/>
  <c r="AG29" i="58"/>
  <c r="AF9" i="58"/>
  <c r="AF25" i="58"/>
  <c r="AF31" i="58"/>
  <c r="AF11" i="58"/>
  <c r="AF27" i="58"/>
  <c r="AH13" i="57"/>
  <c r="AI13" i="57" s="1"/>
  <c r="U13" i="57"/>
  <c r="AG13" i="57"/>
  <c r="Z28" i="57"/>
  <c r="AF27" i="57"/>
  <c r="AH23" i="57"/>
  <c r="AG23" i="57"/>
  <c r="U9" i="57"/>
  <c r="AH9" i="57"/>
  <c r="AG9" i="57"/>
  <c r="AF11" i="57"/>
  <c r="AF19" i="57"/>
  <c r="Z20" i="57"/>
  <c r="AF21" i="57"/>
  <c r="AH29" i="57"/>
  <c r="AI29" i="57" s="1"/>
  <c r="AG29" i="57"/>
  <c r="AF25" i="57"/>
  <c r="AH17" i="57"/>
  <c r="AI17" i="57" s="1"/>
  <c r="AF15" i="57"/>
  <c r="AF31" i="57"/>
  <c r="AH13" i="56"/>
  <c r="U13" i="56"/>
  <c r="AG13" i="56"/>
  <c r="AH23" i="56"/>
  <c r="AG23" i="56"/>
  <c r="Z10" i="56"/>
  <c r="AF17" i="56"/>
  <c r="AF19" i="56"/>
  <c r="Z20" i="56"/>
  <c r="AF21" i="56"/>
  <c r="AG29" i="56"/>
  <c r="AI29" i="56" s="1"/>
  <c r="AH29" i="56"/>
  <c r="AF9" i="56"/>
  <c r="AF25" i="56"/>
  <c r="AF15" i="56"/>
  <c r="AF31" i="56"/>
  <c r="AF11" i="56"/>
  <c r="AF27" i="56"/>
  <c r="U23" i="55"/>
  <c r="AH23" i="55"/>
  <c r="AG23" i="55"/>
  <c r="AG13" i="55"/>
  <c r="U13" i="55"/>
  <c r="AH13" i="55"/>
  <c r="AI13" i="55" s="1"/>
  <c r="Z28" i="55"/>
  <c r="AF27" i="55"/>
  <c r="AF17" i="55"/>
  <c r="AF19" i="55"/>
  <c r="Z20" i="55"/>
  <c r="Z22" i="55"/>
  <c r="AF21" i="55"/>
  <c r="AF11" i="55"/>
  <c r="AG29" i="55"/>
  <c r="U29" i="55"/>
  <c r="AH29" i="55"/>
  <c r="AF9" i="55"/>
  <c r="AF25" i="55"/>
  <c r="AF15" i="55"/>
  <c r="AF31" i="55"/>
  <c r="AF11" i="54"/>
  <c r="Z32" i="54"/>
  <c r="AH23" i="54"/>
  <c r="U23" i="54"/>
  <c r="AG23" i="54"/>
  <c r="AF27" i="54"/>
  <c r="U13" i="54"/>
  <c r="AG13" i="54"/>
  <c r="AH13" i="54"/>
  <c r="AI13" i="54" s="1"/>
  <c r="AF17" i="54"/>
  <c r="Z18" i="54"/>
  <c r="AF19" i="54"/>
  <c r="AF21" i="54"/>
  <c r="AG29" i="54"/>
  <c r="U29" i="54"/>
  <c r="AH29" i="54"/>
  <c r="AF9" i="54"/>
  <c r="AF25" i="54"/>
  <c r="AF15" i="54"/>
  <c r="AF31" i="54"/>
  <c r="AF19" i="53"/>
  <c r="AF13" i="53"/>
  <c r="AF21" i="53"/>
  <c r="U15" i="53"/>
  <c r="AG15" i="53"/>
  <c r="AI15" i="53" s="1"/>
  <c r="AH15" i="53"/>
  <c r="Z30" i="53"/>
  <c r="AF29" i="53"/>
  <c r="U23" i="53"/>
  <c r="AG23" i="53"/>
  <c r="AI23" i="53" s="1"/>
  <c r="AH23" i="53"/>
  <c r="AH17" i="53"/>
  <c r="AF9" i="53"/>
  <c r="U17" i="53"/>
  <c r="AF25" i="53"/>
  <c r="AF31" i="53"/>
  <c r="AF11" i="53"/>
  <c r="AF15" i="52"/>
  <c r="AF23" i="52"/>
  <c r="Z32" i="52"/>
  <c r="AF31" i="52"/>
  <c r="U25" i="52"/>
  <c r="AH25" i="52"/>
  <c r="AG25" i="52"/>
  <c r="AI25" i="52" s="1"/>
  <c r="AG17" i="52"/>
  <c r="AI17" i="52" s="1"/>
  <c r="U17" i="52"/>
  <c r="AH17" i="52"/>
  <c r="Z28" i="52"/>
  <c r="AF21" i="52"/>
  <c r="AF13" i="52"/>
  <c r="AF19" i="52"/>
  <c r="AF9" i="52"/>
  <c r="AF27" i="52"/>
  <c r="AF11" i="52"/>
  <c r="AG29" i="51"/>
  <c r="AG31" i="51"/>
  <c r="Z30" i="51"/>
  <c r="AG21" i="51"/>
  <c r="AI21" i="51" s="1"/>
  <c r="AH21" i="51"/>
  <c r="U21" i="51"/>
  <c r="AG13" i="51"/>
  <c r="AI13" i="51" s="1"/>
  <c r="AH13" i="51"/>
  <c r="U13" i="51"/>
  <c r="U29" i="51"/>
  <c r="Y10" i="51"/>
  <c r="Y18" i="51"/>
  <c r="Y26" i="51"/>
  <c r="Y14" i="51"/>
  <c r="Y22" i="51"/>
  <c r="Y30" i="51"/>
  <c r="U15" i="51"/>
  <c r="AH15" i="51"/>
  <c r="AG15" i="51"/>
  <c r="AF17" i="51"/>
  <c r="U31" i="51"/>
  <c r="U23" i="51"/>
  <c r="AH23" i="51"/>
  <c r="AG23" i="51"/>
  <c r="AF25" i="51"/>
  <c r="Z26" i="51"/>
  <c r="Z12" i="51"/>
  <c r="AF11" i="51"/>
  <c r="AF19" i="51"/>
  <c r="Z28" i="51"/>
  <c r="AF27" i="51"/>
  <c r="AF9" i="51"/>
  <c r="Z24" i="51"/>
  <c r="Z32" i="51"/>
  <c r="U23" i="57" l="1"/>
  <c r="U23" i="56"/>
  <c r="L118" i="59"/>
  <c r="G110" i="59"/>
  <c r="L6" i="59"/>
  <c r="L82" i="59"/>
  <c r="L24" i="59"/>
  <c r="L97" i="59"/>
  <c r="L93" i="59" s="1"/>
  <c r="L110" i="59"/>
  <c r="L68" i="59"/>
  <c r="L87" i="59"/>
  <c r="L74" i="59"/>
  <c r="AB75" i="59"/>
  <c r="L15" i="59" s="1"/>
  <c r="L12" i="59" s="1"/>
  <c r="AB77" i="59"/>
  <c r="L21" i="59" s="1"/>
  <c r="AB76" i="59"/>
  <c r="AB74" i="59"/>
  <c r="L20" i="59" s="1"/>
  <c r="AB119" i="59"/>
  <c r="L49" i="59" s="1"/>
  <c r="L47" i="59" s="1"/>
  <c r="AB118" i="59"/>
  <c r="L42" i="59" s="1"/>
  <c r="L40" i="59" s="1"/>
  <c r="AB121" i="59"/>
  <c r="L61" i="59" s="1"/>
  <c r="AB116" i="59"/>
  <c r="L60" i="59" s="1"/>
  <c r="AB120" i="59"/>
  <c r="L55" i="59" s="1"/>
  <c r="L53" i="59" s="1"/>
  <c r="AB117" i="59"/>
  <c r="L36" i="59" s="1"/>
  <c r="Z30" i="56"/>
  <c r="AB97" i="59" s="1"/>
  <c r="L126" i="59" s="1"/>
  <c r="L124" i="59" s="1"/>
  <c r="U29" i="56"/>
  <c r="U29" i="57"/>
  <c r="Z30" i="57"/>
  <c r="AB111" i="59" s="1"/>
  <c r="L35" i="59" s="1"/>
  <c r="AH27" i="58"/>
  <c r="AG27" i="58"/>
  <c r="U27" i="58"/>
  <c r="U19" i="58"/>
  <c r="AH19" i="58"/>
  <c r="AI19" i="58" s="1"/>
  <c r="AG19" i="58"/>
  <c r="U13" i="58"/>
  <c r="AG13" i="58"/>
  <c r="AH13" i="58"/>
  <c r="AI13" i="58" s="1"/>
  <c r="U31" i="58"/>
  <c r="AH31" i="58"/>
  <c r="AG31" i="58"/>
  <c r="U25" i="58"/>
  <c r="AH25" i="58"/>
  <c r="AI25" i="58" s="1"/>
  <c r="AG25" i="58"/>
  <c r="AH11" i="58"/>
  <c r="AI11" i="58" s="1"/>
  <c r="AG11" i="58"/>
  <c r="U11" i="58"/>
  <c r="U9" i="58"/>
  <c r="AH9" i="58"/>
  <c r="AI9" i="58" s="1"/>
  <c r="AG9" i="58"/>
  <c r="AG17" i="58"/>
  <c r="U17" i="58"/>
  <c r="AH17" i="58"/>
  <c r="AI17" i="58" s="1"/>
  <c r="U15" i="58"/>
  <c r="AH15" i="58"/>
  <c r="AI15" i="58" s="1"/>
  <c r="AG15" i="58"/>
  <c r="AH21" i="58"/>
  <c r="AI21" i="58" s="1"/>
  <c r="AG21" i="58"/>
  <c r="U21" i="58"/>
  <c r="U15" i="57"/>
  <c r="AH15" i="57"/>
  <c r="AI15" i="57" s="1"/>
  <c r="AG15" i="57"/>
  <c r="AG19" i="57"/>
  <c r="U19" i="57"/>
  <c r="AH19" i="57"/>
  <c r="U25" i="57"/>
  <c r="AH25" i="57"/>
  <c r="AG25" i="57"/>
  <c r="AH11" i="57"/>
  <c r="AI11" i="57" s="1"/>
  <c r="AG11" i="57"/>
  <c r="U11" i="57"/>
  <c r="AH21" i="57"/>
  <c r="AG21" i="57"/>
  <c r="U21" i="57"/>
  <c r="AH31" i="57"/>
  <c r="AI31" i="57" s="1"/>
  <c r="Z32" i="57" s="1"/>
  <c r="AB112" i="59" s="1"/>
  <c r="L37" i="59" s="1"/>
  <c r="AG31" i="57"/>
  <c r="AH27" i="57"/>
  <c r="U27" i="57"/>
  <c r="AG27" i="57"/>
  <c r="U9" i="56"/>
  <c r="AH9" i="56"/>
  <c r="AG9" i="56"/>
  <c r="AI9" i="56" s="1"/>
  <c r="U19" i="56"/>
  <c r="AH19" i="56"/>
  <c r="AG19" i="56"/>
  <c r="U15" i="56"/>
  <c r="AH15" i="56"/>
  <c r="AG15" i="56"/>
  <c r="AI15" i="56" s="1"/>
  <c r="AG17" i="56"/>
  <c r="AI17" i="56" s="1"/>
  <c r="U17" i="56"/>
  <c r="AH17" i="56"/>
  <c r="AH27" i="56"/>
  <c r="AG27" i="56"/>
  <c r="U27" i="56"/>
  <c r="U25" i="56"/>
  <c r="AH25" i="56"/>
  <c r="AG25" i="56"/>
  <c r="AH11" i="56"/>
  <c r="AG11" i="56"/>
  <c r="AI11" i="56" s="1"/>
  <c r="U11" i="56"/>
  <c r="AH21" i="56"/>
  <c r="AG21" i="56"/>
  <c r="U21" i="56"/>
  <c r="AH31" i="56"/>
  <c r="AG31" i="56"/>
  <c r="AI31" i="56" s="1"/>
  <c r="Z32" i="56" s="1"/>
  <c r="AB98" i="59" s="1"/>
  <c r="L115" i="59" s="1"/>
  <c r="AH27" i="55"/>
  <c r="AG27" i="55"/>
  <c r="U27" i="55"/>
  <c r="U19" i="55"/>
  <c r="AH19" i="55"/>
  <c r="AI19" i="55" s="1"/>
  <c r="AG19" i="55"/>
  <c r="U15" i="55"/>
  <c r="AH15" i="55"/>
  <c r="AI15" i="55" s="1"/>
  <c r="AG15" i="55"/>
  <c r="U25" i="55"/>
  <c r="AH25" i="55"/>
  <c r="AG25" i="55"/>
  <c r="AH21" i="55"/>
  <c r="AI21" i="55" s="1"/>
  <c r="AG21" i="55"/>
  <c r="U21" i="55"/>
  <c r="U9" i="55"/>
  <c r="AH9" i="55"/>
  <c r="AG9" i="55"/>
  <c r="AH11" i="55"/>
  <c r="AI11" i="55" s="1"/>
  <c r="AG11" i="55"/>
  <c r="U11" i="55"/>
  <c r="U31" i="55"/>
  <c r="AH31" i="55"/>
  <c r="AG31" i="55"/>
  <c r="AG17" i="55"/>
  <c r="U17" i="55"/>
  <c r="AH17" i="55"/>
  <c r="AI17" i="55" s="1"/>
  <c r="U25" i="54"/>
  <c r="AH25" i="54"/>
  <c r="AI25" i="54" s="1"/>
  <c r="AG25" i="54"/>
  <c r="U9" i="54"/>
  <c r="AH9" i="54"/>
  <c r="AI9" i="54" s="1"/>
  <c r="AG9" i="54"/>
  <c r="AG17" i="54"/>
  <c r="U17" i="54"/>
  <c r="AH17" i="54"/>
  <c r="U31" i="54"/>
  <c r="AH31" i="54"/>
  <c r="AG31" i="54"/>
  <c r="AH21" i="54"/>
  <c r="AI21" i="54" s="1"/>
  <c r="AG21" i="54"/>
  <c r="U21" i="54"/>
  <c r="AH11" i="54"/>
  <c r="AI11" i="54" s="1"/>
  <c r="AG11" i="54"/>
  <c r="U11" i="54"/>
  <c r="U15" i="54"/>
  <c r="AH15" i="54"/>
  <c r="AI15" i="54" s="1"/>
  <c r="AG15" i="54"/>
  <c r="U19" i="54"/>
  <c r="AH19" i="54"/>
  <c r="AI19" i="54" s="1"/>
  <c r="AG19" i="54"/>
  <c r="AH27" i="54"/>
  <c r="AI27" i="54" s="1"/>
  <c r="U27" i="54"/>
  <c r="AG27" i="54"/>
  <c r="U9" i="53"/>
  <c r="AH9" i="53"/>
  <c r="AG9" i="53"/>
  <c r="AI9" i="53" s="1"/>
  <c r="U19" i="53"/>
  <c r="AH19" i="53"/>
  <c r="AG19" i="53"/>
  <c r="AI19" i="53" s="1"/>
  <c r="AH11" i="53"/>
  <c r="AG11" i="53"/>
  <c r="AI11" i="53" s="1"/>
  <c r="U11" i="53"/>
  <c r="U13" i="53"/>
  <c r="AH13" i="53"/>
  <c r="AG13" i="53"/>
  <c r="AI13" i="53" s="1"/>
  <c r="AH21" i="53"/>
  <c r="AG21" i="53"/>
  <c r="AI21" i="53" s="1"/>
  <c r="U21" i="53"/>
  <c r="U31" i="53"/>
  <c r="AH31" i="53"/>
  <c r="AG31" i="53"/>
  <c r="U29" i="53"/>
  <c r="AG29" i="53"/>
  <c r="AH29" i="53"/>
  <c r="U25" i="53"/>
  <c r="AH25" i="53"/>
  <c r="AG25" i="53"/>
  <c r="AI25" i="53" s="1"/>
  <c r="AH9" i="52"/>
  <c r="U9" i="52"/>
  <c r="AG9" i="52"/>
  <c r="AI9" i="52" s="1"/>
  <c r="U13" i="52"/>
  <c r="AH13" i="52"/>
  <c r="AG13" i="52"/>
  <c r="AI13" i="52" s="1"/>
  <c r="AH21" i="52"/>
  <c r="AG21" i="52"/>
  <c r="AI21" i="52" s="1"/>
  <c r="U21" i="52"/>
  <c r="U19" i="52"/>
  <c r="AH19" i="52"/>
  <c r="AG19" i="52"/>
  <c r="AI19" i="52" s="1"/>
  <c r="AH11" i="52"/>
  <c r="AG11" i="52"/>
  <c r="AI11" i="52" s="1"/>
  <c r="U11" i="52"/>
  <c r="U31" i="52"/>
  <c r="AH31" i="52"/>
  <c r="AG31" i="52"/>
  <c r="U23" i="52"/>
  <c r="AH23" i="52"/>
  <c r="AG23" i="52"/>
  <c r="AI23" i="52" s="1"/>
  <c r="U15" i="52"/>
  <c r="AH15" i="52"/>
  <c r="AG15" i="52"/>
  <c r="AI15" i="52" s="1"/>
  <c r="AH27" i="52"/>
  <c r="AG27" i="52"/>
  <c r="AI27" i="52" s="1"/>
  <c r="U27" i="52"/>
  <c r="AH25" i="51"/>
  <c r="AG25" i="51"/>
  <c r="AH27" i="51"/>
  <c r="AG27" i="51"/>
  <c r="AG9" i="51"/>
  <c r="AI9" i="51" s="1"/>
  <c r="U9" i="51"/>
  <c r="AH9" i="51"/>
  <c r="U25" i="51"/>
  <c r="AG17" i="51"/>
  <c r="AI17" i="51" s="1"/>
  <c r="U17" i="51"/>
  <c r="AH17" i="51"/>
  <c r="AH19" i="51"/>
  <c r="AG19" i="51"/>
  <c r="AI19" i="51" s="1"/>
  <c r="U19" i="51"/>
  <c r="U27" i="51"/>
  <c r="AH11" i="51"/>
  <c r="U11" i="51"/>
  <c r="AG11" i="51"/>
  <c r="AI11" i="51" s="1"/>
  <c r="L33" i="59" l="1"/>
  <c r="L59" i="59"/>
  <c r="L18" i="59"/>
  <c r="U31" i="56"/>
  <c r="U31" i="57"/>
  <c r="AJ31" i="34"/>
  <c r="W32" i="34" s="1"/>
  <c r="AJ29" i="34"/>
  <c r="W30" i="34" s="1"/>
  <c r="AJ27" i="34"/>
  <c r="W28" i="34" s="1"/>
  <c r="AJ25" i="34"/>
  <c r="AJ23" i="34"/>
  <c r="AJ21" i="34"/>
  <c r="AJ19" i="34"/>
  <c r="AJ17" i="34"/>
  <c r="AJ15" i="34"/>
  <c r="AJ13" i="34"/>
  <c r="AJ11" i="34"/>
  <c r="AJ9" i="34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V32" i="34"/>
  <c r="V30" i="34"/>
  <c r="V28" i="34"/>
  <c r="AH9" i="34" l="1"/>
  <c r="AG9" i="34"/>
  <c r="Y32" i="34"/>
  <c r="Y30" i="34"/>
  <c r="AF31" i="34"/>
  <c r="AF27" i="34"/>
  <c r="AF29" i="34"/>
  <c r="AF17" i="34"/>
  <c r="AG17" i="34" s="1"/>
  <c r="AF25" i="34"/>
  <c r="AF21" i="34"/>
  <c r="AH21" i="34" s="1"/>
  <c r="AF11" i="34"/>
  <c r="AG11" i="34" s="1"/>
  <c r="AF23" i="34"/>
  <c r="AH23" i="34" s="1"/>
  <c r="AF19" i="34"/>
  <c r="AH19" i="34" s="1"/>
  <c r="AF15" i="34"/>
  <c r="AG15" i="34" s="1"/>
  <c r="AF13" i="34"/>
  <c r="AH13" i="34" s="1"/>
  <c r="AI13" i="34" s="1"/>
  <c r="Y28" i="34"/>
  <c r="AG21" i="34" l="1"/>
  <c r="AI21" i="34" s="1"/>
  <c r="AI9" i="34"/>
  <c r="AH17" i="34"/>
  <c r="AI17" i="34" s="1"/>
  <c r="AH15" i="34"/>
  <c r="AI15" i="34" s="1"/>
  <c r="AH25" i="34"/>
  <c r="AG25" i="34"/>
  <c r="AI25" i="34" s="1"/>
  <c r="AH29" i="34"/>
  <c r="AG29" i="34"/>
  <c r="AH27" i="34"/>
  <c r="AG27" i="34"/>
  <c r="AI31" i="34"/>
  <c r="AH31" i="34"/>
  <c r="AG31" i="34"/>
  <c r="AG23" i="34"/>
  <c r="AI23" i="34" s="1"/>
  <c r="AG19" i="34"/>
  <c r="AI19" i="34" s="1"/>
  <c r="AG13" i="34"/>
  <c r="AI27" i="34"/>
  <c r="AH11" i="34"/>
  <c r="AI11" i="34" s="1"/>
  <c r="AI29" i="34"/>
  <c r="R31" i="34" l="1"/>
  <c r="Q31" i="34"/>
  <c r="R29" i="34"/>
  <c r="Q29" i="34"/>
  <c r="R27" i="34"/>
  <c r="Q27" i="34"/>
  <c r="R25" i="34"/>
  <c r="X12" i="59" s="1"/>
  <c r="H113" i="59" s="1"/>
  <c r="Q25" i="34"/>
  <c r="W12" i="59" s="1"/>
  <c r="G113" i="59" s="1"/>
  <c r="S27" i="34" l="1"/>
  <c r="T27" i="34" s="1"/>
  <c r="S28" i="34" s="1"/>
  <c r="Z28" i="34" s="1"/>
  <c r="S31" i="34"/>
  <c r="T31" i="34" s="1"/>
  <c r="U31" i="34" s="1"/>
  <c r="S29" i="34"/>
  <c r="T29" i="34" s="1"/>
  <c r="S25" i="34"/>
  <c r="T25" i="34" s="1"/>
  <c r="S32" i="34" l="1"/>
  <c r="Z32" i="34" s="1"/>
  <c r="S30" i="34"/>
  <c r="Z30" i="34" s="1"/>
  <c r="U29" i="34"/>
  <c r="S26" i="34"/>
  <c r="Z26" i="34" s="1"/>
  <c r="R23" i="34"/>
  <c r="X11" i="59" s="1"/>
  <c r="H103" i="59" s="1"/>
  <c r="R21" i="34"/>
  <c r="X10" i="59" s="1"/>
  <c r="R19" i="34"/>
  <c r="X9" i="59" s="1"/>
  <c r="H109" i="59" s="1"/>
  <c r="R17" i="34"/>
  <c r="X8" i="59" s="1"/>
  <c r="H108" i="59" s="1"/>
  <c r="R15" i="34"/>
  <c r="X7" i="59" s="1"/>
  <c r="R13" i="34"/>
  <c r="X6" i="59" s="1"/>
  <c r="H107" i="59" s="1"/>
  <c r="R11" i="34"/>
  <c r="X5" i="59" s="1"/>
  <c r="Q23" i="34"/>
  <c r="W11" i="59" s="1"/>
  <c r="G103" i="59" s="1"/>
  <c r="Q21" i="34"/>
  <c r="W10" i="59" s="1"/>
  <c r="Q19" i="34"/>
  <c r="W9" i="59" s="1"/>
  <c r="G109" i="59" s="1"/>
  <c r="Q17" i="34"/>
  <c r="W8" i="59" s="1"/>
  <c r="G108" i="59" s="1"/>
  <c r="Q15" i="34"/>
  <c r="W7" i="59" s="1"/>
  <c r="Q13" i="34"/>
  <c r="W6" i="59" s="1"/>
  <c r="G107" i="59" s="1"/>
  <c r="Q11" i="34"/>
  <c r="W5" i="59" s="1"/>
  <c r="AB12" i="59" l="1"/>
  <c r="L113" i="59" s="1"/>
  <c r="L112" i="59" s="1"/>
  <c r="S11" i="34"/>
  <c r="T11" i="34" s="1"/>
  <c r="S12" i="34" s="1"/>
  <c r="Z12" i="34" s="1"/>
  <c r="S15" i="34"/>
  <c r="S13" i="34"/>
  <c r="AB5" i="59" l="1"/>
  <c r="T15" i="34"/>
  <c r="T13" i="34"/>
  <c r="S19" i="34" l="1"/>
  <c r="T19" i="34" l="1"/>
  <c r="R9" i="34"/>
  <c r="X4" i="59" s="1"/>
  <c r="H102" i="59" s="1"/>
  <c r="Q9" i="34"/>
  <c r="W4" i="59" s="1"/>
  <c r="G102" i="59" s="1"/>
  <c r="S9" i="34" l="1"/>
  <c r="S23" i="34"/>
  <c r="T23" i="34" s="1"/>
  <c r="S21" i="34"/>
  <c r="S20" i="34"/>
  <c r="Z20" i="34" s="1"/>
  <c r="S17" i="34"/>
  <c r="T17" i="34" l="1"/>
  <c r="S18" i="34" s="1"/>
  <c r="Z18" i="34" s="1"/>
  <c r="T21" i="34"/>
  <c r="S22" i="34" s="1"/>
  <c r="AB10" i="59" l="1"/>
  <c r="AB9" i="59"/>
  <c r="L109" i="59" s="1"/>
  <c r="S24" i="34"/>
  <c r="Z24" i="34" s="1"/>
  <c r="AB8" i="59" l="1"/>
  <c r="L108" i="59" s="1"/>
  <c r="S14" i="34"/>
  <c r="Z14" i="34" s="1"/>
  <c r="AB11" i="59" l="1"/>
  <c r="L103" i="59" s="1"/>
  <c r="AB6" i="59"/>
  <c r="L107" i="59" s="1"/>
  <c r="L106" i="59" s="1"/>
  <c r="T9" i="34"/>
  <c r="S16" i="34"/>
  <c r="Z16" i="34" s="1"/>
  <c r="S10" i="34" l="1"/>
  <c r="AB7" i="59" l="1"/>
  <c r="AB4" i="59"/>
  <c r="L102" i="59" s="1"/>
  <c r="L101" i="5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6FF29D93-5C59-2F48-A977-43D41D6350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99EDA0D1-6E28-E841-AC45-F51B9EF0D5EC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1F4062EB-88EB-914A-8C1E-60EE227B32AE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B9014B8A-E9E7-3740-BC02-8ECA6FEA2A9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3476E605-EDF9-CC47-A3AC-85D1AE6B597A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6A88DB57-7AF3-844D-B152-7728F0953B2A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F162DDC-072B-8446-BEBD-30B066855921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055E7DA-FD1F-E443-AAEF-6414B2FC3A4E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80439C31-21F0-B14C-8F6C-EDB1352A384C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376C01A8-A381-3A46-8DAE-960433F88EA9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20B40039-1127-3845-B773-C5B9D50DCC8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83DFD18-FFFF-CD49-BD5A-0FDE5DEE25D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D4CACCD2-13D7-AE4C-9FE0-B72EF2DCB8F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EAF108ED-D271-43AC-88DE-2D2055615BE9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54F191C2-8B75-4D72-8672-7171D6A0B5D7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4321224A-7A99-48DB-93DA-EB1D8A998BA9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BCEFA056-150F-448F-9606-AC9CFD1A31D0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81AEDA13-276E-435A-B92F-0B9286850D86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FA3217D2-2A70-4471-B066-BAB1BD14DD37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2A63DE08-4A2C-41F0-8E8C-1C7E849AAEF9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0D023242-7F89-47D3-9D9A-FA804369A298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FEE4CB16-0BE6-4A90-AEEE-85E997AA4B93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901FAB55-DF5A-4A88-B94B-6C6183364FEB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5D37B3C6-65C2-410A-98B3-7C119B1A4F7E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32C510E7-7F4F-4BFE-8DFA-ACAB27355416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982485A0-8DF3-4E0C-A54A-8A38E5DCC74D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7A292795-4AE6-4C25-91A2-96D39F8BDC5B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3E223104-B1CD-4CA3-99B2-88F49AEBFEA7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FC85F699-DB78-4B43-B2F1-A69FEE7E1EF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5FDF14F8-85FD-4FC0-814F-DC83C083046F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3873496A-76E9-4AB0-87DF-91CACE42F530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DF2B9A70-B1F9-450A-9180-44DC25367C0F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30D85B36-9A0B-41E4-8D02-1859DEB44C50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3D433BD9-731C-409C-969F-BE971AF88221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A59D61D0-53B3-4E75-B261-4C3F86875B0E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D096955D-B307-471B-95B6-21F4FE68149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EF705E0F-C18E-4578-B7CC-4F2D4F21EC62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7D353E03-815D-4C3B-BFA6-35286C3B04BC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9228B23A-4A37-4BEB-B58C-39306478A172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0B74E06B-B96A-4776-B5DE-DE88ED280274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F7C0ED43-8E6B-4245-8283-A7507DCC1626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BE0F91E6-C317-4D1B-B939-BFCAD8EC854C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315914C8-6E9D-475D-B667-EB08D2CC4205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10BC6234-1847-4F74-81DE-BECB556A1F76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9D99803-7F8A-4ADE-9D3C-4DC29B41AF91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8E695F2A-EA51-4ECB-AFF3-3562997BB360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24A741EF-151A-4731-846B-BDF836041145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22D5A33A-66D6-4B95-BCEE-75E008C2FD15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1D721102-F458-42A5-9EB8-D8E1A8041B33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AA34EA15-9AFA-49A7-BDF7-9135F64572A7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87B6C6C-D15B-4EAF-B375-276CF6BEA4E9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6F1F635-2A16-4683-ADB3-1B19996285FD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26761B49-A890-4453-A76E-4E83EA4CB6AE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1B67FDA-4A85-4096-BA48-661AD30A2E28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A1B514BA-CA35-4AE7-B39F-9B6BA3144637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BCBB79BB-4F9E-4779-A500-713EEFCA9B2E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024A679B-4BE4-4662-BE69-1FF245397948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017624DA-EB0B-41FD-9288-DF6C7EE58AF2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773C898D-88DA-4B61-B903-D2A8BD4A911D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8D20A689-FF80-451B-AD7D-5654C9B6E73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C2E83E05-9AA2-45DC-A7F2-6B835540A7C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88183EE4-4587-4C90-8C6A-F53B1CECDD55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A544B03F-1E06-4E71-B7B0-85E15A686937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8EFDCB80-BC30-4FFE-9CE0-EAE64384877A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794FA866-CA3D-418E-9021-FEBF3EE266D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4C5B8E1-1155-4F79-9AAF-7D496CE57794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CF0F7AFB-5978-4D38-86CD-3D66E09A830D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487476F9-5017-4457-94B0-D8961965C319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1CEF3A5B-6D67-403C-8C26-9550FCBEBD05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07058F3B-737D-4C1D-B313-3DF23C55912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1073535C-E950-4E61-8521-976F67C2C9AA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9FC90128-7DF6-4444-93F7-5DE8EC488E19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FD878A5D-D346-40C4-89A5-50245DBC8AF2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CD561A82-5475-4EF4-8073-BBE4F882C962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4D937388-FF70-41A8-9142-02D90DD552F1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41445295-E77F-4B20-8359-A8A63E4D722F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F60A10BD-099C-473F-ABFD-2AF89C0D94AF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6C23ADFC-85B7-431E-8D89-D4EE386E8B22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E8BFFEAE-EAE3-4533-9D94-E9F2EE26B34B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AF49DE33-4B20-4422-A2E5-8369E6934082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BEF49A09-C7AF-49EC-AE2A-2CAC6F81558B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D1BD579-AE67-41D2-9253-5703A0FC71D1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848D9719-0A92-4781-B499-2805DC9D26D9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1C3F4116-068F-4951-9515-699CF0CB550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195A36DD-A3A6-4670-845F-6C038B610B8F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183DBE25-9B22-4C67-AD5A-160B8410A046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5E90668A-FCF1-44A7-90A4-D1362872FE5A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038E23D2-1F59-4A61-B306-20757DBE957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ED44F45E-9862-44AC-A524-0BB380C0E83C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ABA7845C-3393-41E7-A316-858014C48086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1D7B0693-69EF-4C50-9451-7B3AFB9B5FE3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2304E369-99C6-40A0-9AF8-EF296C83D15E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1CEBF09A-3E96-489D-8EB2-162EBD8A1833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234C2503-07AE-42CB-A895-5D9B94424015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24D69447-6EFA-4F27-B0E0-4AE398FF54BC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0C1772C5-8D87-4123-8CCB-B423EB0D6ED7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2728E858-278C-49EF-B746-DBD813EA46FE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9C916303-D775-44FA-8A06-0AA8ABDF1B57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AD3B97A6-2484-429B-B394-25054DFCCE8F}">
      <text>
        <r>
          <rPr>
            <b/>
            <sz val="8"/>
            <color rgb="FF000000"/>
            <rFont val="Tahoma"/>
            <family val="2"/>
          </rPr>
          <t>Angis i meter med to desimaler, f.eks. 7,65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7" authorId="2" shapeId="0" xr:uid="{B3453B8B-EFF2-44E0-B0BA-1785C16AC54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4A8302FC-B403-4685-BDF2-96AC6307B3DF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6AFE9E9A-F142-4A39-BFD9-79FF45067B8E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32BF38C3-F851-4EA7-B18F-08D668915A8C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BE5C611A-B63A-4C3F-A70B-0BB313B3FF07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<sst xmlns="http://schemas.openxmlformats.org/spreadsheetml/2006/main" count="1437" uniqueCount="341">
  <si>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</si>
  <si>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</si>
  <si>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</si>
  <si>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</si>
  <si>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</si>
  <si>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</si>
  <si>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</si>
  <si>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</si>
  <si>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</si>
  <si>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</si>
  <si>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</si>
  <si>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</si>
  <si>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</si>
  <si>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</si>
  <si>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</si>
  <si>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</si>
  <si>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</si>
  <si>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</si>
  <si>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</si>
  <si>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</si>
  <si>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</si>
  <si>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</si>
  <si>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</si>
  <si>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</si>
  <si>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</si>
  <si>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</si>
  <si>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</si>
  <si>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</si>
  <si>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</si>
  <si>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</si>
  <si>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</si>
  <si>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</si>
  <si>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</si>
  <si>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</si>
  <si>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</si>
  <si>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</si>
  <si>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</si>
  <si>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</si>
  <si>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</si>
  <si>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</si>
  <si>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</si>
  <si>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</si>
  <si>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</si>
  <si>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</si>
  <si>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</si>
  <si>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</si>
  <si>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</si>
  <si>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</si>
  <si>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</si>
  <si>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</si>
  <si>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</si>
  <si>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</si>
  <si>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</si>
  <si>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</si>
  <si>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</si>
  <si>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</si>
  <si>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</si>
  <si>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</si>
  <si>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</si>
  <si>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</si>
  <si>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</si>
  <si>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Norgesmesterskap 5-kamp</t>
  </si>
  <si>
    <t>Larvik AK</t>
  </si>
  <si>
    <t>Stavernhallen</t>
  </si>
  <si>
    <t>William Hjelde Stormoen</t>
  </si>
  <si>
    <t>Nidelv IL</t>
  </si>
  <si>
    <t>Emil Martin Harcourt</t>
  </si>
  <si>
    <t>Tønsberg-Kam.</t>
  </si>
  <si>
    <t>Alvolai Myrvang Røyseth</t>
  </si>
  <si>
    <t>Tambarskjelvar IL</t>
  </si>
  <si>
    <t>Alexander Eide</t>
  </si>
  <si>
    <t>Haugesund VK</t>
  </si>
  <si>
    <t>Jakub Karol Kudyba</t>
  </si>
  <si>
    <t>Brede Tengel Lesto</t>
  </si>
  <si>
    <t>Stefan Rønnevik</t>
  </si>
  <si>
    <t>Tysvær VK</t>
  </si>
  <si>
    <t>Henrik F. Kjeldsberg</t>
  </si>
  <si>
    <t>Ulrik Lie-Haugen</t>
  </si>
  <si>
    <t>2004004</t>
  </si>
  <si>
    <t>2005022</t>
  </si>
  <si>
    <t>2006011</t>
  </si>
  <si>
    <t>2004016</t>
  </si>
  <si>
    <t>2006026</t>
  </si>
  <si>
    <t>2006025</t>
  </si>
  <si>
    <t>2005008</t>
  </si>
  <si>
    <t>2006002</t>
  </si>
  <si>
    <t>2005017</t>
  </si>
  <si>
    <t>19-23</t>
  </si>
  <si>
    <t>SM</t>
  </si>
  <si>
    <t>Leo-Alander Fjelløve</t>
  </si>
  <si>
    <t>Thomas Kongsvik Vihovde</t>
  </si>
  <si>
    <t>Emil Røvik</t>
  </si>
  <si>
    <t>Hitra VK</t>
  </si>
  <si>
    <t>Naser Mohammed</t>
  </si>
  <si>
    <t>Jardar Øvrebø-Feldt</t>
  </si>
  <si>
    <t>Breimsbygda IL</t>
  </si>
  <si>
    <t>Martin Christoffer Nordgård</t>
  </si>
  <si>
    <t>Lennart Hafsmo Vitsø</t>
  </si>
  <si>
    <t>2012029</t>
  </si>
  <si>
    <t>2011012</t>
  </si>
  <si>
    <t>2011020</t>
  </si>
  <si>
    <t>2012016</t>
  </si>
  <si>
    <t>2011036</t>
  </si>
  <si>
    <t>2011021</t>
  </si>
  <si>
    <t>2011031</t>
  </si>
  <si>
    <t>Jørgen Bysveen</t>
  </si>
  <si>
    <t>T&amp;IL National</t>
  </si>
  <si>
    <t>Andreas Kvame</t>
  </si>
  <si>
    <t>Benjamin Tmava</t>
  </si>
  <si>
    <t>René Myhre</t>
  </si>
  <si>
    <t>Marius Lunde Karagiannis</t>
  </si>
  <si>
    <t>Lyder Slagstad Aamot</t>
  </si>
  <si>
    <t>Sondre Elias Fredriksen</t>
  </si>
  <si>
    <t>Jacob T. Sverdrup</t>
  </si>
  <si>
    <t>Albert Jonas Midtbø-Figueroa</t>
  </si>
  <si>
    <t>2010010</t>
  </si>
  <si>
    <t>2009026</t>
  </si>
  <si>
    <t>2010033</t>
  </si>
  <si>
    <t>2009016</t>
  </si>
  <si>
    <t>2010002</t>
  </si>
  <si>
    <t>2010015</t>
  </si>
  <si>
    <t>2010001</t>
  </si>
  <si>
    <t>2010003</t>
  </si>
  <si>
    <t>2010029</t>
  </si>
  <si>
    <t>15-16</t>
  </si>
  <si>
    <t>UM</t>
  </si>
  <si>
    <t>13-14</t>
  </si>
  <si>
    <t>Olai Slagstad Aamot</t>
  </si>
  <si>
    <t>Kristian Ege</t>
  </si>
  <si>
    <t>Vigrestad IK</t>
  </si>
  <si>
    <t>Tomack Sand</t>
  </si>
  <si>
    <t>Andreas Kvamsås Savland</t>
  </si>
  <si>
    <t>Erik Orasmäe</t>
  </si>
  <si>
    <t>Nikolai K. Aadland</t>
  </si>
  <si>
    <t>AK Bjørgvin</t>
  </si>
  <si>
    <t>Matias Meland Birkeland</t>
  </si>
  <si>
    <t>Roland Siska</t>
  </si>
  <si>
    <t>Rene A. Rand Djupå</t>
  </si>
  <si>
    <t>2008022</t>
  </si>
  <si>
    <t>2007017</t>
  </si>
  <si>
    <t>2007002</t>
  </si>
  <si>
    <t>2008023</t>
  </si>
  <si>
    <t>2007015</t>
  </si>
  <si>
    <t>2008009</t>
  </si>
  <si>
    <t>2008033</t>
  </si>
  <si>
    <t>2008001</t>
  </si>
  <si>
    <t>2007001</t>
  </si>
  <si>
    <t>17-18</t>
  </si>
  <si>
    <t>Natali Siska</t>
  </si>
  <si>
    <t>Solveig Olsen</t>
  </si>
  <si>
    <t>Ingrid Skag Skjefstad</t>
  </si>
  <si>
    <t>Arwen Olea Dagsland Ravneng</t>
  </si>
  <si>
    <t>Elnaz Tajik</t>
  </si>
  <si>
    <t>Eline Høien</t>
  </si>
  <si>
    <t>Melissa Magnes</t>
  </si>
  <si>
    <t>Spydeberg Atletene</t>
  </si>
  <si>
    <t>Ingeborg Liland</t>
  </si>
  <si>
    <t>Mille Østli Dekke</t>
  </si>
  <si>
    <t>2011030</t>
  </si>
  <si>
    <t>2012007</t>
  </si>
  <si>
    <t>2011002</t>
  </si>
  <si>
    <t>2011028</t>
  </si>
  <si>
    <t>2007021</t>
  </si>
  <si>
    <t>2008005</t>
  </si>
  <si>
    <t>2007028</t>
  </si>
  <si>
    <t>2008031</t>
  </si>
  <si>
    <t>2008003</t>
  </si>
  <si>
    <t>UK</t>
  </si>
  <si>
    <t>Lea Berge Jensen</t>
  </si>
  <si>
    <t>Heidi Nævdal</t>
  </si>
  <si>
    <t>Sigrid Johanne Røvik</t>
  </si>
  <si>
    <t>Madeleine Indrebø</t>
  </si>
  <si>
    <t>Sandra Viktoria N. Amundsen</t>
  </si>
  <si>
    <t>2009003</t>
  </si>
  <si>
    <t>2009007</t>
  </si>
  <si>
    <t>2009018</t>
  </si>
  <si>
    <t>2009034</t>
  </si>
  <si>
    <t>2010004</t>
  </si>
  <si>
    <t>Sindre K. Nesheim</t>
  </si>
  <si>
    <t>Julius Ellertsson</t>
  </si>
  <si>
    <t>Bent André Midtbø</t>
  </si>
  <si>
    <t>Daniel Rønquist Erichsen</t>
  </si>
  <si>
    <t>Grenland AK</t>
  </si>
  <si>
    <t>Arnes Hrnjic</t>
  </si>
  <si>
    <t>Marcus Lundqvist</t>
  </si>
  <si>
    <t>John Anders Terland</t>
  </si>
  <si>
    <t>Yngve Sundt</t>
  </si>
  <si>
    <t>Stavanger AK</t>
  </si>
  <si>
    <t>Robin Røed-Andresen</t>
  </si>
  <si>
    <t>Johan Thonerud</t>
  </si>
  <si>
    <t>2001014</t>
  </si>
  <si>
    <t>2001013</t>
  </si>
  <si>
    <t>2000010</t>
  </si>
  <si>
    <t>1996029</t>
  </si>
  <si>
    <t>2001012</t>
  </si>
  <si>
    <t>1970009</t>
  </si>
  <si>
    <t>1987017</t>
  </si>
  <si>
    <t>1979011</t>
  </si>
  <si>
    <t>1990012</t>
  </si>
  <si>
    <t>1953001</t>
  </si>
  <si>
    <t>24-34</t>
  </si>
  <si>
    <t>+35</t>
  </si>
  <si>
    <t>Rina Tysse</t>
  </si>
  <si>
    <t>Trine Endestad Hellevang</t>
  </si>
  <si>
    <t>Hedda Øverli</t>
  </si>
  <si>
    <t>Tromsø AK</t>
  </si>
  <si>
    <t>Maria Sæterstøl</t>
  </si>
  <si>
    <t>Fride Olsen Mork</t>
  </si>
  <si>
    <t>Linda Espenes</t>
  </si>
  <si>
    <t>Nhu Tran</t>
  </si>
  <si>
    <t>Heidrun S. Sigurdardottir</t>
  </si>
  <si>
    <t>Cecilie Waland</t>
  </si>
  <si>
    <t>Christine Berge Christiansen</t>
  </si>
  <si>
    <t>Monika Zakrzewska</t>
  </si>
  <si>
    <t>2005009</t>
  </si>
  <si>
    <t>2005006</t>
  </si>
  <si>
    <t>2006014</t>
  </si>
  <si>
    <t>2002022</t>
  </si>
  <si>
    <t>2002018</t>
  </si>
  <si>
    <t>1983014</t>
  </si>
  <si>
    <t>1983008</t>
  </si>
  <si>
    <t>1981012</t>
  </si>
  <si>
    <t>1982015</t>
  </si>
  <si>
    <t>1976011</t>
  </si>
  <si>
    <t>1975001</t>
  </si>
  <si>
    <t>SK</t>
  </si>
  <si>
    <t>Anette F. Høyland</t>
  </si>
  <si>
    <t>Frida Baade</t>
  </si>
  <si>
    <t>Oslo AK</t>
  </si>
  <si>
    <t>Andrine Hveding</t>
  </si>
  <si>
    <t>Martina Elise Gregersen</t>
  </si>
  <si>
    <t>Rebekka Tao Jacobsen</t>
  </si>
  <si>
    <t>Vilde Elisabeth Davidsen</t>
  </si>
  <si>
    <t>Serine Pedersen</t>
  </si>
  <si>
    <t>1995020</t>
  </si>
  <si>
    <t>1999003</t>
  </si>
  <si>
    <t>2001030</t>
  </si>
  <si>
    <t>1998019</t>
  </si>
  <si>
    <t>1996005</t>
  </si>
  <si>
    <t>2000003</t>
  </si>
  <si>
    <t>1998024</t>
  </si>
  <si>
    <t>K50</t>
  </si>
  <si>
    <t>K45</t>
  </si>
  <si>
    <t>Tom Danielsen</t>
  </si>
  <si>
    <t>1966002</t>
  </si>
  <si>
    <t>M65</t>
  </si>
  <si>
    <t>M75</t>
  </si>
  <si>
    <t>M35</t>
  </si>
  <si>
    <t>M40</t>
  </si>
  <si>
    <t>M50</t>
  </si>
  <si>
    <t>Plass</t>
  </si>
  <si>
    <t>Kr.vekt</t>
  </si>
  <si>
    <t>Kat. vl</t>
  </si>
  <si>
    <t>Kat. 5-k</t>
  </si>
  <si>
    <t>Født</t>
  </si>
  <si>
    <t>Hopp</t>
  </si>
  <si>
    <t>Kule</t>
  </si>
  <si>
    <t>Kvinner inntil 18 år</t>
  </si>
  <si>
    <t>Kvinner  over 18 år</t>
  </si>
  <si>
    <t>Menn inntil 18 år</t>
  </si>
  <si>
    <t>Menn over 18 år</t>
  </si>
  <si>
    <t>Hjelpekolonner</t>
  </si>
  <si>
    <t>PULJE 1</t>
  </si>
  <si>
    <t>Resultat NM 5-kamp lagkonkurranse</t>
  </si>
  <si>
    <t>LARVIK AK</t>
  </si>
  <si>
    <t>PULJE 9</t>
  </si>
  <si>
    <t>PULJE 8</t>
  </si>
  <si>
    <t>PULJE 7</t>
  </si>
  <si>
    <t>PULJE 6</t>
  </si>
  <si>
    <t>PULJE 5</t>
  </si>
  <si>
    <t>PULJE 4</t>
  </si>
  <si>
    <t>PULJE 3</t>
  </si>
  <si>
    <t>PULJE 2</t>
  </si>
  <si>
    <t>13.-14.09.25</t>
  </si>
  <si>
    <t>Vigrestad</t>
  </si>
  <si>
    <t>Spydebergatletene</t>
  </si>
  <si>
    <t>T&amp;il National</t>
  </si>
  <si>
    <t>Tambarskjelvar</t>
  </si>
  <si>
    <t>110</t>
  </si>
  <si>
    <t>x</t>
  </si>
  <si>
    <t>-</t>
  </si>
  <si>
    <t>Christian Lysenstøen</t>
  </si>
  <si>
    <t xml:space="preserve">Jarle Bjerkholt </t>
  </si>
  <si>
    <t>Marte Krogsrud</t>
  </si>
  <si>
    <t>Hilde Næss</t>
  </si>
  <si>
    <t>Randi Schei</t>
  </si>
  <si>
    <t>Johan Thonrud</t>
  </si>
  <si>
    <t>Cato Lie</t>
  </si>
  <si>
    <t>Erlend Raastad</t>
  </si>
  <si>
    <t>Jarle Bjerkholt</t>
  </si>
  <si>
    <t xml:space="preserve">Johnny Block </t>
  </si>
  <si>
    <t>Mikkel Eriksen</t>
  </si>
  <si>
    <t>Lars Hage</t>
  </si>
  <si>
    <t>Gunnar Knudsen</t>
  </si>
  <si>
    <t>Linn Christina Larssen</t>
  </si>
  <si>
    <t>Terje Gulvik</t>
  </si>
  <si>
    <t>William A. Christiansen</t>
  </si>
  <si>
    <t>Ken Berge</t>
  </si>
  <si>
    <t xml:space="preserve">Cato Lie </t>
  </si>
  <si>
    <t>William Christiansen</t>
  </si>
  <si>
    <t xml:space="preserve">Roy W. Johannessen </t>
  </si>
  <si>
    <t>Roy W. Johannessen</t>
  </si>
  <si>
    <t>xxx</t>
  </si>
  <si>
    <t>2.</t>
  </si>
  <si>
    <t>1.</t>
  </si>
  <si>
    <t>3.</t>
  </si>
  <si>
    <t>4.</t>
  </si>
  <si>
    <t>5.</t>
  </si>
  <si>
    <t>6.</t>
  </si>
  <si>
    <t>7.</t>
  </si>
  <si>
    <t>63</t>
  </si>
  <si>
    <t>69</t>
  </si>
  <si>
    <t>+86</t>
  </si>
  <si>
    <t>58</t>
  </si>
  <si>
    <t>86</t>
  </si>
  <si>
    <t xml:space="preserve">Beskrivelse rekorder, 58 kg SK: Rebekka Tao Jacobsen, Støt 105 kg og 106 kg, SML 184 kg og 185 kg. </t>
  </si>
  <si>
    <t>JK</t>
  </si>
  <si>
    <t>K40</t>
  </si>
  <si>
    <t>77</t>
  </si>
  <si>
    <t>53</t>
  </si>
  <si>
    <r>
      <t>Beskrivelse rekorder:</t>
    </r>
    <r>
      <rPr>
        <sz val="11"/>
        <color rgb="FFFF0000"/>
        <rFont val="Times New Roman"/>
        <family val="1"/>
      </rPr>
      <t xml:space="preserve"> </t>
    </r>
  </si>
  <si>
    <t>94</t>
  </si>
  <si>
    <t>88</t>
  </si>
  <si>
    <t>+110</t>
  </si>
  <si>
    <t>7</t>
  </si>
  <si>
    <t>8</t>
  </si>
  <si>
    <t>0</t>
  </si>
  <si>
    <t>5</t>
  </si>
  <si>
    <t>9</t>
  </si>
  <si>
    <t>10</t>
  </si>
  <si>
    <t>+77</t>
  </si>
  <si>
    <t>44</t>
  </si>
  <si>
    <t>48</t>
  </si>
  <si>
    <t>79</t>
  </si>
  <si>
    <t>71</t>
  </si>
  <si>
    <t>56</t>
  </si>
  <si>
    <t>8.</t>
  </si>
  <si>
    <t>60</t>
  </si>
  <si>
    <t>65</t>
  </si>
  <si>
    <t>+94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</si>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</sst>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47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  <font>
      <b/>
      <sz val="24"/>
      <color indexed="9"/>
      <name val="Arial"/>
      <family val="2"/>
    </font>
    <font>
      <b/>
      <sz val="20"/>
      <color indexed="9"/>
      <name val="Arial"/>
      <family val="2"/>
    </font>
    <font>
      <b/>
      <sz val="20"/>
      <color rgb="FFFFFFFF"/>
      <name val="Arial"/>
      <family val="2"/>
    </font>
    <font>
      <sz val="20"/>
      <name val="MS Sans Serif"/>
    </font>
    <font>
      <b/>
      <sz val="16"/>
      <name val="Arial"/>
      <family val="2"/>
    </font>
    <font>
      <sz val="22"/>
      <name val="Times New Roman"/>
      <family val="1"/>
    </font>
    <font>
      <b/>
      <sz val="11"/>
      <name val="Arial"/>
      <family val="2"/>
    </font>
    <font>
      <sz val="11"/>
      <color rgb="FF3F3F76"/>
      <name val="Calibri"/>
      <family val="2"/>
      <scheme val="minor"/>
    </font>
    <font>
      <sz val="14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b/>
      <i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rgb="FFCC9C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</patternFill>
    </fill>
    <fill>
      <patternFill patternType="solid">
        <fgColor theme="3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2" fillId="0" borderId="0"/>
    <xf numFmtId="0" fontId="40" fillId="9" borderId="60" applyNumberFormat="0" applyAlignment="0" applyProtection="0"/>
  </cellStyleXfs>
  <cellXfs count="28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1" fillId="0" borderId="18" xfId="7" applyFont="1" applyBorder="1" applyAlignment="1">
      <alignment horizontal="center"/>
    </xf>
    <xf numFmtId="0" fontId="21" fillId="0" borderId="3" xfId="7" applyFont="1" applyBorder="1" applyAlignment="1">
      <alignment horizontal="center"/>
    </xf>
    <xf numFmtId="0" fontId="21" fillId="0" borderId="16" xfId="7" applyFont="1" applyBorder="1" applyAlignment="1">
      <alignment horizontal="center"/>
    </xf>
    <xf numFmtId="2" fontId="21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1" fillId="0" borderId="34" xfId="7" applyFont="1" applyBorder="1" applyAlignment="1">
      <alignment horizontal="center"/>
    </xf>
    <xf numFmtId="0" fontId="21" fillId="0" borderId="2" xfId="7" applyFont="1" applyBorder="1" applyAlignment="1">
      <alignment horizontal="center"/>
    </xf>
    <xf numFmtId="2" fontId="21" fillId="0" borderId="2" xfId="7" applyNumberFormat="1" applyFont="1" applyBorder="1" applyAlignment="1">
      <alignment horizontal="center"/>
    </xf>
    <xf numFmtId="2" fontId="21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5" fillId="0" borderId="35" xfId="8" applyNumberFormat="1" applyFont="1" applyBorder="1" applyAlignment="1">
      <alignment horizontal="center" vertical="center"/>
    </xf>
    <xf numFmtId="49" fontId="25" fillId="0" borderId="36" xfId="8" applyNumberFormat="1" applyFont="1" applyBorder="1" applyAlignment="1">
      <alignment horizontal="center" vertical="center"/>
    </xf>
    <xf numFmtId="49" fontId="25" fillId="0" borderId="36" xfId="8" quotePrefix="1" applyNumberFormat="1" applyFont="1" applyBorder="1" applyAlignment="1">
      <alignment horizontal="center" vertical="center"/>
    </xf>
    <xf numFmtId="171" fontId="25" fillId="0" borderId="37" xfId="8" applyNumberFormat="1" applyFont="1" applyBorder="1" applyAlignment="1">
      <alignment horizontal="center" vertical="center"/>
    </xf>
    <xf numFmtId="1" fontId="25" fillId="0" borderId="37" xfId="8" applyNumberFormat="1" applyFont="1" applyBorder="1" applyAlignment="1">
      <alignment horizontal="center" vertical="center"/>
    </xf>
    <xf numFmtId="0" fontId="25" fillId="0" borderId="37" xfId="8" applyFont="1" applyBorder="1" applyAlignment="1">
      <alignment vertical="center"/>
    </xf>
    <xf numFmtId="0" fontId="25" fillId="0" borderId="37" xfId="8" applyFont="1" applyBorder="1" applyAlignment="1">
      <alignment horizontal="left" vertical="center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3" xfId="0" applyNumberFormat="1" applyFont="1" applyBorder="1" applyAlignment="1">
      <alignment horizontal="center" vertical="center"/>
    </xf>
    <xf numFmtId="1" fontId="25" fillId="0" borderId="42" xfId="0" applyNumberFormat="1" applyFont="1" applyBorder="1" applyAlignment="1">
      <alignment horizontal="center" vertical="center"/>
    </xf>
    <xf numFmtId="2" fontId="25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5" fillId="0" borderId="42" xfId="0" applyFont="1" applyBorder="1" applyAlignment="1">
      <alignment horizontal="center" vertical="center"/>
    </xf>
    <xf numFmtId="49" fontId="25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6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4" fillId="0" borderId="42" xfId="0" applyNumberFormat="1" applyFont="1" applyBorder="1" applyAlignment="1" applyProtection="1">
      <alignment horizontal="center" vertical="center"/>
      <protection locked="0"/>
    </xf>
    <xf numFmtId="2" fontId="23" fillId="0" borderId="42" xfId="7" applyNumberFormat="1" applyFont="1" applyBorder="1" applyAlignment="1" applyProtection="1">
      <alignment horizontal="center" vertical="center"/>
      <protection locked="0"/>
    </xf>
    <xf numFmtId="2" fontId="23" fillId="0" borderId="42" xfId="7" applyNumberFormat="1" applyFont="1" applyBorder="1" applyAlignment="1">
      <alignment horizontal="center" vertical="center"/>
    </xf>
    <xf numFmtId="49" fontId="25" fillId="0" borderId="44" xfId="8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5" fillId="0" borderId="45" xfId="8" applyNumberFormat="1" applyFont="1" applyBorder="1" applyAlignment="1">
      <alignment horizontal="center" vertical="center"/>
    </xf>
    <xf numFmtId="2" fontId="25" fillId="0" borderId="46" xfId="8" applyNumberFormat="1" applyFont="1" applyBorder="1" applyAlignment="1">
      <alignment horizontal="center" vertical="center"/>
    </xf>
    <xf numFmtId="2" fontId="25" fillId="0" borderId="47" xfId="8" applyNumberFormat="1" applyFont="1" applyBorder="1" applyAlignment="1">
      <alignment horizontal="center" vertical="center"/>
    </xf>
    <xf numFmtId="0" fontId="25" fillId="0" borderId="47" xfId="8" applyFont="1" applyBorder="1" applyAlignment="1">
      <alignment horizontal="center" vertical="center"/>
    </xf>
    <xf numFmtId="14" fontId="25" fillId="0" borderId="47" xfId="8" applyNumberFormat="1" applyFont="1" applyBorder="1" applyAlignment="1">
      <alignment horizontal="center" vertical="center"/>
    </xf>
    <xf numFmtId="1" fontId="25" fillId="0" borderId="48" xfId="8" applyNumberFormat="1" applyFont="1" applyBorder="1" applyAlignment="1">
      <alignment horizontal="center" vertical="center"/>
    </xf>
    <xf numFmtId="0" fontId="25" fillId="0" borderId="48" xfId="8" applyFont="1" applyBorder="1" applyAlignment="1">
      <alignment horizontal="left" vertical="center"/>
    </xf>
    <xf numFmtId="49" fontId="9" fillId="0" borderId="49" xfId="7" applyNumberFormat="1" applyFont="1" applyBorder="1" applyAlignment="1" applyProtection="1">
      <alignment horizontal="center" vertical="center"/>
      <protection locked="0"/>
    </xf>
    <xf numFmtId="49" fontId="9" fillId="0" borderId="49" xfId="7" quotePrefix="1" applyNumberFormat="1" applyFont="1" applyBorder="1" applyAlignment="1" applyProtection="1">
      <alignment horizontal="center" vertical="center"/>
      <protection locked="0"/>
    </xf>
    <xf numFmtId="167" fontId="9" fillId="0" borderId="49" xfId="0" applyNumberFormat="1" applyFont="1" applyBorder="1" applyAlignment="1" applyProtection="1">
      <alignment horizontal="center" vertical="center"/>
      <protection locked="0"/>
    </xf>
    <xf numFmtId="1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49" xfId="7" applyFont="1" applyBorder="1" applyAlignment="1" applyProtection="1">
      <alignment horizontal="left" vertical="center"/>
      <protection locked="0"/>
    </xf>
    <xf numFmtId="1" fontId="9" fillId="0" borderId="49" xfId="7" applyNumberFormat="1" applyFont="1" applyBorder="1" applyAlignment="1" applyProtection="1">
      <alignment horizontal="center" vertical="center"/>
      <protection locked="0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5" fillId="0" borderId="51" xfId="0" applyNumberFormat="1" applyFont="1" applyBorder="1" applyAlignment="1">
      <alignment horizontal="center" vertical="center"/>
    </xf>
    <xf numFmtId="1" fontId="25" fillId="0" borderId="49" xfId="0" applyNumberFormat="1" applyFont="1" applyBorder="1" applyAlignment="1">
      <alignment horizontal="center" vertical="center"/>
    </xf>
    <xf numFmtId="2" fontId="25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7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0" fontId="36" fillId="0" borderId="0" xfId="0" applyFont="1"/>
    <xf numFmtId="0" fontId="16" fillId="0" borderId="56" xfId="0" applyFont="1" applyBorder="1" applyAlignment="1">
      <alignment horizontal="center"/>
    </xf>
    <xf numFmtId="49" fontId="16" fillId="0" borderId="56" xfId="0" applyNumberFormat="1" applyFont="1" applyBorder="1" applyAlignment="1">
      <alignment horizontal="center"/>
    </xf>
    <xf numFmtId="0" fontId="16" fillId="0" borderId="56" xfId="0" applyFont="1" applyBorder="1" applyAlignment="1">
      <alignment horizontal="left"/>
    </xf>
    <xf numFmtId="0" fontId="37" fillId="0" borderId="0" xfId="0" applyFont="1" applyAlignment="1">
      <alignment horizontal="center"/>
    </xf>
    <xf numFmtId="0" fontId="38" fillId="0" borderId="0" xfId="0" applyFont="1"/>
    <xf numFmtId="1" fontId="9" fillId="0" borderId="0" xfId="0" applyNumberFormat="1" applyFont="1" applyAlignment="1" applyProtection="1">
      <alignment horizontal="right"/>
      <protection locked="0"/>
    </xf>
    <xf numFmtId="2" fontId="9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39" fillId="0" borderId="0" xfId="0" applyNumberFormat="1" applyFont="1" applyAlignment="1">
      <alignment horizontal="right"/>
    </xf>
    <xf numFmtId="2" fontId="0" fillId="0" borderId="0" xfId="0" applyNumberFormat="1"/>
    <xf numFmtId="2" fontId="9" fillId="0" borderId="13" xfId="0" applyNumberFormat="1" applyFont="1" applyBorder="1" applyAlignment="1">
      <alignment horizontal="center"/>
    </xf>
    <xf numFmtId="167" fontId="9" fillId="0" borderId="13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left"/>
    </xf>
    <xf numFmtId="1" fontId="9" fillId="0" borderId="13" xfId="0" applyNumberFormat="1" applyFont="1" applyBorder="1" applyAlignment="1">
      <alignment horizontal="right"/>
    </xf>
    <xf numFmtId="2" fontId="9" fillId="0" borderId="13" xfId="0" applyNumberFormat="1" applyFont="1" applyBorder="1" applyAlignment="1">
      <alignment horizontal="right"/>
    </xf>
    <xf numFmtId="0" fontId="42" fillId="7" borderId="0" xfId="0" applyFont="1" applyFill="1"/>
    <xf numFmtId="0" fontId="42" fillId="7" borderId="0" xfId="0" applyFont="1" applyFill="1" applyAlignment="1">
      <alignment horizontal="right"/>
    </xf>
    <xf numFmtId="2" fontId="42" fillId="7" borderId="0" xfId="0" applyNumberFormat="1" applyFont="1" applyFill="1" applyAlignment="1">
      <alignment horizontal="right"/>
    </xf>
    <xf numFmtId="0" fontId="43" fillId="0" borderId="0" xfId="0" applyFont="1"/>
    <xf numFmtId="0" fontId="41" fillId="0" borderId="0" xfId="0" applyFont="1"/>
    <xf numFmtId="0" fontId="42" fillId="10" borderId="0" xfId="0" applyFont="1" applyFill="1"/>
    <xf numFmtId="0" fontId="42" fillId="10" borderId="0" xfId="0" applyFont="1" applyFill="1" applyAlignment="1">
      <alignment horizontal="right"/>
    </xf>
    <xf numFmtId="2" fontId="42" fillId="10" borderId="0" xfId="0" applyNumberFormat="1" applyFont="1" applyFill="1" applyAlignment="1">
      <alignment horizontal="right"/>
    </xf>
    <xf numFmtId="2" fontId="0" fillId="0" borderId="13" xfId="0" applyNumberFormat="1" applyBorder="1"/>
    <xf numFmtId="49" fontId="0" fillId="0" borderId="13" xfId="0" applyNumberFormat="1" applyBorder="1"/>
    <xf numFmtId="49" fontId="16" fillId="0" borderId="13" xfId="0" applyNumberFormat="1" applyFont="1" applyBorder="1"/>
    <xf numFmtId="167" fontId="16" fillId="0" borderId="13" xfId="0" applyNumberFormat="1" applyFont="1" applyBorder="1"/>
    <xf numFmtId="0" fontId="16" fillId="0" borderId="13" xfId="0" applyFont="1" applyBorder="1"/>
    <xf numFmtId="1" fontId="16" fillId="0" borderId="13" xfId="0" applyNumberFormat="1" applyFont="1" applyBorder="1"/>
    <xf numFmtId="2" fontId="16" fillId="0" borderId="13" xfId="0" applyNumberFormat="1" applyFont="1" applyBorder="1"/>
    <xf numFmtId="0" fontId="0" fillId="0" borderId="13" xfId="0" applyBorder="1"/>
    <xf numFmtId="0" fontId="38" fillId="0" borderId="13" xfId="0" applyFont="1" applyBorder="1"/>
    <xf numFmtId="0" fontId="9" fillId="0" borderId="50" xfId="0" applyFont="1" applyBorder="1" applyAlignment="1">
      <alignment horizontal="center" vertical="center"/>
    </xf>
    <xf numFmtId="49" fontId="9" fillId="0" borderId="39" xfId="7" quotePrefix="1" applyNumberFormat="1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center" vertical="center"/>
    </xf>
    <xf numFmtId="2" fontId="45" fillId="0" borderId="52" xfId="7" applyNumberFormat="1" applyFont="1" applyBorder="1" applyAlignment="1" applyProtection="1">
      <alignment horizontal="center" vertical="center"/>
      <protection locked="0"/>
    </xf>
    <xf numFmtId="2" fontId="45" fillId="0" borderId="38" xfId="7" applyNumberFormat="1" applyFont="1" applyBorder="1" applyAlignment="1">
      <alignment horizontal="center" vertical="center"/>
    </xf>
    <xf numFmtId="2" fontId="45" fillId="0" borderId="42" xfId="7" applyNumberFormat="1" applyFont="1" applyBorder="1" applyAlignment="1" applyProtection="1">
      <alignment horizontal="center" vertical="center"/>
      <protection locked="0"/>
    </xf>
    <xf numFmtId="2" fontId="45" fillId="0" borderId="49" xfId="7" applyNumberFormat="1" applyFont="1" applyBorder="1" applyAlignment="1" applyProtection="1">
      <alignment horizontal="center" vertical="center"/>
      <protection locked="0"/>
    </xf>
    <xf numFmtId="164" fontId="46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29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1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167" fontId="9" fillId="0" borderId="0" xfId="0" applyNumberFormat="1" applyFont="1" applyAlignment="1" applyProtection="1">
      <alignment horizontal="left"/>
      <protection locked="0"/>
    </xf>
    <xf numFmtId="0" fontId="33" fillId="5" borderId="53" xfId="0" applyFont="1" applyFill="1" applyBorder="1" applyAlignment="1">
      <alignment horizontal="center"/>
    </xf>
    <xf numFmtId="0" fontId="33" fillId="5" borderId="54" xfId="0" applyFont="1" applyFill="1" applyBorder="1" applyAlignment="1">
      <alignment horizontal="center"/>
    </xf>
    <xf numFmtId="0" fontId="33" fillId="5" borderId="55" xfId="0" applyFont="1" applyFill="1" applyBorder="1" applyAlignment="1">
      <alignment horizontal="center"/>
    </xf>
    <xf numFmtId="0" fontId="34" fillId="5" borderId="53" xfId="0" applyFont="1" applyFill="1" applyBorder="1" applyAlignment="1">
      <alignment horizontal="center"/>
    </xf>
    <xf numFmtId="0" fontId="34" fillId="5" borderId="54" xfId="0" applyFont="1" applyFill="1" applyBorder="1" applyAlignment="1">
      <alignment horizontal="center"/>
    </xf>
    <xf numFmtId="0" fontId="34" fillId="5" borderId="54" xfId="0" applyFont="1" applyFill="1" applyBorder="1" applyAlignment="1">
      <alignment horizontal="center" wrapText="1"/>
    </xf>
    <xf numFmtId="167" fontId="35" fillId="6" borderId="54" xfId="0" applyNumberFormat="1" applyFont="1" applyFill="1" applyBorder="1" applyAlignment="1">
      <alignment horizontal="center" wrapText="1"/>
    </xf>
    <xf numFmtId="0" fontId="37" fillId="7" borderId="53" xfId="0" applyFont="1" applyFill="1" applyBorder="1" applyAlignment="1">
      <alignment horizontal="center"/>
    </xf>
    <xf numFmtId="0" fontId="37" fillId="7" borderId="54" xfId="0" applyFont="1" applyFill="1" applyBorder="1" applyAlignment="1">
      <alignment horizontal="center"/>
    </xf>
    <xf numFmtId="0" fontId="37" fillId="7" borderId="55" xfId="0" applyFont="1" applyFill="1" applyBorder="1" applyAlignment="1">
      <alignment horizontal="center"/>
    </xf>
    <xf numFmtId="0" fontId="40" fillId="9" borderId="61" xfId="9" applyBorder="1" applyAlignment="1">
      <alignment horizontal="center" vertical="center" textRotation="90"/>
    </xf>
    <xf numFmtId="0" fontId="40" fillId="9" borderId="62" xfId="9" applyBorder="1" applyAlignment="1">
      <alignment horizontal="center" vertical="center" textRotation="90"/>
    </xf>
    <xf numFmtId="0" fontId="40" fillId="9" borderId="63" xfId="9" applyBorder="1" applyAlignment="1">
      <alignment horizontal="center" vertical="center" textRotation="90"/>
    </xf>
    <xf numFmtId="0" fontId="37" fillId="10" borderId="58" xfId="0" applyFont="1" applyFill="1" applyBorder="1" applyAlignment="1">
      <alignment horizontal="center"/>
    </xf>
    <xf numFmtId="0" fontId="37" fillId="10" borderId="57" xfId="0" applyFont="1" applyFill="1" applyBorder="1" applyAlignment="1">
      <alignment horizontal="center"/>
    </xf>
    <xf numFmtId="0" fontId="37" fillId="10" borderId="59" xfId="0" applyFont="1" applyFill="1" applyBorder="1" applyAlignment="1">
      <alignment horizontal="center"/>
    </xf>
    <xf numFmtId="0" fontId="42" fillId="7" borderId="0" xfId="0" applyFont="1" applyFill="1" applyAlignment="1">
      <alignment horizontal="left"/>
    </xf>
    <xf numFmtId="0" fontId="37" fillId="8" borderId="53" xfId="0" applyFont="1" applyFill="1" applyBorder="1" applyAlignment="1">
      <alignment horizontal="center"/>
    </xf>
    <xf numFmtId="0" fontId="37" fillId="8" borderId="54" xfId="0" applyFont="1" applyFill="1" applyBorder="1" applyAlignment="1">
      <alignment horizontal="center"/>
    </xf>
    <xf numFmtId="0" fontId="37" fillId="8" borderId="55" xfId="0" applyFont="1" applyFill="1" applyBorder="1" applyAlignment="1">
      <alignment horizontal="center"/>
    </xf>
    <xf numFmtId="0" fontId="42" fillId="10" borderId="0" xfId="0" applyFont="1" applyFill="1" applyAlignment="1">
      <alignment horizontal="left"/>
    </xf>
    <xf numFmtId="0" fontId="16" fillId="0" borderId="0" xfId="0" applyFont="1" applyAlignment="1">
      <alignment horizontal="center"/>
    </xf>
  </cellXfs>
  <cellStyles count="10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Inndata" xfId="9" builtinId="20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270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15EEE418-C3A6-6944-BD4F-E5E448BF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008F471D-E715-4371-8FC9-4C33AE52B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65B2A461-1F61-4FE9-BD02-64B6F1F62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9B724A32-7762-4CDA-911A-7295DC9B7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D3525513-43FE-4413-9502-4D47E35D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4E4B11BB-752B-455F-831F-A656C0200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1C064437-894B-489C-9BB6-558B1C7FA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261D9F8D-9A72-40D0-8758-B74DFEC9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555" y="180340"/>
          <a:ext cx="84899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Zeros="0" showOutlineSymbols="0" topLeftCell="A2" zoomScaleNormal="100" zoomScaleSheetLayoutView="75" zoomScalePageLayoutView="120" workbookViewId="0">
      <selection activeCell="G4" sqref="G1:G1048576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hidden="1" customWidth="1"/>
    <col min="5" max="5" width="6.3984375" style="16" customWidth="1"/>
    <col min="6" max="6" width="6.796875" style="16" customWidth="1"/>
    <col min="7" max="7" width="10.59765625" style="1" hidden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35" t="s">
        <v>57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83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36" t="s">
        <v>21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85" t="s">
        <v>59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55" t="s">
        <v>61</v>
      </c>
      <c r="E5" s="255"/>
      <c r="F5" s="255"/>
      <c r="G5" s="255"/>
      <c r="H5" s="255"/>
      <c r="I5" s="255"/>
      <c r="J5" s="24" t="s">
        <v>0</v>
      </c>
      <c r="K5" s="255" t="s">
        <v>62</v>
      </c>
      <c r="L5" s="255"/>
      <c r="M5" s="255"/>
      <c r="N5" s="255"/>
      <c r="O5" s="24" t="s">
        <v>1</v>
      </c>
      <c r="P5" s="254" t="s">
        <v>63</v>
      </c>
      <c r="Q5" s="254"/>
      <c r="R5" s="254"/>
      <c r="S5" s="254"/>
      <c r="T5" s="24" t="s">
        <v>2</v>
      </c>
      <c r="U5" s="266">
        <v>45913</v>
      </c>
      <c r="V5" s="266"/>
      <c r="W5" s="55"/>
      <c r="X5" s="55"/>
      <c r="Y5" s="55"/>
      <c r="Z5" s="25" t="s">
        <v>15</v>
      </c>
      <c r="AA5" s="25"/>
      <c r="AB5" s="26">
        <v>1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4" t="s">
        <v>56</v>
      </c>
    </row>
    <row r="7" spans="1:36" s="1" customFormat="1">
      <c r="B7" s="252" t="s">
        <v>33</v>
      </c>
      <c r="C7" s="256" t="s">
        <v>52</v>
      </c>
      <c r="D7" s="256" t="s">
        <v>51</v>
      </c>
      <c r="E7" s="258" t="s">
        <v>53</v>
      </c>
      <c r="F7" s="260" t="s">
        <v>60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4"/>
    </row>
    <row r="8" spans="1:36" s="1" customFormat="1">
      <c r="B8" s="253"/>
      <c r="C8" s="257"/>
      <c r="D8" s="257"/>
      <c r="E8" s="259"/>
      <c r="F8" s="261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206" t="s">
        <v>78</v>
      </c>
      <c r="C9" s="162" t="s">
        <v>278</v>
      </c>
      <c r="D9" s="209">
        <v>95.81</v>
      </c>
      <c r="E9" s="162" t="s">
        <v>88</v>
      </c>
      <c r="F9" s="163" t="s">
        <v>87</v>
      </c>
      <c r="G9" s="164">
        <v>38227</v>
      </c>
      <c r="H9" s="165">
        <v>1</v>
      </c>
      <c r="I9" s="166" t="s">
        <v>64</v>
      </c>
      <c r="J9" s="167" t="s">
        <v>65</v>
      </c>
      <c r="K9" s="168">
        <v>102</v>
      </c>
      <c r="L9" s="169">
        <v>-106</v>
      </c>
      <c r="M9" s="169">
        <v>-106</v>
      </c>
      <c r="N9" s="168">
        <v>115</v>
      </c>
      <c r="O9" s="154" t="s">
        <v>280</v>
      </c>
      <c r="P9" s="154" t="s">
        <v>280</v>
      </c>
      <c r="Q9" s="155">
        <f>IF(MAX(K9:M9)&gt;0,IF(MAX(K9:M9)&lt;0,0,TRUNC(MAX(K9:M9)/1)*1),"")</f>
        <v>102</v>
      </c>
      <c r="R9" s="156">
        <f>IF(MAX(N9:P9)&gt;0,IF(MAX(N9:P9)&lt;0,0,TRUNC(MAX(N9:P9)/1)*1),"")</f>
        <v>115</v>
      </c>
      <c r="S9" s="156">
        <f>IF(Q9="","",IF(R9="","",IF(SUM(Q9:R9)=0,"",SUM(Q9:R9))))</f>
        <v>217</v>
      </c>
      <c r="T9" s="157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253.46723843067946</v>
      </c>
      <c r="U9" s="158" t="str">
        <f>IF(AF9=1,T9*AI9,"")</f>
        <v/>
      </c>
      <c r="V9" s="159">
        <v>7.86</v>
      </c>
      <c r="W9" s="159">
        <v>11.62</v>
      </c>
      <c r="X9" s="159">
        <v>6.5</v>
      </c>
      <c r="Y9" s="157"/>
      <c r="Z9" s="160"/>
      <c r="AA9" s="160" t="s">
        <v>309</v>
      </c>
      <c r="AB9" s="161"/>
      <c r="AC9" s="68">
        <f>U5</f>
        <v>45913</v>
      </c>
      <c r="AD9" s="69" t="str">
        <f>IF(ISNUMBER(FIND("M",E9)),"m",IF(ISNUMBER(FIND("K",E9)),"k"))</f>
        <v>m</v>
      </c>
      <c r="AE9" s="67">
        <f>IF(OR(G9="",AC9=""),0,(YEAR(AC9)-YEAR(G9)))</f>
        <v>21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1.1680517900031311</v>
      </c>
    </row>
    <row r="10" spans="1:36" s="8" customFormat="1" ht="20" customHeight="1">
      <c r="B10" s="207"/>
      <c r="C10" s="94"/>
      <c r="D10" s="210"/>
      <c r="E10" s="94"/>
      <c r="F10" s="95"/>
      <c r="G10" s="96"/>
      <c r="H10" s="97"/>
      <c r="I10" s="98"/>
      <c r="J10" s="98"/>
      <c r="K10" s="215"/>
      <c r="L10" s="215"/>
      <c r="M10" s="215"/>
      <c r="N10" s="216"/>
      <c r="O10" s="216"/>
      <c r="P10" s="216"/>
      <c r="Q10" s="99"/>
      <c r="R10" s="94"/>
      <c r="S10" s="215">
        <f>IF(T9="","",T9*1.2)</f>
        <v>304.16068611681533</v>
      </c>
      <c r="T10" s="215"/>
      <c r="U10" s="94"/>
      <c r="V10" s="94">
        <f>IF(V9&gt;0,V9*20,"")</f>
        <v>157.20000000000002</v>
      </c>
      <c r="W10" s="94">
        <f>IF(W9="","",(W9*10)*AJ9)</f>
        <v>135.72761799836383</v>
      </c>
      <c r="X10" s="100">
        <f>IF(ROUNDUP(X9,1)&gt;0,IF((80+(8-ROUNDUP(X9,1))*40)&lt;0,0,80+(8-ROUNDUP(X9,1))*40),"")</f>
        <v>140</v>
      </c>
      <c r="Y10" s="101">
        <f>IF(SUM(V10,W10,X10)&gt;0,SUM(V10,W10,X10),"")</f>
        <v>432.92761799836387</v>
      </c>
      <c r="Z10" s="102">
        <f>IF(AE9&gt;34,(IF(OR(S10="",V10="",W10="",X10=""),"",SUM(S10,V10,W10,X10))*AI9),IF(OR(S10="",V10="",W10="",X10=""),"", SUM(S10,V10,W10,X10)))</f>
        <v>737.0883041151792</v>
      </c>
      <c r="AA10" s="102"/>
      <c r="AB10" s="103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208" t="s">
        <v>79</v>
      </c>
      <c r="C11" s="162" t="s">
        <v>322</v>
      </c>
      <c r="D11" s="209">
        <v>79.67</v>
      </c>
      <c r="E11" s="162" t="s">
        <v>88</v>
      </c>
      <c r="F11" s="163" t="s">
        <v>87</v>
      </c>
      <c r="G11" s="164">
        <v>38615</v>
      </c>
      <c r="H11" s="165">
        <v>2</v>
      </c>
      <c r="I11" s="166" t="s">
        <v>66</v>
      </c>
      <c r="J11" s="167" t="s">
        <v>67</v>
      </c>
      <c r="K11" s="168">
        <v>94</v>
      </c>
      <c r="L11" s="169">
        <v>98</v>
      </c>
      <c r="M11" s="169">
        <v>-100</v>
      </c>
      <c r="N11" s="168">
        <v>117</v>
      </c>
      <c r="O11" s="113">
        <v>122</v>
      </c>
      <c r="P11" s="113">
        <v>-125</v>
      </c>
      <c r="Q11" s="114">
        <f>IF(MAX(K11:M11)&gt;0,IF(MAX(K11:M11)&lt;0,0,TRUNC(MAX(K11:M11)/1)*1),"")</f>
        <v>98</v>
      </c>
      <c r="R11" s="115">
        <f>IF(MAX(N11:P11)&gt;0,IF(MAX(N11:P11)&lt;0,0,TRUNC(MAX(N11:P11)/1)*1),"")</f>
        <v>122</v>
      </c>
      <c r="S11" s="115">
        <f>IF(Q11="","",IF(R11="","",IF(SUM(Q11:R11)=0,"",SUM(Q11:R11))))</f>
        <v>220</v>
      </c>
      <c r="T11" s="116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281.77694640821329</v>
      </c>
      <c r="U11" s="117" t="str">
        <f>IF(AF11=1,T11*AI11,"")</f>
        <v/>
      </c>
      <c r="V11" s="118">
        <v>7.69</v>
      </c>
      <c r="W11" s="118">
        <v>9.4700000000000006</v>
      </c>
      <c r="X11" s="118">
        <v>6.5</v>
      </c>
      <c r="Y11" s="119"/>
      <c r="Z11" s="120"/>
      <c r="AA11" s="120" t="s">
        <v>308</v>
      </c>
      <c r="AB11" s="121"/>
      <c r="AC11" s="66">
        <f>U5</f>
        <v>45913</v>
      </c>
      <c r="AD11" s="69" t="str">
        <f>IF(ISNUMBER(FIND("M",E11)),"m",IF(ISNUMBER(FIND("K",E11)),"k"))</f>
        <v>m</v>
      </c>
      <c r="AE11" s="67">
        <f>IF(OR(G11="",AC11=""),0,(YEAR(AC11)-YEAR(G11)))</f>
        <v>20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1.2808043018555149</v>
      </c>
    </row>
    <row r="12" spans="1:36" s="8" customFormat="1" ht="20" customHeight="1">
      <c r="B12" s="104"/>
      <c r="C12" s="94"/>
      <c r="D12" s="210"/>
      <c r="E12" s="94"/>
      <c r="F12" s="95"/>
      <c r="G12" s="96"/>
      <c r="H12" s="97"/>
      <c r="I12" s="98"/>
      <c r="J12" s="98"/>
      <c r="K12" s="215"/>
      <c r="L12" s="215"/>
      <c r="M12" s="215"/>
      <c r="N12" s="216"/>
      <c r="O12" s="216"/>
      <c r="P12" s="216"/>
      <c r="Q12" s="99"/>
      <c r="R12" s="94"/>
      <c r="S12" s="215">
        <f>IF(T11="","",T11*1.2)</f>
        <v>338.13233568985595</v>
      </c>
      <c r="T12" s="215"/>
      <c r="U12" s="102"/>
      <c r="V12" s="94">
        <f>IF(V11&gt;0,V11*20,"")</f>
        <v>153.80000000000001</v>
      </c>
      <c r="W12" s="94">
        <f>IF(W11="","",(W11*10)*AJ11)</f>
        <v>121.29216738571726</v>
      </c>
      <c r="X12" s="100">
        <f>IF(ROUNDUP(X11,1)&gt;0,IF((80+(8-ROUNDUP(X11,1))*40)&lt;0,0,80+(8-ROUNDUP(X11,1))*40),"")</f>
        <v>140</v>
      </c>
      <c r="Y12" s="101">
        <f>IF(SUM(V12,W12,X12)&gt;0,SUM(V12,W12,X12),"")</f>
        <v>415.09216738571729</v>
      </c>
      <c r="Z12" s="102">
        <f>IF(AE11&gt;34,(IF(OR(S12="",V12="",W12="",X12=""),"",SUM(S12,V12,W12,X12))*AI11),IF(OR(S12="",V12="",W12="",X12=""),"", SUM(S12,V12,W12,X12)))</f>
        <v>753.22450307557324</v>
      </c>
      <c r="AA12" s="102"/>
      <c r="AB12" s="103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2" t="s">
        <v>80</v>
      </c>
      <c r="C13" s="105" t="s">
        <v>322</v>
      </c>
      <c r="D13" s="211">
        <v>85.67</v>
      </c>
      <c r="E13" s="162" t="s">
        <v>88</v>
      </c>
      <c r="F13" s="163" t="s">
        <v>87</v>
      </c>
      <c r="G13" s="108">
        <v>38896</v>
      </c>
      <c r="H13" s="109">
        <v>3</v>
      </c>
      <c r="I13" s="110" t="s">
        <v>68</v>
      </c>
      <c r="J13" s="111" t="s">
        <v>69</v>
      </c>
      <c r="K13" s="112">
        <v>119</v>
      </c>
      <c r="L13" s="113">
        <v>122</v>
      </c>
      <c r="M13" s="113">
        <v>-125</v>
      </c>
      <c r="N13" s="112">
        <v>145</v>
      </c>
      <c r="O13" s="113">
        <v>-151</v>
      </c>
      <c r="P13" s="113">
        <v>-151</v>
      </c>
      <c r="Q13" s="114">
        <f>IF(MAX(K13:M13)&gt;0,IF(MAX(K13:M13)&lt;0,0,TRUNC(MAX(K13:M13)/1)*1),"")</f>
        <v>122</v>
      </c>
      <c r="R13" s="115">
        <f>IF(MAX(N13:P13)&gt;0,IF(MAX(N13:P13)&lt;0,0,TRUNC(MAX(N13:P13)/1)*1),"")</f>
        <v>145</v>
      </c>
      <c r="S13" s="115">
        <f>IF(Q13="","",IF(R13="","",IF(SUM(Q13:R13)=0,"",SUM(Q13:R13))))</f>
        <v>267</v>
      </c>
      <c r="T13" s="11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328.95348932605958</v>
      </c>
      <c r="U13" s="117" t="str">
        <f>IF(AF13=1,T13*AI13,"")</f>
        <v/>
      </c>
      <c r="V13" s="118">
        <v>9.09</v>
      </c>
      <c r="W13" s="118">
        <v>15</v>
      </c>
      <c r="X13" s="118">
        <v>6.4</v>
      </c>
      <c r="Y13" s="123"/>
      <c r="Z13" s="120"/>
      <c r="AA13" s="120" t="s">
        <v>303</v>
      </c>
      <c r="AB13" s="121"/>
      <c r="AC13" s="66">
        <f>U5</f>
        <v>45913</v>
      </c>
      <c r="AD13" s="69" t="str">
        <f>IF(ISNUMBER(FIND("M",E13)),"m",IF(ISNUMBER(FIND("K",E13)),"k"))</f>
        <v>m</v>
      </c>
      <c r="AE13" s="67">
        <f>IF(OR(G13="",AC13=""),0,(YEAR(AC13)-YEAR(G13)))</f>
        <v>19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1.2320355405470396</v>
      </c>
    </row>
    <row r="14" spans="1:36" s="8" customFormat="1" ht="20" customHeight="1">
      <c r="B14" s="104"/>
      <c r="C14" s="94"/>
      <c r="D14" s="210"/>
      <c r="E14" s="94"/>
      <c r="F14" s="95"/>
      <c r="G14" s="96"/>
      <c r="H14" s="97"/>
      <c r="I14" s="98"/>
      <c r="J14" s="98"/>
      <c r="K14" s="215"/>
      <c r="L14" s="215"/>
      <c r="M14" s="215"/>
      <c r="N14" s="216"/>
      <c r="O14" s="216"/>
      <c r="P14" s="216"/>
      <c r="Q14" s="99"/>
      <c r="R14" s="94"/>
      <c r="S14" s="215">
        <f>IF(T13="","",T13*1.2)</f>
        <v>394.74418719127146</v>
      </c>
      <c r="T14" s="215"/>
      <c r="U14" s="94"/>
      <c r="V14" s="94">
        <f>IF(V13&gt;0,V13*20,"")</f>
        <v>181.8</v>
      </c>
      <c r="W14" s="94">
        <f>IF(W13="","",(W13*10)*AJ13)</f>
        <v>184.80533108205594</v>
      </c>
      <c r="X14" s="100">
        <f>IF(ROUNDUP(X13,1)&gt;0,IF((80+(8-ROUNDUP(X13,1))*40)&lt;0,0,80+(8-ROUNDUP(X13,1))*40),"")</f>
        <v>144</v>
      </c>
      <c r="Y14" s="101">
        <f>IF(SUM(V14,W14,X14)&gt;0,SUM(V14,W14,X14),"")</f>
        <v>510.60533108205595</v>
      </c>
      <c r="Z14" s="102">
        <f>IF(AE13&gt;34,(IF(OR(S14="",V14="",W14="",X14=""),"",SUM(S14,V14,W14,X14))*AI13),IF(OR(S14="",V14="",W14="",X14=""),"", SUM(S14,V14,W14,X14)))</f>
        <v>905.34951827332748</v>
      </c>
      <c r="AA14" s="102"/>
      <c r="AB14" s="103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2" t="s">
        <v>81</v>
      </c>
      <c r="C15" s="105" t="s">
        <v>278</v>
      </c>
      <c r="D15" s="211">
        <v>104.24</v>
      </c>
      <c r="E15" s="162" t="s">
        <v>88</v>
      </c>
      <c r="F15" s="163" t="s">
        <v>87</v>
      </c>
      <c r="G15" s="108">
        <v>37993</v>
      </c>
      <c r="H15" s="109">
        <v>4</v>
      </c>
      <c r="I15" s="110" t="s">
        <v>70</v>
      </c>
      <c r="J15" s="111" t="s">
        <v>71</v>
      </c>
      <c r="K15" s="112">
        <v>122</v>
      </c>
      <c r="L15" s="113">
        <v>-128</v>
      </c>
      <c r="M15" s="113">
        <v>-128</v>
      </c>
      <c r="N15" s="112">
        <v>148</v>
      </c>
      <c r="O15" s="113">
        <v>-153</v>
      </c>
      <c r="P15" s="113">
        <v>-153</v>
      </c>
      <c r="Q15" s="114">
        <f>IF(MAX(K15:M15)&gt;0,IF(MAX(K15:M15)&lt;0,0,TRUNC(MAX(K15:M15)/1)*1),"")</f>
        <v>122</v>
      </c>
      <c r="R15" s="115">
        <f>IF(MAX(N15:P15)&gt;0,IF(MAX(N15:P15)&lt;0,0,TRUNC(MAX(N15:P15)/1)*1),"")</f>
        <v>148</v>
      </c>
      <c r="S15" s="115">
        <f>IF(Q15="","",IF(R15="","",IF(SUM(Q15:R15)=0,"",SUM(Q15:R15))))</f>
        <v>270</v>
      </c>
      <c r="T15" s="11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304.52381462672503</v>
      </c>
      <c r="U15" s="117" t="str">
        <f>IF(AF15=1,T15*AI15,"")</f>
        <v/>
      </c>
      <c r="V15" s="118">
        <v>8.82</v>
      </c>
      <c r="W15" s="118">
        <v>12.87</v>
      </c>
      <c r="X15" s="118">
        <v>6.4</v>
      </c>
      <c r="Y15" s="119"/>
      <c r="Z15" s="120"/>
      <c r="AA15" s="120" t="s">
        <v>305</v>
      </c>
      <c r="AB15" s="121"/>
      <c r="AC15" s="66">
        <f>U5</f>
        <v>45913</v>
      </c>
      <c r="AD15" s="69" t="str">
        <f>IF(ISNUMBER(FIND("M",E15)),"m",IF(ISNUMBER(FIND("K",E15)),"k"))</f>
        <v>m</v>
      </c>
      <c r="AE15" s="67">
        <f>IF(OR(G15="",AC15=""),0,(YEAR(AC15)-YEAR(G15)))</f>
        <v>21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1.1278659800989816</v>
      </c>
    </row>
    <row r="16" spans="1:36" s="8" customFormat="1" ht="20" customHeight="1">
      <c r="B16" s="104"/>
      <c r="C16" s="94"/>
      <c r="D16" s="210"/>
      <c r="E16" s="94"/>
      <c r="F16" s="95"/>
      <c r="G16" s="96"/>
      <c r="H16" s="97"/>
      <c r="I16" s="98"/>
      <c r="J16" s="98"/>
      <c r="K16" s="215"/>
      <c r="L16" s="215"/>
      <c r="M16" s="215"/>
      <c r="N16" s="216"/>
      <c r="O16" s="216"/>
      <c r="P16" s="216"/>
      <c r="Q16" s="136"/>
      <c r="R16" s="137"/>
      <c r="S16" s="215">
        <f>IF(T15="","",T15*1.2)</f>
        <v>365.42857755207001</v>
      </c>
      <c r="T16" s="215"/>
      <c r="U16" s="94"/>
      <c r="V16" s="94">
        <f>IF(V15&gt;0,V15*20,"")</f>
        <v>176.4</v>
      </c>
      <c r="W16" s="94">
        <f>IF(W15="","",(W15*10)*AJ15)</f>
        <v>145.15635163873893</v>
      </c>
      <c r="X16" s="100">
        <f>IF(ROUNDUP(X15,1)&gt;0,IF((80+(8-ROUNDUP(X15,1))*40)&lt;0,0,80+(8-ROUNDUP(X15,1))*40),"")</f>
        <v>144</v>
      </c>
      <c r="Y16" s="101">
        <f>IF(SUM(V16,W16,X16)&gt;0,SUM(V16,W16,X16),"")</f>
        <v>465.55635163873893</v>
      </c>
      <c r="Z16" s="102">
        <f>IF(AE15&gt;34,(IF(OR(S16="",V16="",W16="",X16=""),"",SUM(S16,V16,W16,X16))*AI15),IF(OR(S16="",V16="",W16="",X16=""),"", SUM(S16,V16,W16,X16)))</f>
        <v>830.98492919080888</v>
      </c>
      <c r="AA16" s="102"/>
      <c r="AB16" s="103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2" t="s">
        <v>82</v>
      </c>
      <c r="C17" s="105" t="s">
        <v>321</v>
      </c>
      <c r="D17" s="211">
        <v>93.96</v>
      </c>
      <c r="E17" s="162" t="s">
        <v>88</v>
      </c>
      <c r="F17" s="163" t="s">
        <v>87</v>
      </c>
      <c r="G17" s="108">
        <v>38951</v>
      </c>
      <c r="H17" s="109">
        <v>5</v>
      </c>
      <c r="I17" s="124" t="s">
        <v>72</v>
      </c>
      <c r="J17" s="111" t="s">
        <v>69</v>
      </c>
      <c r="K17" s="112">
        <v>96</v>
      </c>
      <c r="L17" s="113">
        <v>101</v>
      </c>
      <c r="M17" s="113">
        <v>-105</v>
      </c>
      <c r="N17" s="113">
        <v>123</v>
      </c>
      <c r="O17" s="113">
        <v>-128</v>
      </c>
      <c r="P17" s="113">
        <v>128</v>
      </c>
      <c r="Q17" s="114">
        <f>IF(MAX(K17:M17)&gt;0,IF(MAX(K17:M17)&lt;0,0,TRUNC(MAX(K17:M17)/1)*1),"")</f>
        <v>101</v>
      </c>
      <c r="R17" s="115">
        <f>IF(MAX(N17:P17)&gt;0,IF(MAX(N17:P17)&lt;0,0,TRUNC(MAX(N17:P17)/1)*1),"")</f>
        <v>128</v>
      </c>
      <c r="S17" s="125">
        <f>IF(Q17="","",IF(R17="","",IF(SUM(Q17:R17)=0,"",SUM(Q17:R17))))</f>
        <v>229</v>
      </c>
      <c r="T17" s="11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269.82926366309187</v>
      </c>
      <c r="U17" s="117" t="str">
        <f>IF(AF17=1,T17*AI17,"")</f>
        <v/>
      </c>
      <c r="V17" s="118">
        <v>7.97</v>
      </c>
      <c r="W17" s="118">
        <v>12.88</v>
      </c>
      <c r="X17" s="118">
        <v>6.6</v>
      </c>
      <c r="Y17" s="119"/>
      <c r="Z17" s="120"/>
      <c r="AA17" s="120" t="s">
        <v>306</v>
      </c>
      <c r="AB17" s="121"/>
      <c r="AC17" s="66">
        <f>U5</f>
        <v>45913</v>
      </c>
      <c r="AD17" s="69" t="str">
        <f>IF(ISNUMBER(FIND("M",E17)),"m",IF(ISNUMBER(FIND("K",E17)),"k"))</f>
        <v>m</v>
      </c>
      <c r="AE17" s="67">
        <f>IF(OR(G17="",AC17=""),0,(YEAR(AC17)-YEAR(G17)))</f>
        <v>19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1.1782937277864274</v>
      </c>
    </row>
    <row r="18" spans="2:36" s="8" customFormat="1" ht="20" customHeight="1">
      <c r="B18" s="104"/>
      <c r="C18" s="94"/>
      <c r="D18" s="210"/>
      <c r="E18" s="94"/>
      <c r="F18" s="95"/>
      <c r="G18" s="96"/>
      <c r="H18" s="97"/>
      <c r="I18" s="98"/>
      <c r="J18" s="98"/>
      <c r="K18" s="215"/>
      <c r="L18" s="215"/>
      <c r="M18" s="215"/>
      <c r="N18" s="216"/>
      <c r="O18" s="216"/>
      <c r="P18" s="216"/>
      <c r="Q18" s="99"/>
      <c r="R18" s="94"/>
      <c r="S18" s="215">
        <f>IF(T17="","",T17*1.2)</f>
        <v>323.79511639571024</v>
      </c>
      <c r="T18" s="215"/>
      <c r="U18" s="94"/>
      <c r="V18" s="94">
        <f>IF(V17&gt;0,V17*20,"")</f>
        <v>159.4</v>
      </c>
      <c r="W18" s="94">
        <f>IF(W17="","",(W17*10)*AJ17)</f>
        <v>151.76423213889186</v>
      </c>
      <c r="X18" s="100">
        <f>IF(ROUNDUP(X17,1)&gt;0,IF((80+(8-ROUNDUP(X17,1))*40)&lt;0,0,80+(8-ROUNDUP(X17,1))*40),"")</f>
        <v>136</v>
      </c>
      <c r="Y18" s="101">
        <f>IF(SUM(V18,W18,X18)&gt;0,SUM(V18,W18,X18),"")</f>
        <v>447.16423213889186</v>
      </c>
      <c r="Z18" s="102">
        <f>IF(AE17&gt;34,(IF(OR(S18="",V18="",W18="",X18=""),"",SUM(S18,V18,W18,X18))*AI17),IF(OR(S18="",V18="",W18="",X18=""),"", SUM(S18,V18,W18,X18)))</f>
        <v>770.9593485346021</v>
      </c>
      <c r="AA18" s="102"/>
      <c r="AB18" s="103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2" t="s">
        <v>83</v>
      </c>
      <c r="C19" s="105" t="s">
        <v>333</v>
      </c>
      <c r="D19" s="211">
        <v>77.180000000000007</v>
      </c>
      <c r="E19" s="162" t="s">
        <v>88</v>
      </c>
      <c r="F19" s="163" t="s">
        <v>87</v>
      </c>
      <c r="G19" s="108">
        <v>39076</v>
      </c>
      <c r="H19" s="109">
        <v>6</v>
      </c>
      <c r="I19" s="124" t="s">
        <v>73</v>
      </c>
      <c r="J19" s="111" t="s">
        <v>69</v>
      </c>
      <c r="K19" s="112">
        <v>-83</v>
      </c>
      <c r="L19" s="113">
        <v>83</v>
      </c>
      <c r="M19" s="113">
        <v>-85</v>
      </c>
      <c r="N19" s="112">
        <v>105</v>
      </c>
      <c r="O19" s="113">
        <v>-108</v>
      </c>
      <c r="P19" s="113">
        <v>-108</v>
      </c>
      <c r="Q19" s="114">
        <f>IF(MAX(K19:M19)&gt;0,IF(MAX(K19:M19)&lt;0,0,TRUNC(MAX(K19:M19)/1)*1),"")</f>
        <v>83</v>
      </c>
      <c r="R19" s="115">
        <f>IF(MAX(N19:P19)&gt;0,IF(MAX(N19:P19)&lt;0,0,TRUNC(MAX(N19:P19)/1)*1),"")</f>
        <v>105</v>
      </c>
      <c r="S19" s="125">
        <f>IF(Q19="","",IF(R19="","",IF(SUM(Q19:R19)=0,"",SUM(Q19:R19))))</f>
        <v>188</v>
      </c>
      <c r="T19" s="116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245.16878631629663</v>
      </c>
      <c r="U19" s="117" t="str">
        <f>IF(AF19=1,T19*AI19,"")</f>
        <v/>
      </c>
      <c r="V19" s="118">
        <v>8.5500000000000007</v>
      </c>
      <c r="W19" s="118">
        <v>12.16</v>
      </c>
      <c r="X19" s="118">
        <v>6.7</v>
      </c>
      <c r="Y19" s="119"/>
      <c r="Z19" s="120"/>
      <c r="AA19" s="120" t="s">
        <v>307</v>
      </c>
      <c r="AB19" s="121"/>
      <c r="AC19" s="66">
        <f>U5</f>
        <v>45913</v>
      </c>
      <c r="AD19" s="69" t="str">
        <f>IF(ISNUMBER(FIND("M",E19)),"m",IF(ISNUMBER(FIND("K",E19)),"k"))</f>
        <v>m</v>
      </c>
      <c r="AE19" s="67">
        <f>IF(OR(G19="",AC19=""),0,(YEAR(AC19)-YEAR(G19)))</f>
        <v>19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6">
        <f>IF(D19="","",IF(D19&gt;193.609,1,IF(D19&lt;32,10^(0.722762521*LOG10(32/193.609)^2),10^(0.722762521*LOG10(D19/193.609)^2))))</f>
        <v>1.3040892889164715</v>
      </c>
    </row>
    <row r="20" spans="2:36" s="8" customFormat="1" ht="20" customHeight="1">
      <c r="B20" s="104"/>
      <c r="C20" s="94"/>
      <c r="D20" s="210"/>
      <c r="E20" s="94"/>
      <c r="F20" s="95"/>
      <c r="G20" s="96"/>
      <c r="H20" s="97"/>
      <c r="I20" s="98"/>
      <c r="J20" s="98"/>
      <c r="K20" s="215"/>
      <c r="L20" s="215"/>
      <c r="M20" s="215"/>
      <c r="N20" s="216"/>
      <c r="O20" s="216"/>
      <c r="P20" s="216"/>
      <c r="Q20" s="99"/>
      <c r="R20" s="94"/>
      <c r="S20" s="215">
        <f>IF(T19="","",T19*1.2)</f>
        <v>294.20254357955594</v>
      </c>
      <c r="T20" s="215"/>
      <c r="U20" s="94"/>
      <c r="V20" s="94">
        <f>IF(V19&gt;0,V19*20,"")</f>
        <v>171</v>
      </c>
      <c r="W20" s="94">
        <f>IF(W19="","",(W19*10)*AJ19)</f>
        <v>158.57725753224292</v>
      </c>
      <c r="X20" s="100">
        <f>IF(ROUNDUP(X19,1)&gt;0,IF((80+(8-ROUNDUP(X19,1))*40)&lt;0,0,80+(8-ROUNDUP(X19,1))*40),"")</f>
        <v>132</v>
      </c>
      <c r="Y20" s="101">
        <f>IF(SUM(V20,W20,X20)&gt;0,SUM(V20,W20,X20),"")</f>
        <v>461.57725753224292</v>
      </c>
      <c r="Z20" s="102">
        <f>IF(AE19&gt;34,(IF(OR(S20="",V20="",W20="",X20=""),"",SUM(S20,V20,W20,X20))*AI19),IF(OR(S20="",V20="",W20="",X20=""),"", SUM(S20,V20,W20,X20)))</f>
        <v>755.77980111179886</v>
      </c>
      <c r="AA20" s="102"/>
      <c r="AB20" s="103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2" t="s">
        <v>84</v>
      </c>
      <c r="C21" s="105" t="s">
        <v>334</v>
      </c>
      <c r="D21" s="211">
        <v>69.489999999999995</v>
      </c>
      <c r="E21" s="162" t="s">
        <v>88</v>
      </c>
      <c r="F21" s="163" t="s">
        <v>87</v>
      </c>
      <c r="G21" s="108">
        <v>38415</v>
      </c>
      <c r="H21" s="109">
        <v>7</v>
      </c>
      <c r="I21" s="110" t="s">
        <v>74</v>
      </c>
      <c r="J21" s="111" t="s">
        <v>75</v>
      </c>
      <c r="K21" s="112">
        <v>110</v>
      </c>
      <c r="L21" s="113">
        <v>-115</v>
      </c>
      <c r="M21" s="113">
        <v>117</v>
      </c>
      <c r="N21" s="112">
        <v>135</v>
      </c>
      <c r="O21" s="113">
        <v>140</v>
      </c>
      <c r="P21" s="113">
        <v>-145</v>
      </c>
      <c r="Q21" s="114">
        <f>IF(MAX(K21:M21)&gt;0,IF(MAX(K21:M21)&lt;0,0,TRUNC(MAX(K21:M21)/1)*1),"")</f>
        <v>117</v>
      </c>
      <c r="R21" s="115">
        <f>IF(MAX(N21:P21)&gt;0,IF(MAX(N21:P21)&lt;0,0,TRUNC(MAX(N21:P21)/1)*1),"")</f>
        <v>140</v>
      </c>
      <c r="S21" s="125">
        <f>IF(Q21="","",IF(R21="","",IF(SUM(Q21:R21)=0,"",SUM(Q21:R21))))</f>
        <v>257</v>
      </c>
      <c r="T21" s="11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357.32240580209572</v>
      </c>
      <c r="U21" s="117" t="str">
        <f>IF(AF21=1,T21*AI21,"")</f>
        <v/>
      </c>
      <c r="V21" s="118">
        <v>9.49</v>
      </c>
      <c r="W21" s="118">
        <v>12.09</v>
      </c>
      <c r="X21" s="118">
        <v>6.2</v>
      </c>
      <c r="Y21" s="119"/>
      <c r="Z21" s="120"/>
      <c r="AA21" s="120" t="s">
        <v>304</v>
      </c>
      <c r="AB21" s="121"/>
      <c r="AC21" s="66">
        <f>U5</f>
        <v>45913</v>
      </c>
      <c r="AD21" s="69" t="str">
        <f>IF(ISNUMBER(FIND("M",E21)),"m",IF(ISNUMBER(FIND("K",E21)),"k"))</f>
        <v>m</v>
      </c>
      <c r="AE21" s="67">
        <f>IF(OR(G21="",AC21=""),0,(YEAR(AC21)-YEAR(G21)))</f>
        <v>20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6">
        <f>IF(D21="","",IF(D21&gt;193.609,1,IF(D21&lt;32,10^(0.722762521*LOG10(32/193.609)^2),10^(0.722762521*LOG10(D21/193.609)^2))))</f>
        <v>1.390359555650178</v>
      </c>
    </row>
    <row r="22" spans="2:36" s="8" customFormat="1" ht="20" customHeight="1">
      <c r="B22" s="104"/>
      <c r="C22" s="94"/>
      <c r="D22" s="210"/>
      <c r="E22" s="94"/>
      <c r="F22" s="95"/>
      <c r="G22" s="96"/>
      <c r="H22" s="97"/>
      <c r="I22" s="98"/>
      <c r="J22" s="98"/>
      <c r="K22" s="215"/>
      <c r="L22" s="215"/>
      <c r="M22" s="215"/>
      <c r="N22" s="216"/>
      <c r="O22" s="216"/>
      <c r="P22" s="216"/>
      <c r="Q22" s="99"/>
      <c r="R22" s="94"/>
      <c r="S22" s="215">
        <f>IF(T21="","",T21*1.2)</f>
        <v>428.78688696251487</v>
      </c>
      <c r="T22" s="215"/>
      <c r="U22" s="94"/>
      <c r="V22" s="94">
        <f>IF(V21&gt;0,V21*20,"")</f>
        <v>189.8</v>
      </c>
      <c r="W22" s="94">
        <f>IF(W21="","",(W21*10)*AJ21)</f>
        <v>168.09447027810651</v>
      </c>
      <c r="X22" s="100">
        <f>IF(ROUNDUP(X21,1)&gt;0,IF((80+(8-ROUNDUP(X21,1))*40)&lt;0,0,80+(8-ROUNDUP(X21,1))*40),"")</f>
        <v>152</v>
      </c>
      <c r="Y22" s="101">
        <f>IF(SUM(V22,W22,X22)&gt;0,SUM(V22,W22,X22),"")</f>
        <v>509.8944702781065</v>
      </c>
      <c r="Z22" s="102">
        <f>IF(AE21&gt;34,(IF(OR(S22="",V22="",W22="",X22=""),"",SUM(S22,V22,W22,X22))*AI21),IF(OR(S22="",V22="",W22="",X22=""),"", SUM(S22,V22,W22,X22)))</f>
        <v>938.68135724062142</v>
      </c>
      <c r="AA22" s="102"/>
      <c r="AB22" s="103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2" t="s">
        <v>85</v>
      </c>
      <c r="C23" s="105" t="s">
        <v>322</v>
      </c>
      <c r="D23" s="211">
        <v>81.23</v>
      </c>
      <c r="E23" s="162" t="s">
        <v>88</v>
      </c>
      <c r="F23" s="163" t="s">
        <v>87</v>
      </c>
      <c r="G23" s="108">
        <v>38727</v>
      </c>
      <c r="H23" s="109">
        <v>8</v>
      </c>
      <c r="I23" s="110" t="s">
        <v>76</v>
      </c>
      <c r="J23" s="111" t="s">
        <v>65</v>
      </c>
      <c r="K23" s="112">
        <v>58</v>
      </c>
      <c r="L23" s="113">
        <v>61</v>
      </c>
      <c r="M23" s="113">
        <v>-64</v>
      </c>
      <c r="N23" s="112">
        <v>65</v>
      </c>
      <c r="O23" s="113">
        <v>68</v>
      </c>
      <c r="P23" s="113">
        <v>70</v>
      </c>
      <c r="Q23" s="114">
        <f>IF(MAX(K23:M23)&gt;0,IF(MAX(K23:M23)&lt;0,0,TRUNC(MAX(K23:M23)/1)*1),"")</f>
        <v>61</v>
      </c>
      <c r="R23" s="115">
        <f>IF(MAX(N23:P23)&gt;0,IF(MAX(N23:P23)&lt;0,0,TRUNC(MAX(N23:P23)/1)*1),"")</f>
        <v>70</v>
      </c>
      <c r="S23" s="125">
        <f>IF(Q23="","",IF(R23="","",IF(SUM(Q23:R23)=0,"",SUM(Q23:R23))))</f>
        <v>131</v>
      </c>
      <c r="T23" s="116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166.00103167295833</v>
      </c>
      <c r="U23" s="158" t="str">
        <f>IF(AF23=1,T23*AI23,"")</f>
        <v/>
      </c>
      <c r="V23" s="159">
        <v>5.83</v>
      </c>
      <c r="W23" s="159">
        <v>8.27</v>
      </c>
      <c r="X23" s="159">
        <v>7.5</v>
      </c>
      <c r="Y23" s="157"/>
      <c r="Z23" s="160"/>
      <c r="AA23" s="160" t="s">
        <v>340</v>
      </c>
      <c r="AB23" s="161"/>
      <c r="AC23" s="66">
        <f>U5</f>
        <v>45913</v>
      </c>
      <c r="AD23" s="69" t="str">
        <f>IF(ISNUMBER(FIND("M",E23)),"m",IF(ISNUMBER(FIND("K",E23)),"k"))</f>
        <v>m</v>
      </c>
      <c r="AE23" s="82">
        <f>IF(OR(G23="",AC23=""),0,(YEAR(AC23)-YEAR(G23)))</f>
        <v>19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6">
        <f>IF(D23="","",IF(D23&gt;193.609,1,IF(D23&lt;32,10^(0.722762521*LOG10(32/193.609)^2),10^(0.722762521*LOG10(D23/193.609)^2))))</f>
        <v>1.2671834478851782</v>
      </c>
    </row>
    <row r="24" spans="2:36" s="8" customFormat="1" ht="20" customHeight="1">
      <c r="B24" s="104"/>
      <c r="C24" s="94"/>
      <c r="D24" s="210"/>
      <c r="E24" s="94"/>
      <c r="F24" s="95"/>
      <c r="G24" s="96"/>
      <c r="H24" s="97"/>
      <c r="I24" s="98"/>
      <c r="J24" s="98"/>
      <c r="K24" s="215"/>
      <c r="L24" s="215"/>
      <c r="M24" s="215"/>
      <c r="N24" s="216"/>
      <c r="O24" s="216"/>
      <c r="P24" s="216"/>
      <c r="Q24" s="99"/>
      <c r="R24" s="94"/>
      <c r="S24" s="215">
        <f>IF(T23="","",T23*1.2)</f>
        <v>199.20123800754999</v>
      </c>
      <c r="T24" s="215"/>
      <c r="U24" s="94"/>
      <c r="V24" s="94">
        <f>IF(V23&gt;0,V23*20,"")</f>
        <v>116.6</v>
      </c>
      <c r="W24" s="94">
        <f>IF(W23="","",(W23*10)*AJ23)</f>
        <v>104.79607114010423</v>
      </c>
      <c r="X24" s="100">
        <f>IF(ROUNDUP(X23,1)&gt;0,IF((80+(8-ROUNDUP(X23,1))*40)&lt;0,0,80+(8-ROUNDUP(X23,1))*40),"")</f>
        <v>100</v>
      </c>
      <c r="Y24" s="101">
        <f>IF(SUM(V24,W24,X24)&gt;0,SUM(V24,W24,X24),"")</f>
        <v>321.39607114010425</v>
      </c>
      <c r="Z24" s="102">
        <f>IF(AE23&gt;34,(IF(OR(S24="",V24="",W24="",X24=""),"",SUM(S24,V24,W24,X24))*AI23),IF(OR(S24="",V24="",W24="",X24=""),"", SUM(S24,V24,W24,X24)))</f>
        <v>520.59730914765419</v>
      </c>
      <c r="AA24" s="102"/>
      <c r="AB24" s="103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2" t="s">
        <v>86</v>
      </c>
      <c r="C25" s="105" t="s">
        <v>322</v>
      </c>
      <c r="D25" s="211">
        <v>86.27</v>
      </c>
      <c r="E25" s="162" t="s">
        <v>88</v>
      </c>
      <c r="F25" s="163" t="s">
        <v>87</v>
      </c>
      <c r="G25" s="108">
        <v>38629</v>
      </c>
      <c r="H25" s="109">
        <v>9</v>
      </c>
      <c r="I25" s="110" t="s">
        <v>77</v>
      </c>
      <c r="J25" s="111" t="s">
        <v>62</v>
      </c>
      <c r="K25" s="112">
        <v>83</v>
      </c>
      <c r="L25" s="113">
        <v>86</v>
      </c>
      <c r="M25" s="113">
        <v>-90</v>
      </c>
      <c r="N25" s="112">
        <v>100</v>
      </c>
      <c r="O25" s="113">
        <v>105</v>
      </c>
      <c r="P25" s="113">
        <v>108</v>
      </c>
      <c r="Q25" s="114">
        <f>IF(MAX(K25:M25)&gt;0,IF(MAX(K25:M25)&lt;0,0,TRUNC(MAX(K25:M25)/1)*1),"")</f>
        <v>86</v>
      </c>
      <c r="R25" s="115">
        <f>IF(MAX(N25:P25)&gt;0,IF(MAX(N25:P25)&lt;0,0,TRUNC(MAX(N25:P25)/1)*1),"")</f>
        <v>108</v>
      </c>
      <c r="S25" s="125">
        <f>IF(Q25="","",IF(R25="","",IF(SUM(Q25:R25)=0,"",SUM(Q25:R25))))</f>
        <v>194</v>
      </c>
      <c r="T25" s="116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238.16621534915538</v>
      </c>
      <c r="U25" s="117" t="str">
        <f>IF(AF25=1,T25*AI25,"")</f>
        <v/>
      </c>
      <c r="V25" s="118">
        <v>7.43</v>
      </c>
      <c r="W25" s="118">
        <v>9.9600000000000009</v>
      </c>
      <c r="X25" s="118">
        <v>7.4</v>
      </c>
      <c r="Y25" s="119"/>
      <c r="Z25" s="120"/>
      <c r="AA25" s="120" t="s">
        <v>336</v>
      </c>
      <c r="AB25" s="121"/>
      <c r="AC25" s="66">
        <f>U5</f>
        <v>45913</v>
      </c>
      <c r="AD25" s="69" t="str">
        <f>IF(ISNUMBER(FIND("M",E25)),"m",IF(ISNUMBER(FIND("K",E25)),"k"))</f>
        <v>m</v>
      </c>
      <c r="AE25" s="82">
        <f>IF(OR(G25="",AC25=""),0,(YEAR(AC25)-YEAR(G25)))</f>
        <v>20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b">
        <f t="shared" ref="AI25" si="3">IF(AD25="m",AG25,IF(AD25="k",AH25,""))</f>
        <v>0</v>
      </c>
      <c r="AJ25" s="86">
        <f>IF(D25="","",IF(D25&gt;193.609,1,IF(D25&lt;32,10^(0.722762521*LOG10(32/193.609)^2),10^(0.722762521*LOG10(D25/193.609)^2))))</f>
        <v>1.2276609038616257</v>
      </c>
    </row>
    <row r="26" spans="2:36" s="8" customFormat="1" ht="20" customHeight="1">
      <c r="B26" s="104"/>
      <c r="C26" s="94"/>
      <c r="D26" s="210"/>
      <c r="E26" s="94"/>
      <c r="F26" s="95"/>
      <c r="G26" s="96"/>
      <c r="H26" s="97"/>
      <c r="I26" s="98"/>
      <c r="J26" s="98"/>
      <c r="K26" s="215"/>
      <c r="L26" s="215"/>
      <c r="M26" s="215"/>
      <c r="N26" s="216"/>
      <c r="O26" s="216"/>
      <c r="P26" s="216"/>
      <c r="Q26" s="99"/>
      <c r="R26" s="94"/>
      <c r="S26" s="215">
        <f>IF(T25="","",T25*1.2)</f>
        <v>285.79945841898643</v>
      </c>
      <c r="T26" s="215"/>
      <c r="U26" s="102"/>
      <c r="V26" s="94">
        <f>IF(V25&gt;0,V25*20,"")</f>
        <v>148.6</v>
      </c>
      <c r="W26" s="94">
        <f>IF(W25="","",(W25*10)*AJ25)</f>
        <v>122.27502602461793</v>
      </c>
      <c r="X26" s="100">
        <f>IF(ROUNDUP(X25,1)&gt;0,IF((80+(8-ROUNDUP(X25,1))*40)&lt;0,0,80+(8-ROUNDUP(X25,1))*40),"")</f>
        <v>103.99999999999999</v>
      </c>
      <c r="Y26" s="101">
        <f>IF(SUM(V26,W26,X26)&gt;0,SUM(V26,W26,X26),"")</f>
        <v>374.87502602461791</v>
      </c>
      <c r="Z26" s="102">
        <f>IF(AE25&gt;34,(IF(OR(S26="",V26="",W26="",X26=""),"",SUM(S26,V26,W26,X26))*AI25),IF(OR(S26="",V26="",W26="",X26=""),"", SUM(S26,V26,W26,X26)))</f>
        <v>660.67448444360434</v>
      </c>
      <c r="AA26" s="102"/>
      <c r="AB26" s="103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2"/>
      <c r="C27" s="126"/>
      <c r="D27" s="106"/>
      <c r="E27" s="162"/>
      <c r="F27" s="163"/>
      <c r="G27" s="129"/>
      <c r="H27" s="105"/>
      <c r="I27" s="111"/>
      <c r="J27" s="111"/>
      <c r="K27" s="130"/>
      <c r="L27" s="131"/>
      <c r="M27" s="131"/>
      <c r="N27" s="131"/>
      <c r="O27" s="132"/>
      <c r="P27" s="132"/>
      <c r="Q27" s="114" t="str">
        <f>IF(MAX(K27:M27)&gt;0,IF(MAX(K27:M27)&lt;0,0,TRUNC(MAX(K27:M27)/1)*1),"")</f>
        <v/>
      </c>
      <c r="R27" s="115" t="str">
        <f>IF(MAX(N27:P27)&gt;0,IF(MAX(N27:P27)&lt;0,0,TRUNC(MAX(N27:P27)/1)*1),"")</f>
        <v/>
      </c>
      <c r="S27" s="125" t="str">
        <f>IF(Q27="","",IF(R27="","",IF(SUM(Q27:R27)=0,"",SUM(Q27:R27))))</f>
        <v/>
      </c>
      <c r="T27" s="116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7" t="str">
        <f>IF(AF27=1,T27*AI27,"")</f>
        <v/>
      </c>
      <c r="V27" s="118"/>
      <c r="W27" s="118"/>
      <c r="X27" s="118"/>
      <c r="Y27" s="123"/>
      <c r="Z27" s="120"/>
      <c r="AA27" s="120"/>
      <c r="AB27" s="121"/>
      <c r="AC27" s="66">
        <f>U5</f>
        <v>45913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4"/>
      <c r="C28" s="138"/>
      <c r="D28" s="94"/>
      <c r="E28" s="94"/>
      <c r="F28" s="95"/>
      <c r="G28" s="139"/>
      <c r="H28" s="96"/>
      <c r="I28" s="98"/>
      <c r="J28" s="98"/>
      <c r="K28" s="216"/>
      <c r="L28" s="216"/>
      <c r="M28" s="216"/>
      <c r="N28" s="216"/>
      <c r="O28" s="216"/>
      <c r="P28" s="216"/>
      <c r="Q28" s="99"/>
      <c r="R28" s="94"/>
      <c r="S28" s="215" t="str">
        <f>IF(T27="","",T27*1.2)</f>
        <v/>
      </c>
      <c r="T28" s="215"/>
      <c r="U28" s="94"/>
      <c r="V28" s="94" t="str">
        <f>IF(V27&gt;0,V27*20,"")</f>
        <v/>
      </c>
      <c r="W28" s="94" t="str">
        <f>IF(W27="","",(W27*10)*AJ27)</f>
        <v/>
      </c>
      <c r="X28" s="100" t="str">
        <f>IF(ROUNDUP(X27,1)&gt;0,IF((80+(8-ROUNDUP(X27,1))*40)&lt;0,0,80+(8-ROUNDUP(X27,1))*40),"")</f>
        <v/>
      </c>
      <c r="Y28" s="101" t="str">
        <f>IF(SUM(V28,W28,X28)&gt;0,SUM(V28,W28,X28),"")</f>
        <v/>
      </c>
      <c r="Z28" s="102" t="str">
        <f>IF(AE27&gt;34,(IF(OR(S28="",V28="",W28="",X28=""),"",SUM(S28,V28,W28,X28))*AI27),IF(OR(S28="",V28="",W28="",X28=""),"", SUM(S28,V28,W28,X28)))</f>
        <v/>
      </c>
      <c r="AA28" s="102"/>
      <c r="AB28" s="103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2"/>
      <c r="C29" s="135"/>
      <c r="D29" s="87"/>
      <c r="E29" s="162"/>
      <c r="F29" s="163"/>
      <c r="G29" s="90"/>
      <c r="H29" s="91"/>
      <c r="I29" s="92"/>
      <c r="J29" s="93"/>
      <c r="K29" s="130"/>
      <c r="L29" s="131"/>
      <c r="M29" s="131"/>
      <c r="N29" s="131"/>
      <c r="O29" s="132"/>
      <c r="P29" s="132"/>
      <c r="Q29" s="114" t="str">
        <f>IF(MAX(K29:M29)&gt;0,IF(MAX(K29:M29)&lt;0,0,TRUNC(MAX(K29:M29)/1)*1),"")</f>
        <v/>
      </c>
      <c r="R29" s="115" t="str">
        <f>IF(MAX(N29:P29)&gt;0,IF(MAX(N29:P29)&lt;0,0,TRUNC(MAX(N29:P29)/1)*1),"")</f>
        <v/>
      </c>
      <c r="S29" s="125" t="str">
        <f>IF(Q29="","",IF(R29="","",IF(SUM(Q29:R29)=0,"",SUM(Q29:R29))))</f>
        <v/>
      </c>
      <c r="T29" s="116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7" t="str">
        <f>IF(AF29=1,T29*AI29,"")</f>
        <v/>
      </c>
      <c r="V29" s="118"/>
      <c r="W29" s="118"/>
      <c r="X29" s="118"/>
      <c r="Y29" s="119"/>
      <c r="Z29" s="120"/>
      <c r="AA29" s="120"/>
      <c r="AB29" s="121"/>
      <c r="AC29" s="66">
        <f>U5</f>
        <v>45913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4"/>
      <c r="C30" s="140"/>
      <c r="D30" s="141"/>
      <c r="E30" s="94"/>
      <c r="F30" s="95"/>
      <c r="G30" s="144"/>
      <c r="H30" s="145"/>
      <c r="I30" s="146"/>
      <c r="J30" s="146"/>
      <c r="K30" s="216"/>
      <c r="L30" s="216"/>
      <c r="M30" s="216"/>
      <c r="N30" s="216"/>
      <c r="O30" s="216"/>
      <c r="P30" s="216"/>
      <c r="Q30" s="99"/>
      <c r="R30" s="94"/>
      <c r="S30" s="215" t="str">
        <f>IF(T29="","",T29*1.2)</f>
        <v/>
      </c>
      <c r="T30" s="215"/>
      <c r="U30" s="94"/>
      <c r="V30" s="94" t="str">
        <f>IF(V29&gt;0,V29*20,"")</f>
        <v/>
      </c>
      <c r="W30" s="94" t="str">
        <f>IF(W29="","",(W29*10)*AJ29)</f>
        <v/>
      </c>
      <c r="X30" s="100" t="str">
        <f>IF(ROUNDUP(X29,1)&gt;0,IF((80+(8-ROUNDUP(X29,1))*40)&lt;0,0,80+(8-ROUNDUP(X29,1))*40),"")</f>
        <v/>
      </c>
      <c r="Y30" s="101" t="str">
        <f>IF(SUM(V30,W30,X30)&gt;0,SUM(V30,W30,X30),"")</f>
        <v/>
      </c>
      <c r="Z30" s="102" t="str">
        <f>IF(AE29&gt;34,(IF(OR(S30="",V30="",W30="",X30=""),"",SUM(S30,V30,W30,X30))*AI29),IF(OR(S30="",V30="",W30="",X30=""),"", SUM(S30,V30,W30,X30)))</f>
        <v/>
      </c>
      <c r="AA30" s="102"/>
      <c r="AB30" s="103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2"/>
      <c r="C31" s="135"/>
      <c r="D31" s="87"/>
      <c r="E31" s="88"/>
      <c r="F31" s="89"/>
      <c r="G31" s="90"/>
      <c r="H31" s="91"/>
      <c r="I31" s="92"/>
      <c r="J31" s="93"/>
      <c r="K31" s="130"/>
      <c r="L31" s="131"/>
      <c r="M31" s="131"/>
      <c r="N31" s="131"/>
      <c r="O31" s="132"/>
      <c r="P31" s="132"/>
      <c r="Q31" s="114" t="str">
        <f>IF(MAX(K31:M31)&gt;0,IF(MAX(K31:M31)&lt;0,0,TRUNC(MAX(K31:M31)/1)*1),"")</f>
        <v/>
      </c>
      <c r="R31" s="115" t="str">
        <f>IF(MAX(N31:P31)&gt;0,IF(MAX(N31:P31)&lt;0,0,TRUNC(MAX(N31:P31)/1)*1),"")</f>
        <v/>
      </c>
      <c r="S31" s="125" t="str">
        <f>IF(Q31="","",IF(R31="","",IF(SUM(Q31:R31)=0,"",SUM(Q31:R31))))</f>
        <v/>
      </c>
      <c r="T31" s="116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7" t="str">
        <f>IF(AF31=1,T31*AI31,"")</f>
        <v/>
      </c>
      <c r="V31" s="133"/>
      <c r="W31" s="133"/>
      <c r="X31" s="134"/>
      <c r="Y31" s="119"/>
      <c r="Z31" s="120"/>
      <c r="AA31" s="120"/>
      <c r="AB31" s="121"/>
      <c r="AC31" s="66">
        <f>U5</f>
        <v>45913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4"/>
      <c r="C32" s="140"/>
      <c r="D32" s="141"/>
      <c r="E32" s="142"/>
      <c r="F32" s="143"/>
      <c r="G32" s="144"/>
      <c r="H32" s="145"/>
      <c r="I32" s="146"/>
      <c r="J32" s="146"/>
      <c r="K32" s="216"/>
      <c r="L32" s="216"/>
      <c r="M32" s="216"/>
      <c r="N32" s="216"/>
      <c r="O32" s="216"/>
      <c r="P32" s="216"/>
      <c r="Q32" s="99"/>
      <c r="R32" s="94"/>
      <c r="S32" s="215" t="str">
        <f>IF(T31="","",T31*1.2)</f>
        <v/>
      </c>
      <c r="T32" s="215"/>
      <c r="U32" s="94"/>
      <c r="V32" s="94" t="str">
        <f>IF(V31&gt;0,V31*20,"")</f>
        <v/>
      </c>
      <c r="W32" s="94" t="str">
        <f>IF(W31="","",(W31*10)*AJ31)</f>
        <v/>
      </c>
      <c r="X32" s="100" t="str">
        <f>IF(ROUNDUP(X31,1)&gt;0,IF((80+(8-ROUNDUP(X31,1))*40)&lt;0,0,80+(8-ROUNDUP(X31,1))*40),"")</f>
        <v/>
      </c>
      <c r="Y32" s="101" t="str">
        <f>IF(SUM(V32,W32,X32)&gt;0,SUM(V32,W32,X32),"")</f>
        <v/>
      </c>
      <c r="Z32" s="102" t="str">
        <f>IF(AE31&gt;34,(IF(OR(S32="",V32="",W32="",X32=""),"",SUM(S32,V32,W32,X32))*AI31),IF(OR(S32="",V32="",W32="",X32=""),"", SUM(S32,V32,W32,X32)))</f>
        <v/>
      </c>
      <c r="AA32" s="102"/>
      <c r="AB32" s="103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46" t="s">
        <v>34</v>
      </c>
      <c r="C35" s="248"/>
      <c r="D35" s="77" t="s">
        <v>33</v>
      </c>
      <c r="E35" s="246" t="s">
        <v>4</v>
      </c>
      <c r="F35" s="247"/>
      <c r="G35" s="247"/>
      <c r="H35" s="248"/>
      <c r="I35" s="50" t="s">
        <v>42</v>
      </c>
      <c r="J35" s="21"/>
      <c r="K35" s="246" t="s">
        <v>34</v>
      </c>
      <c r="L35" s="247"/>
      <c r="M35" s="248"/>
      <c r="N35" s="54" t="s">
        <v>33</v>
      </c>
      <c r="O35" s="244" t="s">
        <v>4</v>
      </c>
      <c r="P35" s="263"/>
      <c r="Q35" s="263"/>
      <c r="R35" s="245"/>
      <c r="S35" s="244" t="s">
        <v>42</v>
      </c>
      <c r="T35" s="2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49" t="s">
        <v>40</v>
      </c>
      <c r="C36" s="251"/>
      <c r="D36" s="78"/>
      <c r="E36" s="262" t="s">
        <v>281</v>
      </c>
      <c r="F36" s="250"/>
      <c r="G36" s="250"/>
      <c r="H36" s="251"/>
      <c r="I36" s="49"/>
      <c r="J36" s="4"/>
      <c r="K36" s="249" t="s">
        <v>35</v>
      </c>
      <c r="L36" s="250"/>
      <c r="M36" s="251"/>
      <c r="N36" s="51"/>
      <c r="O36" s="217" t="s">
        <v>282</v>
      </c>
      <c r="P36" s="264"/>
      <c r="Q36" s="264"/>
      <c r="R36" s="265"/>
      <c r="S36" s="217"/>
      <c r="T36" s="218"/>
      <c r="AF36" s="1"/>
      <c r="AH36" s="35"/>
      <c r="AI36" s="35"/>
    </row>
    <row r="37" spans="2:35" s="5" customFormat="1" ht="21" customHeight="1">
      <c r="B37" s="234" t="s">
        <v>36</v>
      </c>
      <c r="C37" s="222"/>
      <c r="D37" s="79"/>
      <c r="E37" s="220" t="s">
        <v>286</v>
      </c>
      <c r="F37" s="221"/>
      <c r="G37" s="221"/>
      <c r="H37" s="222"/>
      <c r="I37" s="47"/>
      <c r="J37" s="4"/>
      <c r="K37" s="234" t="s">
        <v>38</v>
      </c>
      <c r="L37" s="221"/>
      <c r="M37" s="222"/>
      <c r="N37" s="52"/>
      <c r="O37" s="228" t="s">
        <v>284</v>
      </c>
      <c r="P37" s="229"/>
      <c r="Q37" s="229"/>
      <c r="R37" s="230"/>
      <c r="S37" s="228"/>
      <c r="T37" s="231"/>
      <c r="AH37" s="35"/>
      <c r="AI37" s="35"/>
    </row>
    <row r="38" spans="2:35" s="5" customFormat="1" ht="19" customHeight="1">
      <c r="B38" s="234" t="s">
        <v>36</v>
      </c>
      <c r="C38" s="222"/>
      <c r="D38" s="79"/>
      <c r="E38" s="220" t="s">
        <v>287</v>
      </c>
      <c r="F38" s="221"/>
      <c r="G38" s="221"/>
      <c r="H38" s="222"/>
      <c r="I38" s="47"/>
      <c r="J38" s="4"/>
      <c r="K38" s="234" t="s">
        <v>38</v>
      </c>
      <c r="L38" s="221"/>
      <c r="M38" s="222"/>
      <c r="N38" s="52"/>
      <c r="O38" s="228" t="s">
        <v>285</v>
      </c>
      <c r="P38" s="229"/>
      <c r="Q38" s="229"/>
      <c r="R38" s="230"/>
      <c r="S38" s="228"/>
      <c r="T38" s="231"/>
      <c r="V38" s="5" t="s">
        <v>54</v>
      </c>
      <c r="AH38" s="35"/>
      <c r="AI38" s="35"/>
    </row>
    <row r="39" spans="2:35" s="5" customFormat="1" ht="21" customHeight="1">
      <c r="B39" s="234" t="s">
        <v>36</v>
      </c>
      <c r="C39" s="222"/>
      <c r="D39" s="79"/>
      <c r="E39" s="220" t="s">
        <v>288</v>
      </c>
      <c r="F39" s="221"/>
      <c r="G39" s="221"/>
      <c r="H39" s="222"/>
      <c r="I39" s="47"/>
      <c r="J39" s="4"/>
      <c r="K39" s="234" t="s">
        <v>55</v>
      </c>
      <c r="L39" s="221"/>
      <c r="M39" s="222"/>
      <c r="N39" s="52"/>
      <c r="O39" s="228" t="s">
        <v>283</v>
      </c>
      <c r="P39" s="229"/>
      <c r="Q39" s="229"/>
      <c r="R39" s="230"/>
      <c r="S39" s="228"/>
      <c r="T39" s="231"/>
      <c r="AD39" s="5" t="s">
        <v>13</v>
      </c>
      <c r="AH39" s="35"/>
      <c r="AI39" s="35"/>
    </row>
    <row r="40" spans="2:35" s="5" customFormat="1" ht="20" customHeight="1">
      <c r="B40" s="234" t="s">
        <v>36</v>
      </c>
      <c r="C40" s="222"/>
      <c r="D40" s="79"/>
      <c r="E40" s="220"/>
      <c r="F40" s="221"/>
      <c r="G40" s="221"/>
      <c r="H40" s="222"/>
      <c r="I40" s="47"/>
      <c r="J40" s="4"/>
      <c r="K40" s="234" t="s">
        <v>55</v>
      </c>
      <c r="L40" s="221"/>
      <c r="M40" s="222"/>
      <c r="N40" s="52"/>
      <c r="O40" s="228" t="s">
        <v>290</v>
      </c>
      <c r="P40" s="229"/>
      <c r="Q40" s="229"/>
      <c r="R40" s="230"/>
      <c r="S40" s="228"/>
      <c r="T40" s="231"/>
      <c r="AH40" s="35"/>
      <c r="AI40" s="35"/>
    </row>
    <row r="41" spans="2:35" ht="19" customHeight="1">
      <c r="B41" s="234" t="s">
        <v>36</v>
      </c>
      <c r="C41" s="222"/>
      <c r="D41" s="79"/>
      <c r="E41" s="220"/>
      <c r="F41" s="221"/>
      <c r="G41" s="221"/>
      <c r="H41" s="222"/>
      <c r="I41" s="47"/>
      <c r="J41" s="3"/>
      <c r="K41" s="234"/>
      <c r="L41" s="221"/>
      <c r="M41" s="222"/>
      <c r="N41" s="52"/>
      <c r="O41" s="228"/>
      <c r="P41" s="229"/>
      <c r="Q41" s="229"/>
      <c r="R41" s="230"/>
      <c r="S41" s="228"/>
      <c r="T41" s="231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234" t="s">
        <v>39</v>
      </c>
      <c r="C42" s="222"/>
      <c r="D42" s="79"/>
      <c r="E42" s="220" t="s">
        <v>289</v>
      </c>
      <c r="F42" s="221"/>
      <c r="G42" s="221"/>
      <c r="H42" s="222"/>
      <c r="I42" s="47"/>
      <c r="J42" s="3"/>
      <c r="K42" s="234"/>
      <c r="L42" s="221"/>
      <c r="M42" s="222"/>
      <c r="N42" s="52"/>
      <c r="O42" s="228"/>
      <c r="P42" s="229"/>
      <c r="Q42" s="229"/>
      <c r="R42" s="230"/>
      <c r="S42" s="228"/>
      <c r="T42" s="231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226"/>
      <c r="C43" s="225"/>
      <c r="D43" s="80"/>
      <c r="E43" s="223"/>
      <c r="F43" s="224"/>
      <c r="G43" s="224"/>
      <c r="H43" s="225"/>
      <c r="I43" s="48"/>
      <c r="J43" s="3"/>
      <c r="K43" s="226"/>
      <c r="L43" s="224"/>
      <c r="M43" s="225"/>
      <c r="N43" s="53"/>
      <c r="O43" s="240"/>
      <c r="P43" s="241"/>
      <c r="Q43" s="241"/>
      <c r="R43" s="242"/>
      <c r="S43" s="240"/>
      <c r="T43" s="24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33"/>
      <c r="C44" s="233"/>
      <c r="D44" s="232"/>
      <c r="E44" s="232"/>
      <c r="F44" s="56"/>
      <c r="G44" s="232"/>
      <c r="H44" s="232"/>
      <c r="I44" s="232"/>
      <c r="J44" s="3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37" t="s">
        <v>41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226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9"/>
      <c r="F50" s="219"/>
      <c r="G50" s="219"/>
    </row>
  </sheetData>
  <mergeCells count="102"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</mergeCells>
  <phoneticPr fontId="20" type="noConversion"/>
  <conditionalFormatting sqref="K27">
    <cfRule type="cellIs" dxfId="269" priority="38" stopIfTrue="1" operator="lessThanOrEqual">
      <formula>0</formula>
    </cfRule>
    <cfRule type="cellIs" dxfId="268" priority="37" stopIfTrue="1" operator="between">
      <formula>1</formula>
      <formula>300</formula>
    </cfRule>
  </conditionalFormatting>
  <conditionalFormatting sqref="K29">
    <cfRule type="cellIs" dxfId="267" priority="36" stopIfTrue="1" operator="lessThanOrEqual">
      <formula>0</formula>
    </cfRule>
    <cfRule type="cellIs" dxfId="266" priority="35" stopIfTrue="1" operator="between">
      <formula>1</formula>
      <formula>300</formula>
    </cfRule>
  </conditionalFormatting>
  <conditionalFormatting sqref="K31">
    <cfRule type="cellIs" dxfId="265" priority="34" stopIfTrue="1" operator="lessThanOrEqual">
      <formula>0</formula>
    </cfRule>
    <cfRule type="cellIs" dxfId="264" priority="33" stopIfTrue="1" operator="between">
      <formula>1</formula>
      <formula>300</formula>
    </cfRule>
  </conditionalFormatting>
  <conditionalFormatting sqref="K9:P9">
    <cfRule type="cellIs" dxfId="263" priority="5" stopIfTrue="1" operator="between">
      <formula>1</formula>
      <formula>300</formula>
    </cfRule>
    <cfRule type="cellIs" dxfId="262" priority="6" stopIfTrue="1" operator="lessThanOrEqual">
      <formula>0</formula>
    </cfRule>
  </conditionalFormatting>
  <conditionalFormatting sqref="K11:P11">
    <cfRule type="cellIs" dxfId="261" priority="3" stopIfTrue="1" operator="between">
      <formula>1</formula>
      <formula>300</formula>
    </cfRule>
    <cfRule type="cellIs" dxfId="260" priority="4" stopIfTrue="1" operator="lessThanOrEqual">
      <formula>0</formula>
    </cfRule>
  </conditionalFormatting>
  <conditionalFormatting sqref="K13:P13">
    <cfRule type="cellIs" dxfId="259" priority="13" stopIfTrue="1" operator="between">
      <formula>1</formula>
      <formula>300</formula>
    </cfRule>
    <cfRule type="cellIs" dxfId="258" priority="14" stopIfTrue="1" operator="lessThanOrEqual">
      <formula>0</formula>
    </cfRule>
  </conditionalFormatting>
  <conditionalFormatting sqref="K15:P15">
    <cfRule type="cellIs" dxfId="257" priority="15" stopIfTrue="1" operator="between">
      <formula>1</formula>
      <formula>300</formula>
    </cfRule>
    <cfRule type="cellIs" dxfId="256" priority="16" stopIfTrue="1" operator="lessThanOrEqual">
      <formula>0</formula>
    </cfRule>
  </conditionalFormatting>
  <conditionalFormatting sqref="K17:P17">
    <cfRule type="cellIs" dxfId="255" priority="1" stopIfTrue="1" operator="between">
      <formula>1</formula>
      <formula>300</formula>
    </cfRule>
    <cfRule type="cellIs" dxfId="254" priority="2" stopIfTrue="1" operator="lessThanOrEqual">
      <formula>0</formula>
    </cfRule>
  </conditionalFormatting>
  <conditionalFormatting sqref="K19:P19">
    <cfRule type="cellIs" dxfId="253" priority="8" stopIfTrue="1" operator="lessThanOrEqual">
      <formula>0</formula>
    </cfRule>
    <cfRule type="cellIs" dxfId="252" priority="7" stopIfTrue="1" operator="between">
      <formula>1</formula>
      <formula>300</formula>
    </cfRule>
  </conditionalFormatting>
  <conditionalFormatting sqref="K21:P21">
    <cfRule type="cellIs" dxfId="251" priority="10" stopIfTrue="1" operator="lessThanOrEqual">
      <formula>0</formula>
    </cfRule>
    <cfRule type="cellIs" dxfId="250" priority="9" stopIfTrue="1" operator="between">
      <formula>1</formula>
      <formula>300</formula>
    </cfRule>
  </conditionalFormatting>
  <conditionalFormatting sqref="K23:P23">
    <cfRule type="cellIs" dxfId="249" priority="12" stopIfTrue="1" operator="lessThanOrEqual">
      <formula>0</formula>
    </cfRule>
    <cfRule type="cellIs" dxfId="248" priority="11" stopIfTrue="1" operator="between">
      <formula>1</formula>
      <formula>300</formula>
    </cfRule>
  </conditionalFormatting>
  <conditionalFormatting sqref="K25:P25">
    <cfRule type="cellIs" dxfId="247" priority="23" stopIfTrue="1" operator="between">
      <formula>1</formula>
      <formula>300</formula>
    </cfRule>
    <cfRule type="cellIs" dxfId="246" priority="24" stopIfTrue="1" operator="lessThanOrEqual">
      <formula>0</formula>
    </cfRule>
  </conditionalFormatting>
  <conditionalFormatting sqref="L27:N27">
    <cfRule type="cellIs" dxfId="245" priority="61" stopIfTrue="1" operator="between">
      <formula>1</formula>
      <formula>300</formula>
    </cfRule>
    <cfRule type="cellIs" dxfId="244" priority="62" stopIfTrue="1" operator="lessThanOrEqual">
      <formula>0</formula>
    </cfRule>
  </conditionalFormatting>
  <conditionalFormatting sqref="L29:N29">
    <cfRule type="cellIs" dxfId="243" priority="59" stopIfTrue="1" operator="between">
      <formula>1</formula>
      <formula>300</formula>
    </cfRule>
    <cfRule type="cellIs" dxfId="242" priority="60" stopIfTrue="1" operator="lessThanOrEqual">
      <formula>0</formula>
    </cfRule>
  </conditionalFormatting>
  <conditionalFormatting sqref="L31:N31">
    <cfRule type="cellIs" dxfId="241" priority="57" stopIfTrue="1" operator="between">
      <formula>1</formula>
      <formula>300</formula>
    </cfRule>
    <cfRule type="cellIs" dxfId="240" priority="58" stopIfTrue="1" operator="lessThanOrEqual">
      <formula>0</formula>
    </cfRule>
  </conditionalFormatting>
  <dataValidations count="6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C48F630E-8040-4E32-BCD0-78DA9FEB131F}">
      <formula1>"44,48,53,56,58,60,63,65,69,71,77,'+77,79,86,'+86,88,94,'+94,110,'´110"</formula1>
    </dataValidation>
    <dataValidation type="list" allowBlank="1" showInputMessage="1" showErrorMessage="1" sqref="E9 E31 E11 E13 E15 E17 E19 E21 E23 E25 E27 E29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1 F13 F15 F17 F19 F21 F23 F25 F27 F29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8" orientation="landscape" copies="2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F0A29-E309-475C-B1C4-D0216B7BE2CE}">
  <sheetPr>
    <pageSetUpPr fitToPage="1"/>
  </sheetPr>
  <dimension ref="A1:AO134"/>
  <sheetViews>
    <sheetView tabSelected="1" zoomScale="90" zoomScaleNormal="90" workbookViewId="0">
      <selection activeCell="O1" sqref="O1:AB1048576"/>
    </sheetView>
  </sheetViews>
  <sheetFormatPr baseColWidth="10" defaultColWidth="8.796875" defaultRowHeight="13"/>
  <cols>
    <col min="1" max="1" width="5.19921875" customWidth="1"/>
    <col min="2" max="3" width="7.59765625" customWidth="1"/>
    <col min="4" max="4" width="7.19921875" customWidth="1"/>
    <col min="5" max="5" width="14.796875" customWidth="1"/>
    <col min="6" max="6" width="34" bestFit="1" customWidth="1"/>
    <col min="7" max="8" width="6.796875" customWidth="1"/>
    <col min="9" max="10" width="8.59765625" customWidth="1"/>
    <col min="11" max="11" width="9.59765625" customWidth="1"/>
    <col min="12" max="12" width="18.796875" bestFit="1" customWidth="1"/>
    <col min="15" max="16" width="0" hidden="1" customWidth="1"/>
    <col min="17" max="17" width="19.796875" hidden="1" customWidth="1"/>
    <col min="18" max="18" width="9" hidden="1" customWidth="1"/>
    <col min="19" max="19" width="0" hidden="1" customWidth="1"/>
    <col min="20" max="20" width="0" style="28" hidden="1" customWidth="1"/>
    <col min="21" max="21" width="16.796875" style="28" hidden="1" customWidth="1"/>
    <col min="22" max="22" width="22.796875" style="28" hidden="1" customWidth="1"/>
    <col min="23" max="24" width="0" style="28" hidden="1" customWidth="1"/>
    <col min="25" max="27" width="9.19921875" style="28" hidden="1" customWidth="1"/>
    <col min="28" max="28" width="0" style="28" hidden="1" customWidth="1"/>
    <col min="29" max="41" width="8.796875" style="28"/>
  </cols>
  <sheetData>
    <row r="1" spans="1:41" ht="31" thickBot="1">
      <c r="A1" s="267" t="s">
        <v>263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9"/>
    </row>
    <row r="2" spans="1:41" s="170" customFormat="1" ht="25.25" customHeight="1" thickBot="1">
      <c r="A2" s="270" t="s">
        <v>264</v>
      </c>
      <c r="B2" s="271"/>
      <c r="C2" s="271"/>
      <c r="D2" s="271"/>
      <c r="E2" s="271"/>
      <c r="F2" s="272" t="s">
        <v>63</v>
      </c>
      <c r="G2" s="271"/>
      <c r="H2" s="271"/>
      <c r="I2" s="273" t="s">
        <v>273</v>
      </c>
      <c r="J2" s="273"/>
      <c r="K2" s="273"/>
      <c r="L2" s="273"/>
      <c r="Q2" s="28" t="s">
        <v>261</v>
      </c>
      <c r="R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 s="28" customFormat="1" ht="13.5" customHeight="1" thickBot="1">
      <c r="A3" s="171" t="s">
        <v>250</v>
      </c>
      <c r="B3" s="172" t="s">
        <v>251</v>
      </c>
      <c r="C3" s="172" t="s">
        <v>252</v>
      </c>
      <c r="D3" s="171" t="s">
        <v>253</v>
      </c>
      <c r="E3" s="171" t="s">
        <v>254</v>
      </c>
      <c r="F3" s="173" t="s">
        <v>4</v>
      </c>
      <c r="G3" s="171" t="s">
        <v>6</v>
      </c>
      <c r="H3" s="171" t="s">
        <v>7</v>
      </c>
      <c r="I3" s="171" t="s">
        <v>255</v>
      </c>
      <c r="J3" s="171" t="s">
        <v>256</v>
      </c>
      <c r="K3" s="171" t="s">
        <v>46</v>
      </c>
      <c r="L3" s="171" t="s">
        <v>9</v>
      </c>
      <c r="Q3" s="28" t="s">
        <v>42</v>
      </c>
      <c r="R3" s="172" t="s">
        <v>251</v>
      </c>
      <c r="S3" s="172" t="s">
        <v>252</v>
      </c>
      <c r="T3" s="171" t="s">
        <v>253</v>
      </c>
      <c r="U3" s="171" t="s">
        <v>254</v>
      </c>
      <c r="V3" s="173" t="s">
        <v>4</v>
      </c>
      <c r="W3" s="171" t="s">
        <v>6</v>
      </c>
      <c r="X3" s="171" t="s">
        <v>7</v>
      </c>
      <c r="Y3" s="171" t="s">
        <v>255</v>
      </c>
      <c r="Z3" s="171" t="s">
        <v>256</v>
      </c>
      <c r="AA3" s="171" t="s">
        <v>46</v>
      </c>
      <c r="AB3" s="171" t="s">
        <v>9</v>
      </c>
    </row>
    <row r="4" spans="1:41" ht="21" customHeight="1" thickBot="1">
      <c r="A4" s="274" t="s">
        <v>257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6"/>
      <c r="P4" s="277" t="s">
        <v>262</v>
      </c>
      <c r="Q4" t="str">
        <f>'Pulje 1'!J9</f>
        <v>Nidelv IL</v>
      </c>
      <c r="R4" s="197">
        <f>'Pulje 1'!D9</f>
        <v>95.81</v>
      </c>
      <c r="S4" s="198" t="str">
        <f>'Pulje 1'!E9</f>
        <v>SM</v>
      </c>
      <c r="T4" s="199" t="str">
        <f>'Pulje 1'!F9</f>
        <v>19-23</v>
      </c>
      <c r="U4" s="200">
        <f>'Pulje 1'!G9</f>
        <v>38227</v>
      </c>
      <c r="V4" s="201" t="str">
        <f>'Pulje 1'!I9</f>
        <v>William Hjelde Stormoen</v>
      </c>
      <c r="W4" s="201">
        <f>'Pulje 1'!Q9</f>
        <v>102</v>
      </c>
      <c r="X4" s="202">
        <f>'Pulje 1'!R9</f>
        <v>115</v>
      </c>
      <c r="Y4" s="203">
        <f>'Pulje 1'!V9</f>
        <v>7.86</v>
      </c>
      <c r="Z4" s="203">
        <f>'Pulje 1'!W9</f>
        <v>11.62</v>
      </c>
      <c r="AA4" s="203">
        <f>'Pulje 1'!X9</f>
        <v>6.5</v>
      </c>
      <c r="AB4" s="203">
        <f>'Pulje 1'!Z10</f>
        <v>737.0883041151792</v>
      </c>
    </row>
    <row r="5" spans="1:41" ht="10.25" customHeight="1">
      <c r="A5" s="176"/>
      <c r="B5" s="177"/>
      <c r="C5" s="177"/>
      <c r="D5" s="177"/>
      <c r="E5" s="178"/>
      <c r="F5" s="179"/>
      <c r="G5" s="180"/>
      <c r="H5" s="180"/>
      <c r="I5" s="181"/>
      <c r="J5" s="181"/>
      <c r="K5" s="181"/>
      <c r="L5" s="181"/>
      <c r="P5" s="278"/>
      <c r="Q5" t="str">
        <f>'Pulje 1'!J11</f>
        <v>Tønsberg-Kam.</v>
      </c>
      <c r="R5" s="197">
        <f>'Pulje 1'!D11</f>
        <v>79.67</v>
      </c>
      <c r="S5" s="198" t="str">
        <f>'Pulje 1'!E11</f>
        <v>SM</v>
      </c>
      <c r="T5" s="199" t="str">
        <f>'Pulje 1'!F11</f>
        <v>19-23</v>
      </c>
      <c r="U5" s="200">
        <f>'Pulje 1'!G11</f>
        <v>38615</v>
      </c>
      <c r="V5" s="201" t="str">
        <f>'Pulje 1'!I11</f>
        <v>Emil Martin Harcourt</v>
      </c>
      <c r="W5" s="201">
        <f>'Pulje 1'!Q11</f>
        <v>98</v>
      </c>
      <c r="X5" s="202">
        <f>'Pulje 1'!R11</f>
        <v>122</v>
      </c>
      <c r="Y5" s="203">
        <f>'Pulje 1'!V11</f>
        <v>7.69</v>
      </c>
      <c r="Z5" s="203">
        <f>'Pulje 1'!W11</f>
        <v>9.4700000000000006</v>
      </c>
      <c r="AA5" s="203">
        <f>'Pulje 1'!X11</f>
        <v>6.5</v>
      </c>
      <c r="AB5" s="203">
        <f>'Pulje 1'!Z12</f>
        <v>753.22450307557324</v>
      </c>
    </row>
    <row r="6" spans="1:41" s="192" customFormat="1" ht="15.75" customHeight="1">
      <c r="A6" s="189">
        <v>2</v>
      </c>
      <c r="B6" s="283" t="s">
        <v>274</v>
      </c>
      <c r="C6" s="283"/>
      <c r="D6" s="283"/>
      <c r="E6" s="283"/>
      <c r="F6" s="283"/>
      <c r="G6" s="190"/>
      <c r="H6" s="190"/>
      <c r="I6" s="190"/>
      <c r="J6" s="190"/>
      <c r="K6" s="190"/>
      <c r="L6" s="191">
        <f>IF(COUNT(L7:L10)=4,SUM(L7:L10)-MIN(L7:L10),SUM(L7:L10))</f>
        <v>1772.88834331569</v>
      </c>
      <c r="P6" s="278"/>
      <c r="Q6" t="str">
        <f>'Pulje 1'!J13</f>
        <v>Tambarskjelvar IL</v>
      </c>
      <c r="R6" s="197">
        <f>'Pulje 1'!D13</f>
        <v>85.67</v>
      </c>
      <c r="S6" s="198" t="str">
        <f>'Pulje 1'!E13</f>
        <v>SM</v>
      </c>
      <c r="T6" s="199" t="str">
        <f>'Pulje 1'!F13</f>
        <v>19-23</v>
      </c>
      <c r="U6" s="200">
        <f>'Pulje 1'!G13</f>
        <v>38896</v>
      </c>
      <c r="V6" s="201" t="str">
        <f>'Pulje 1'!I13</f>
        <v>Alvolai Myrvang Røyseth</v>
      </c>
      <c r="W6" s="201">
        <f>'Pulje 1'!Q13</f>
        <v>122</v>
      </c>
      <c r="X6" s="202">
        <f>'Pulje 1'!R13</f>
        <v>145</v>
      </c>
      <c r="Y6" s="203">
        <f>'Pulje 1'!V13</f>
        <v>9.09</v>
      </c>
      <c r="Z6" s="203">
        <f>'Pulje 1'!W13</f>
        <v>15</v>
      </c>
      <c r="AA6" s="203">
        <f>'Pulje 1'!X13</f>
        <v>6.4</v>
      </c>
      <c r="AB6" s="203">
        <f>'Pulje 1'!Z14</f>
        <v>905.34951827332748</v>
      </c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</row>
    <row r="7" spans="1:41" ht="15.75" customHeight="1">
      <c r="A7" s="176"/>
      <c r="B7" s="184">
        <f t="shared" ref="B7:L7" si="0">R66</f>
        <v>66.95</v>
      </c>
      <c r="C7" s="184" t="str">
        <f t="shared" si="0"/>
        <v>UK</v>
      </c>
      <c r="D7" s="184" t="str">
        <f t="shared" si="0"/>
        <v>17-18</v>
      </c>
      <c r="E7" s="185">
        <f t="shared" si="0"/>
        <v>39505</v>
      </c>
      <c r="F7" s="186" t="str">
        <f t="shared" si="0"/>
        <v>Eline Høien</v>
      </c>
      <c r="G7" s="187">
        <f t="shared" si="0"/>
        <v>63</v>
      </c>
      <c r="H7" s="187">
        <f t="shared" si="0"/>
        <v>81</v>
      </c>
      <c r="I7" s="188">
        <f t="shared" si="0"/>
        <v>6.63</v>
      </c>
      <c r="J7" s="188">
        <f t="shared" si="0"/>
        <v>9.2799999999999994</v>
      </c>
      <c r="K7" s="188">
        <f t="shared" si="0"/>
        <v>7.4</v>
      </c>
      <c r="L7" s="188">
        <f t="shared" si="0"/>
        <v>587.66494057185105</v>
      </c>
      <c r="M7" s="183"/>
      <c r="P7" s="278"/>
      <c r="Q7" t="str">
        <f>'Pulje 1'!J15</f>
        <v>Haugesund VK</v>
      </c>
      <c r="R7" s="197">
        <f>'Pulje 1'!D15</f>
        <v>104.24</v>
      </c>
      <c r="S7" s="198" t="str">
        <f>'Pulje 1'!E15</f>
        <v>SM</v>
      </c>
      <c r="T7" s="199" t="str">
        <f>'Pulje 1'!F15</f>
        <v>19-23</v>
      </c>
      <c r="U7" s="200">
        <f>'Pulje 1'!G15</f>
        <v>37993</v>
      </c>
      <c r="V7" s="201" t="str">
        <f>'Pulje 1'!I15</f>
        <v>Alexander Eide</v>
      </c>
      <c r="W7" s="201">
        <f>'Pulje 1'!Q15</f>
        <v>122</v>
      </c>
      <c r="X7" s="202">
        <f>'Pulje 1'!R15</f>
        <v>148</v>
      </c>
      <c r="Y7" s="203">
        <f>'Pulje 1'!V15</f>
        <v>8.82</v>
      </c>
      <c r="Z7" s="203">
        <f>'Pulje 1'!W15</f>
        <v>12.87</v>
      </c>
      <c r="AA7" s="203">
        <f>'Pulje 1'!X15</f>
        <v>6.4</v>
      </c>
      <c r="AB7" s="203">
        <f>'Pulje 1'!Z16</f>
        <v>830.98492919080888</v>
      </c>
    </row>
    <row r="8" spans="1:41" ht="15.75" customHeight="1">
      <c r="A8" s="176"/>
      <c r="B8" s="184">
        <f t="shared" ref="B8:L8" si="1">R73</f>
        <v>61.53</v>
      </c>
      <c r="C8" s="184" t="str">
        <f t="shared" si="1"/>
        <v>UK</v>
      </c>
      <c r="D8" s="184" t="str">
        <f t="shared" si="1"/>
        <v>15-16</v>
      </c>
      <c r="E8" s="185">
        <f t="shared" si="1"/>
        <v>39927</v>
      </c>
      <c r="F8" s="186" t="str">
        <f t="shared" si="1"/>
        <v>Lea Berge Jensen</v>
      </c>
      <c r="G8" s="187">
        <f t="shared" si="1"/>
        <v>63</v>
      </c>
      <c r="H8" s="187">
        <f t="shared" si="1"/>
        <v>74</v>
      </c>
      <c r="I8" s="188">
        <f t="shared" si="1"/>
        <v>7.06</v>
      </c>
      <c r="J8" s="188">
        <f t="shared" si="1"/>
        <v>10.23</v>
      </c>
      <c r="K8" s="188">
        <f t="shared" si="1"/>
        <v>6.9</v>
      </c>
      <c r="L8" s="188">
        <f t="shared" si="1"/>
        <v>638.7102078645878</v>
      </c>
      <c r="P8" s="278"/>
      <c r="Q8" t="str">
        <f>'Pulje 1'!J17</f>
        <v>Tambarskjelvar IL</v>
      </c>
      <c r="R8" s="197">
        <f>'Pulje 1'!D17</f>
        <v>93.96</v>
      </c>
      <c r="S8" s="198" t="str">
        <f>'Pulje 1'!E17</f>
        <v>SM</v>
      </c>
      <c r="T8" s="199" t="str">
        <f>'Pulje 1'!F17</f>
        <v>19-23</v>
      </c>
      <c r="U8" s="200">
        <f>'Pulje 1'!G17</f>
        <v>38951</v>
      </c>
      <c r="V8" s="201" t="str">
        <f>'Pulje 1'!I17</f>
        <v>Jakub Karol Kudyba</v>
      </c>
      <c r="W8" s="201">
        <f>'Pulje 1'!Q17</f>
        <v>101</v>
      </c>
      <c r="X8" s="202">
        <f>'Pulje 1'!R17</f>
        <v>128</v>
      </c>
      <c r="Y8" s="203">
        <f>'Pulje 1'!V17</f>
        <v>7.97</v>
      </c>
      <c r="Z8" s="203">
        <f>'Pulje 1'!W17</f>
        <v>12.88</v>
      </c>
      <c r="AA8" s="203">
        <f>'Pulje 1'!X17</f>
        <v>6.6</v>
      </c>
      <c r="AB8" s="203">
        <f>'Pulje 1'!Z18</f>
        <v>770.9593485346021</v>
      </c>
    </row>
    <row r="9" spans="1:41" ht="15.75" customHeight="1">
      <c r="A9" s="176"/>
      <c r="B9" s="184">
        <f t="shared" ref="B9:L9" si="2">R68</f>
        <v>65.97</v>
      </c>
      <c r="C9" s="184" t="str">
        <f t="shared" si="2"/>
        <v>UK</v>
      </c>
      <c r="D9" s="184" t="str">
        <f t="shared" si="2"/>
        <v>17-18</v>
      </c>
      <c r="E9" s="185">
        <f t="shared" si="2"/>
        <v>39619</v>
      </c>
      <c r="F9" s="186" t="str">
        <f t="shared" si="2"/>
        <v>Ingeborg Liland</v>
      </c>
      <c r="G9" s="187">
        <f t="shared" si="2"/>
        <v>61</v>
      </c>
      <c r="H9" s="187">
        <f t="shared" si="2"/>
        <v>75</v>
      </c>
      <c r="I9" s="188">
        <f t="shared" si="2"/>
        <v>6.27</v>
      </c>
      <c r="J9" s="188">
        <f t="shared" si="2"/>
        <v>7.83</v>
      </c>
      <c r="K9" s="188">
        <f t="shared" si="2"/>
        <v>7.5</v>
      </c>
      <c r="L9" s="188">
        <f t="shared" si="2"/>
        <v>546.51319487925116</v>
      </c>
      <c r="P9" s="278"/>
      <c r="Q9" t="str">
        <f>'Pulje 1'!J19</f>
        <v>Tambarskjelvar IL</v>
      </c>
      <c r="R9" s="197">
        <f>'Pulje 1'!D19</f>
        <v>77.180000000000007</v>
      </c>
      <c r="S9" s="198" t="str">
        <f>'Pulje 1'!E19</f>
        <v>SM</v>
      </c>
      <c r="T9" s="199" t="str">
        <f>'Pulje 1'!F19</f>
        <v>19-23</v>
      </c>
      <c r="U9" s="200">
        <f>'Pulje 1'!G19</f>
        <v>39076</v>
      </c>
      <c r="V9" s="201" t="str">
        <f>'Pulje 1'!I19</f>
        <v>Brede Tengel Lesto</v>
      </c>
      <c r="W9" s="201">
        <f>'Pulje 1'!Q19</f>
        <v>83</v>
      </c>
      <c r="X9" s="202">
        <f>'Pulje 1'!R19</f>
        <v>105</v>
      </c>
      <c r="Y9" s="203">
        <f>'Pulje 1'!V19</f>
        <v>8.5500000000000007</v>
      </c>
      <c r="Z9" s="203">
        <f>'Pulje 1'!W19</f>
        <v>12.16</v>
      </c>
      <c r="AA9" s="203">
        <f>'Pulje 1'!X19</f>
        <v>6.7</v>
      </c>
      <c r="AB9" s="203">
        <f>'Pulje 1'!Z20</f>
        <v>755.77980111179886</v>
      </c>
    </row>
    <row r="10" spans="1:41" ht="15.75" customHeight="1">
      <c r="A10" s="176"/>
      <c r="B10" s="184"/>
      <c r="C10" s="184"/>
      <c r="D10" s="184"/>
      <c r="E10" s="185"/>
      <c r="F10" s="186"/>
      <c r="G10" s="187"/>
      <c r="H10" s="187"/>
      <c r="I10" s="188"/>
      <c r="J10" s="188"/>
      <c r="K10" s="188"/>
      <c r="L10" s="188"/>
      <c r="P10" s="278"/>
      <c r="Q10" t="str">
        <f>'Pulje 1'!J21</f>
        <v>Tysvær VK</v>
      </c>
      <c r="R10" s="197">
        <f>'Pulje 1'!D21</f>
        <v>69.489999999999995</v>
      </c>
      <c r="S10" s="198" t="str">
        <f>'Pulje 1'!E21</f>
        <v>SM</v>
      </c>
      <c r="T10" s="199" t="str">
        <f>'Pulje 1'!F21</f>
        <v>19-23</v>
      </c>
      <c r="U10" s="200">
        <f>'Pulje 1'!G21</f>
        <v>38415</v>
      </c>
      <c r="V10" s="201" t="str">
        <f>'Pulje 1'!I21</f>
        <v>Stefan Rønnevik</v>
      </c>
      <c r="W10" s="201">
        <f>'Pulje 1'!Q21</f>
        <v>117</v>
      </c>
      <c r="X10" s="202">
        <f>'Pulje 1'!R21</f>
        <v>140</v>
      </c>
      <c r="Y10" s="203">
        <f>'Pulje 1'!V21</f>
        <v>9.49</v>
      </c>
      <c r="Z10" s="203">
        <f>'Pulje 1'!W21</f>
        <v>12.09</v>
      </c>
      <c r="AA10" s="203">
        <f>'Pulje 1'!X21</f>
        <v>6.2</v>
      </c>
      <c r="AB10" s="203">
        <f>'Pulje 1'!Z22</f>
        <v>938.68135724062142</v>
      </c>
    </row>
    <row r="11" spans="1:41" s="175" customFormat="1" ht="15.75" customHeight="1">
      <c r="A11" s="176"/>
      <c r="B11" s="177"/>
      <c r="C11" s="177"/>
      <c r="D11" s="177"/>
      <c r="E11" s="178"/>
      <c r="F11" s="179"/>
      <c r="G11" s="180"/>
      <c r="H11" s="180"/>
      <c r="I11" s="181"/>
      <c r="J11" s="181"/>
      <c r="K11" s="181"/>
      <c r="L11" s="181"/>
      <c r="P11" s="278"/>
      <c r="Q11" t="str">
        <f>'Pulje 1'!J23</f>
        <v>Nidelv IL</v>
      </c>
      <c r="R11" s="197">
        <f>'Pulje 1'!D23</f>
        <v>81.23</v>
      </c>
      <c r="S11" s="198" t="str">
        <f>'Pulje 1'!E23</f>
        <v>SM</v>
      </c>
      <c r="T11" s="199" t="str">
        <f>'Pulje 1'!F23</f>
        <v>19-23</v>
      </c>
      <c r="U11" s="200">
        <f>'Pulje 1'!G23</f>
        <v>38727</v>
      </c>
      <c r="V11" s="201" t="str">
        <f>'Pulje 1'!I23</f>
        <v>Henrik F. Kjeldsberg</v>
      </c>
      <c r="W11" s="201">
        <f>'Pulje 1'!Q23</f>
        <v>61</v>
      </c>
      <c r="X11" s="202">
        <f>'Pulje 1'!R23</f>
        <v>70</v>
      </c>
      <c r="Y11" s="203">
        <f>'Pulje 1'!V23</f>
        <v>5.83</v>
      </c>
      <c r="Z11" s="203">
        <f>'Pulje 1'!W23</f>
        <v>8.27</v>
      </c>
      <c r="AA11" s="203">
        <f>'Pulje 1'!X23</f>
        <v>7.5</v>
      </c>
      <c r="AB11" s="203">
        <f>'Pulje 1'!Z24</f>
        <v>520.59730914765419</v>
      </c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s="28" customFormat="1" ht="15.75" customHeight="1">
      <c r="A12" s="189">
        <v>3</v>
      </c>
      <c r="B12" s="283" t="s">
        <v>92</v>
      </c>
      <c r="C12" s="283"/>
      <c r="D12" s="283"/>
      <c r="E12" s="283"/>
      <c r="F12" s="283"/>
      <c r="G12" s="190"/>
      <c r="H12" s="190"/>
      <c r="I12" s="190"/>
      <c r="J12" s="190"/>
      <c r="K12" s="190"/>
      <c r="L12" s="191">
        <f>IF(COUNT(L13:L16)=4,SUM(L13:L16)-MIN(L13:L16),SUM(L13:L16))</f>
        <v>1669.1089253164951</v>
      </c>
      <c r="P12" s="278"/>
      <c r="Q12" t="str">
        <f>'Pulje 1'!J25</f>
        <v>Larvik AK</v>
      </c>
      <c r="R12" s="197">
        <f>'Pulje 1'!D25</f>
        <v>86.27</v>
      </c>
      <c r="S12" s="198" t="str">
        <f>'Pulje 1'!E25</f>
        <v>SM</v>
      </c>
      <c r="T12" s="199" t="str">
        <f>'Pulje 1'!F25</f>
        <v>19-23</v>
      </c>
      <c r="U12" s="200">
        <f>'Pulje 1'!G25</f>
        <v>38629</v>
      </c>
      <c r="V12" s="201" t="str">
        <f>'Pulje 1'!I25</f>
        <v>Ulrik Lie-Haugen</v>
      </c>
      <c r="W12" s="201">
        <f>'Pulje 1'!Q25</f>
        <v>86</v>
      </c>
      <c r="X12" s="202">
        <f>'Pulje 1'!R25</f>
        <v>108</v>
      </c>
      <c r="Y12" s="203">
        <f>'Pulje 1'!V25</f>
        <v>7.43</v>
      </c>
      <c r="Z12" s="203">
        <f>'Pulje 1'!W25</f>
        <v>9.9600000000000009</v>
      </c>
      <c r="AA12" s="203">
        <f>'Pulje 1'!X25</f>
        <v>7.4</v>
      </c>
      <c r="AB12" s="203">
        <f>'Pulje 1'!Z26</f>
        <v>660.67448444360434</v>
      </c>
    </row>
    <row r="13" spans="1:41" ht="15.75" customHeight="1">
      <c r="A13" s="176"/>
      <c r="B13" s="184">
        <f t="shared" ref="B13:L14" si="3">R59</f>
        <v>41.83</v>
      </c>
      <c r="C13" s="184" t="str">
        <f t="shared" si="3"/>
        <v>UK</v>
      </c>
      <c r="D13" s="184" t="str">
        <f t="shared" si="3"/>
        <v>13-14</v>
      </c>
      <c r="E13" s="185">
        <f t="shared" si="3"/>
        <v>40877</v>
      </c>
      <c r="F13" s="186" t="str">
        <f t="shared" si="3"/>
        <v>Natali Siska</v>
      </c>
      <c r="G13" s="187">
        <f t="shared" si="3"/>
        <v>27</v>
      </c>
      <c r="H13" s="187">
        <f t="shared" si="3"/>
        <v>39</v>
      </c>
      <c r="I13" s="188">
        <f t="shared" si="3"/>
        <v>6.58</v>
      </c>
      <c r="J13" s="188">
        <f t="shared" si="3"/>
        <v>9</v>
      </c>
      <c r="K13" s="188">
        <f t="shared" si="3"/>
        <v>7.5</v>
      </c>
      <c r="L13" s="188">
        <f t="shared" si="3"/>
        <v>560.99601772812048</v>
      </c>
      <c r="P13" s="278"/>
      <c r="R13" s="197"/>
      <c r="S13" s="198"/>
      <c r="T13" s="199"/>
      <c r="U13" s="200"/>
      <c r="V13" s="201"/>
      <c r="W13" s="201"/>
      <c r="X13" s="202"/>
      <c r="Y13" s="203"/>
      <c r="Z13" s="203"/>
      <c r="AA13" s="203"/>
      <c r="AB13" s="203"/>
    </row>
    <row r="14" spans="1:41" ht="15.75" customHeight="1">
      <c r="A14" s="176"/>
      <c r="B14" s="184">
        <f t="shared" si="3"/>
        <v>45.19</v>
      </c>
      <c r="C14" s="184" t="str">
        <f t="shared" si="3"/>
        <v>UK</v>
      </c>
      <c r="D14" s="184" t="str">
        <f t="shared" si="3"/>
        <v>13-14</v>
      </c>
      <c r="E14" s="185">
        <f t="shared" si="3"/>
        <v>41055</v>
      </c>
      <c r="F14" s="186" t="str">
        <f t="shared" si="3"/>
        <v>Solveig Olsen</v>
      </c>
      <c r="G14" s="187">
        <f t="shared" si="3"/>
        <v>31</v>
      </c>
      <c r="H14" s="187">
        <f t="shared" si="3"/>
        <v>46</v>
      </c>
      <c r="I14" s="188">
        <f t="shared" si="3"/>
        <v>6.44</v>
      </c>
      <c r="J14" s="188">
        <f t="shared" si="3"/>
        <v>9.2899999999999991</v>
      </c>
      <c r="K14" s="188">
        <f t="shared" si="3"/>
        <v>7.6</v>
      </c>
      <c r="L14" s="188">
        <f t="shared" si="3"/>
        <v>559.60515089162141</v>
      </c>
      <c r="P14" s="278"/>
      <c r="R14" s="197"/>
      <c r="S14" s="198"/>
      <c r="T14" s="199"/>
      <c r="U14" s="200"/>
      <c r="V14" s="201"/>
      <c r="W14" s="201"/>
      <c r="X14" s="202"/>
      <c r="Y14" s="203"/>
      <c r="Z14" s="203"/>
      <c r="AA14" s="203"/>
      <c r="AB14" s="203"/>
    </row>
    <row r="15" spans="1:41" ht="15.75" customHeight="1">
      <c r="A15" s="176"/>
      <c r="B15" s="184">
        <f t="shared" ref="B15:L15" si="4">R75</f>
        <v>67.03</v>
      </c>
      <c r="C15" s="184" t="str">
        <f t="shared" si="4"/>
        <v>UK</v>
      </c>
      <c r="D15" s="184" t="str">
        <f t="shared" si="4"/>
        <v>15-16</v>
      </c>
      <c r="E15" s="185">
        <f t="shared" si="4"/>
        <v>40152</v>
      </c>
      <c r="F15" s="186" t="str">
        <f t="shared" si="4"/>
        <v>Sigrid Johanne Røvik</v>
      </c>
      <c r="G15" s="187">
        <f t="shared" si="4"/>
        <v>53</v>
      </c>
      <c r="H15" s="187">
        <f t="shared" si="4"/>
        <v>65</v>
      </c>
      <c r="I15" s="188">
        <f t="shared" si="4"/>
        <v>5.84</v>
      </c>
      <c r="J15" s="188">
        <f t="shared" si="4"/>
        <v>10.15</v>
      </c>
      <c r="K15" s="188">
        <f t="shared" si="4"/>
        <v>7.3</v>
      </c>
      <c r="L15" s="188">
        <f t="shared" si="4"/>
        <v>548.50775669675306</v>
      </c>
      <c r="P15" s="279"/>
      <c r="R15" s="197"/>
      <c r="S15" s="198"/>
      <c r="T15" s="199"/>
      <c r="U15" s="200"/>
      <c r="V15" s="201"/>
      <c r="W15" s="201"/>
      <c r="X15" s="202"/>
      <c r="Y15" s="203"/>
      <c r="Z15" s="203"/>
      <c r="AA15" s="203"/>
      <c r="AB15" s="203"/>
    </row>
    <row r="16" spans="1:41" s="175" customFormat="1" ht="15.75" customHeight="1">
      <c r="A16" s="176"/>
      <c r="B16" s="184"/>
      <c r="C16" s="184"/>
      <c r="D16" s="184"/>
      <c r="E16" s="185"/>
      <c r="F16" s="186"/>
      <c r="G16" s="187"/>
      <c r="H16" s="187"/>
      <c r="I16" s="188"/>
      <c r="J16" s="188"/>
      <c r="K16" s="188"/>
      <c r="L16" s="188"/>
      <c r="Q16"/>
      <c r="R16" s="197"/>
      <c r="S16" s="198"/>
      <c r="T16" s="199"/>
      <c r="U16" s="200"/>
      <c r="V16" s="201"/>
      <c r="W16" s="201"/>
      <c r="X16" s="202"/>
      <c r="Y16" s="203"/>
      <c r="Z16" s="203"/>
      <c r="AA16" s="203"/>
      <c r="AB16" s="203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s="28" customFormat="1" ht="15.75" customHeight="1">
      <c r="A17" s="176"/>
      <c r="B17" s="177"/>
      <c r="C17" s="177"/>
      <c r="D17" s="177"/>
      <c r="E17" s="178"/>
      <c r="F17" s="179"/>
      <c r="G17" s="180"/>
      <c r="H17" s="180"/>
      <c r="I17" s="181"/>
      <c r="J17" s="181"/>
      <c r="K17" s="181"/>
      <c r="L17" s="181"/>
      <c r="P17" s="277" t="s">
        <v>272</v>
      </c>
      <c r="Q17" t="str">
        <f>'Pulje 2'!J9</f>
        <v>Larvik AK</v>
      </c>
      <c r="R17" s="197">
        <f>'Pulje 2'!D9</f>
        <v>56.52</v>
      </c>
      <c r="S17" s="198" t="str">
        <f>'Pulje 2'!E9</f>
        <v>UM</v>
      </c>
      <c r="T17" s="199" t="str">
        <f>'Pulje 2'!F9</f>
        <v>13-14</v>
      </c>
      <c r="U17" s="200">
        <f>'Pulje 2'!G9</f>
        <v>41248</v>
      </c>
      <c r="V17" s="201" t="str">
        <f>'Pulje 2'!I9</f>
        <v>Leo-Alander Fjelløve</v>
      </c>
      <c r="W17" s="201">
        <f>'Pulje 2'!Q9</f>
        <v>30</v>
      </c>
      <c r="X17" s="202">
        <f>'Pulje 2'!R9</f>
        <v>35</v>
      </c>
      <c r="Y17" s="203">
        <f>'Pulje 2'!V9</f>
        <v>5.15</v>
      </c>
      <c r="Z17" s="203">
        <f>'Pulje 2'!W9</f>
        <v>6.37</v>
      </c>
      <c r="AA17" s="203">
        <f>'Pulje 2'!X9</f>
        <v>9.1999999999999993</v>
      </c>
      <c r="AB17" s="203">
        <f>'Pulje 2'!Z10</f>
        <v>363.04927142679594</v>
      </c>
    </row>
    <row r="18" spans="1:41" s="28" customFormat="1" ht="15.75" customHeight="1">
      <c r="A18" s="189">
        <v>1</v>
      </c>
      <c r="B18" s="283" t="s">
        <v>134</v>
      </c>
      <c r="C18" s="283"/>
      <c r="D18" s="283"/>
      <c r="E18" s="283"/>
      <c r="F18" s="283"/>
      <c r="G18" s="190"/>
      <c r="H18" s="190"/>
      <c r="I18" s="190"/>
      <c r="J18" s="190"/>
      <c r="K18" s="190"/>
      <c r="L18" s="191">
        <f>IF(COUNT(L19:L22)=4,SUM(L19:L22)-MIN(L19:L22),SUM(L19:L22))</f>
        <v>1834.1300387755653</v>
      </c>
      <c r="P18" s="278"/>
      <c r="Q18"/>
      <c r="R18" s="197"/>
      <c r="S18" s="198"/>
      <c r="T18" s="199"/>
      <c r="U18" s="200"/>
      <c r="V18" s="201"/>
      <c r="W18" s="201"/>
      <c r="X18" s="202"/>
      <c r="Y18" s="203"/>
      <c r="Z18" s="203"/>
      <c r="AA18" s="203"/>
      <c r="AB18" s="203"/>
    </row>
    <row r="19" spans="1:41" s="28" customFormat="1" ht="15.75" customHeight="1">
      <c r="A19" s="176"/>
      <c r="B19" s="184">
        <f t="shared" ref="B19:L19" si="5">R61</f>
        <v>41.65</v>
      </c>
      <c r="C19" s="184" t="str">
        <f t="shared" si="5"/>
        <v>UK</v>
      </c>
      <c r="D19" s="184" t="str">
        <f t="shared" si="5"/>
        <v>13-14</v>
      </c>
      <c r="E19" s="185">
        <f t="shared" si="5"/>
        <v>40848</v>
      </c>
      <c r="F19" s="186" t="str">
        <f t="shared" si="5"/>
        <v>Ingrid Skag Skjefstad</v>
      </c>
      <c r="G19" s="187">
        <f t="shared" si="5"/>
        <v>43</v>
      </c>
      <c r="H19" s="187">
        <f t="shared" si="5"/>
        <v>55</v>
      </c>
      <c r="I19" s="188">
        <f t="shared" si="5"/>
        <v>6.33</v>
      </c>
      <c r="J19" s="188">
        <f t="shared" si="5"/>
        <v>8.84</v>
      </c>
      <c r="K19" s="188">
        <f t="shared" si="5"/>
        <v>7.7</v>
      </c>
      <c r="L19" s="188">
        <f t="shared" si="5"/>
        <v>614.75846485193085</v>
      </c>
      <c r="P19" s="278"/>
      <c r="Q19" t="str">
        <f>'Pulje 2'!J13</f>
        <v>Hitra VK</v>
      </c>
      <c r="R19" s="197">
        <f>'Pulje 2'!D13</f>
        <v>61.75</v>
      </c>
      <c r="S19" s="198" t="str">
        <f>'Pulje 2'!E13</f>
        <v>UM</v>
      </c>
      <c r="T19" s="199" t="str">
        <f>'Pulje 2'!F13</f>
        <v>13-14</v>
      </c>
      <c r="U19" s="200">
        <f>'Pulje 2'!G13</f>
        <v>40609</v>
      </c>
      <c r="V19" s="201" t="str">
        <f>'Pulje 2'!I13</f>
        <v>Emil Røvik</v>
      </c>
      <c r="W19" s="201">
        <f>'Pulje 2'!Q13</f>
        <v>48</v>
      </c>
      <c r="X19" s="202">
        <f>'Pulje 2'!R13</f>
        <v>60</v>
      </c>
      <c r="Y19" s="203">
        <f>'Pulje 2'!V13</f>
        <v>7</v>
      </c>
      <c r="Z19" s="203">
        <f>'Pulje 2'!W13</f>
        <v>10.6</v>
      </c>
      <c r="AA19" s="203">
        <f>'Pulje 2'!X13</f>
        <v>7</v>
      </c>
      <c r="AB19" s="203">
        <f>'Pulje 2'!Z14</f>
        <v>614.97142728505298</v>
      </c>
    </row>
    <row r="20" spans="1:41" s="28" customFormat="1" ht="15.75" customHeight="1">
      <c r="A20" s="176"/>
      <c r="B20" s="184">
        <f t="shared" ref="B20:L20" si="6">R74</f>
        <v>52.55</v>
      </c>
      <c r="C20" s="184" t="str">
        <f t="shared" si="6"/>
        <v>UK</v>
      </c>
      <c r="D20" s="184" t="str">
        <f t="shared" si="6"/>
        <v>15-16</v>
      </c>
      <c r="E20" s="185">
        <f t="shared" si="6"/>
        <v>40008</v>
      </c>
      <c r="F20" s="186" t="str">
        <f t="shared" si="6"/>
        <v>Heidi Nævdal</v>
      </c>
      <c r="G20" s="187">
        <f t="shared" si="6"/>
        <v>55</v>
      </c>
      <c r="H20" s="187">
        <f t="shared" si="6"/>
        <v>63</v>
      </c>
      <c r="I20" s="188">
        <f t="shared" si="6"/>
        <v>6.57</v>
      </c>
      <c r="J20" s="188">
        <f t="shared" si="6"/>
        <v>9.32</v>
      </c>
      <c r="K20" s="188">
        <f t="shared" si="6"/>
        <v>7.3</v>
      </c>
      <c r="L20" s="188">
        <f t="shared" si="6"/>
        <v>608.31519458562138</v>
      </c>
      <c r="P20" s="278"/>
      <c r="Q20" t="str">
        <f>'Pulje 2'!J15</f>
        <v>Nidelv IL</v>
      </c>
      <c r="R20" s="197">
        <f>'Pulje 2'!D15</f>
        <v>57.32</v>
      </c>
      <c r="S20" s="198" t="str">
        <f>'Pulje 2'!E15</f>
        <v>UM</v>
      </c>
      <c r="T20" s="199" t="str">
        <f>'Pulje 2'!F15</f>
        <v>13-14</v>
      </c>
      <c r="U20" s="200">
        <f>'Pulje 2'!G15</f>
        <v>41110</v>
      </c>
      <c r="V20" s="201" t="str">
        <f>'Pulje 2'!I15</f>
        <v>Naser Mohammed</v>
      </c>
      <c r="W20" s="201">
        <f>'Pulje 2'!Q15</f>
        <v>37</v>
      </c>
      <c r="X20" s="202">
        <f>'Pulje 2'!R15</f>
        <v>45</v>
      </c>
      <c r="Y20" s="203">
        <f>'Pulje 2'!V15</f>
        <v>6.67</v>
      </c>
      <c r="Z20" s="203">
        <f>'Pulje 2'!W15</f>
        <v>7.36</v>
      </c>
      <c r="AA20" s="203">
        <f>'Pulje 2'!X15</f>
        <v>7.5</v>
      </c>
      <c r="AB20" s="203">
        <f>'Pulje 2'!Z16</f>
        <v>507.23948507734229</v>
      </c>
    </row>
    <row r="21" spans="1:41" s="175" customFormat="1" ht="15.75" customHeight="1">
      <c r="A21" s="176"/>
      <c r="B21" s="184">
        <f t="shared" ref="B21:L21" si="7">R77</f>
        <v>60.49</v>
      </c>
      <c r="C21" s="184" t="str">
        <f t="shared" si="7"/>
        <v>UK</v>
      </c>
      <c r="D21" s="184" t="str">
        <f t="shared" si="7"/>
        <v>15-16</v>
      </c>
      <c r="E21" s="185">
        <f t="shared" si="7"/>
        <v>40263</v>
      </c>
      <c r="F21" s="186" t="str">
        <f t="shared" si="7"/>
        <v>Sandra Viktoria N. Amundsen</v>
      </c>
      <c r="G21" s="187">
        <f t="shared" si="7"/>
        <v>73</v>
      </c>
      <c r="H21" s="187">
        <f t="shared" si="7"/>
        <v>89</v>
      </c>
      <c r="I21" s="188">
        <f t="shared" si="7"/>
        <v>5.86</v>
      </c>
      <c r="J21" s="188">
        <f t="shared" si="7"/>
        <v>8.9</v>
      </c>
      <c r="K21" s="188">
        <f t="shared" si="7"/>
        <v>7.6</v>
      </c>
      <c r="L21" s="188">
        <f t="shared" si="7"/>
        <v>611.05637933801313</v>
      </c>
      <c r="P21" s="278"/>
      <c r="Q21" t="str">
        <f>'Pulje 2'!J17</f>
        <v>Breimsbygda IL</v>
      </c>
      <c r="R21" s="197">
        <f>'Pulje 2'!D17</f>
        <v>53.81</v>
      </c>
      <c r="S21" s="198" t="str">
        <f>'Pulje 2'!E17</f>
        <v>UM</v>
      </c>
      <c r="T21" s="199" t="str">
        <f>'Pulje 2'!F17</f>
        <v>13-14</v>
      </c>
      <c r="U21" s="200">
        <f>'Pulje 2'!G17</f>
        <v>40634</v>
      </c>
      <c r="V21" s="201" t="str">
        <f>'Pulje 2'!I17</f>
        <v>Jardar Øvrebø-Feldt</v>
      </c>
      <c r="W21" s="201">
        <f>'Pulje 2'!Q17</f>
        <v>38</v>
      </c>
      <c r="X21" s="202">
        <f>'Pulje 2'!R17</f>
        <v>46</v>
      </c>
      <c r="Y21" s="203">
        <f>'Pulje 2'!V17</f>
        <v>6.77</v>
      </c>
      <c r="Z21" s="203">
        <f>'Pulje 2'!W17</f>
        <v>9.08</v>
      </c>
      <c r="AA21" s="203">
        <f>'Pulje 2'!X17</f>
        <v>7.3</v>
      </c>
      <c r="AB21" s="203">
        <f>'Pulje 2'!Z18</f>
        <v>563.93665040418489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s="28" customFormat="1" ht="15.75" customHeight="1">
      <c r="A22" s="176"/>
      <c r="B22" s="184"/>
      <c r="C22" s="184"/>
      <c r="D22" s="184"/>
      <c r="E22" s="185"/>
      <c r="F22" s="186"/>
      <c r="G22" s="187"/>
      <c r="H22" s="187"/>
      <c r="I22" s="188"/>
      <c r="J22" s="188"/>
      <c r="K22" s="188"/>
      <c r="L22" s="188"/>
      <c r="P22" s="278"/>
      <c r="Q22" t="str">
        <f>'Pulje 2'!J19</f>
        <v>Hitra VK</v>
      </c>
      <c r="R22" s="197">
        <f>'Pulje 2'!D19</f>
        <v>73.599999999999994</v>
      </c>
      <c r="S22" s="198" t="str">
        <f>'Pulje 2'!E19</f>
        <v>UM</v>
      </c>
      <c r="T22" s="199" t="str">
        <f>'Pulje 2'!F19</f>
        <v>13-14</v>
      </c>
      <c r="U22" s="200">
        <f>'Pulje 2'!G19</f>
        <v>40714</v>
      </c>
      <c r="V22" s="201" t="str">
        <f>'Pulje 2'!I19</f>
        <v>Martin Christoffer Nordgård</v>
      </c>
      <c r="W22" s="201">
        <f>'Pulje 2'!Q19</f>
        <v>57</v>
      </c>
      <c r="X22" s="202">
        <f>'Pulje 2'!R19</f>
        <v>75</v>
      </c>
      <c r="Y22" s="203">
        <f>'Pulje 2'!V19</f>
        <v>7.57</v>
      </c>
      <c r="Z22" s="203">
        <f>'Pulje 2'!W19</f>
        <v>10.119999999999999</v>
      </c>
      <c r="AA22" s="203">
        <f>'Pulje 2'!X19</f>
        <v>7.4</v>
      </c>
      <c r="AB22" s="203">
        <f>'Pulje 2'!Z20</f>
        <v>603.60016678800423</v>
      </c>
    </row>
    <row r="23" spans="1:41" ht="15.75" customHeight="1">
      <c r="A23" s="176"/>
      <c r="B23" s="177"/>
      <c r="C23" s="177"/>
      <c r="D23" s="177"/>
      <c r="E23" s="178"/>
      <c r="F23" s="179"/>
      <c r="G23" s="180"/>
      <c r="H23" s="180"/>
      <c r="I23" s="181"/>
      <c r="J23" s="181"/>
      <c r="K23" s="181"/>
      <c r="L23" s="181"/>
      <c r="P23" s="278"/>
      <c r="Q23" t="str">
        <f>'Pulje 2'!J21</f>
        <v>Hitra VK</v>
      </c>
      <c r="R23" s="197">
        <f>'Pulje 2'!D21</f>
        <v>69.650000000000006</v>
      </c>
      <c r="S23" s="198" t="str">
        <f>'Pulje 2'!E21</f>
        <v>UM</v>
      </c>
      <c r="T23" s="199" t="str">
        <f>'Pulje 2'!F21</f>
        <v>13-14</v>
      </c>
      <c r="U23" s="200">
        <f>'Pulje 2'!G21</f>
        <v>40595</v>
      </c>
      <c r="V23" s="201" t="str">
        <f>'Pulje 2'!I21</f>
        <v>Lennart Hafsmo Vitsø</v>
      </c>
      <c r="W23" s="201">
        <f>'Pulje 2'!Q21</f>
        <v>56</v>
      </c>
      <c r="X23" s="202">
        <f>'Pulje 2'!R21</f>
        <v>73</v>
      </c>
      <c r="Y23" s="203">
        <f>'Pulje 2'!V21</f>
        <v>7.59</v>
      </c>
      <c r="Z23" s="203">
        <f>'Pulje 2'!W21</f>
        <v>9.8000000000000007</v>
      </c>
      <c r="AA23" s="203">
        <f>'Pulje 2'!X21</f>
        <v>6.8</v>
      </c>
      <c r="AB23" s="203">
        <f>'Pulje 2'!Z22</f>
        <v>630.76387740458176</v>
      </c>
    </row>
    <row r="24" spans="1:41" ht="15.75" customHeight="1">
      <c r="A24" s="189"/>
      <c r="B24" s="283" t="s">
        <v>275</v>
      </c>
      <c r="C24" s="283"/>
      <c r="D24" s="283"/>
      <c r="E24" s="283"/>
      <c r="F24" s="283"/>
      <c r="G24" s="190"/>
      <c r="H24" s="190"/>
      <c r="I24" s="190"/>
      <c r="J24" s="190"/>
      <c r="K24" s="190"/>
      <c r="L24" s="191">
        <f>IF(COUNT(L25:L28)=4,SUM(L25:L28)-MIN(L25:L28),SUM(L25:L28))</f>
        <v>550.10971266612114</v>
      </c>
      <c r="P24" s="278"/>
      <c r="R24" s="197"/>
      <c r="S24" s="198"/>
      <c r="T24" s="199"/>
      <c r="U24" s="200"/>
      <c r="V24" s="201"/>
      <c r="W24" s="201"/>
      <c r="X24" s="202"/>
      <c r="Y24" s="203"/>
      <c r="Z24" s="203"/>
      <c r="AA24" s="203"/>
      <c r="AB24" s="203"/>
    </row>
    <row r="25" spans="1:41" ht="15.75" customHeight="1">
      <c r="A25" s="176"/>
      <c r="B25" s="184">
        <f t="shared" ref="B25:L25" si="8">R67</f>
        <v>61.33</v>
      </c>
      <c r="C25" s="184" t="str">
        <f t="shared" si="8"/>
        <v>UK</v>
      </c>
      <c r="D25" s="184" t="str">
        <f t="shared" si="8"/>
        <v>17-18</v>
      </c>
      <c r="E25" s="185">
        <f t="shared" si="8"/>
        <v>39229</v>
      </c>
      <c r="F25" s="186" t="str">
        <f t="shared" si="8"/>
        <v>Melissa Magnes</v>
      </c>
      <c r="G25" s="187">
        <f t="shared" si="8"/>
        <v>46</v>
      </c>
      <c r="H25" s="187">
        <f t="shared" si="8"/>
        <v>63</v>
      </c>
      <c r="I25" s="188">
        <f t="shared" si="8"/>
        <v>6.92</v>
      </c>
      <c r="J25" s="188">
        <f t="shared" si="8"/>
        <v>8</v>
      </c>
      <c r="K25" s="188">
        <f t="shared" si="8"/>
        <v>7.1</v>
      </c>
      <c r="L25" s="188">
        <f t="shared" si="8"/>
        <v>550.10971266612114</v>
      </c>
      <c r="P25" s="278"/>
      <c r="R25" s="197"/>
      <c r="S25" s="198"/>
      <c r="T25" s="199"/>
      <c r="U25" s="200"/>
      <c r="V25" s="201"/>
      <c r="W25" s="201"/>
      <c r="X25" s="202"/>
      <c r="Y25" s="203"/>
      <c r="Z25" s="203"/>
      <c r="AA25" s="203"/>
      <c r="AB25" s="203"/>
    </row>
    <row r="26" spans="1:41" s="175" customFormat="1" ht="15.75" customHeight="1">
      <c r="A26" s="176"/>
      <c r="B26" s="184">
        <f t="shared" ref="B26:L26" si="9">R69</f>
        <v>67.87</v>
      </c>
      <c r="C26" s="184" t="str">
        <f t="shared" si="9"/>
        <v>UK</v>
      </c>
      <c r="D26" s="184" t="str">
        <f t="shared" si="9"/>
        <v>17-18</v>
      </c>
      <c r="E26" s="185">
        <f t="shared" si="9"/>
        <v>39742</v>
      </c>
      <c r="F26" s="186" t="str">
        <f t="shared" si="9"/>
        <v>Mille Østli Dekke</v>
      </c>
      <c r="G26" s="187">
        <f t="shared" si="9"/>
        <v>44</v>
      </c>
      <c r="H26" s="187">
        <f t="shared" si="9"/>
        <v>60</v>
      </c>
      <c r="I26" s="188">
        <f t="shared" si="9"/>
        <v>5.5</v>
      </c>
      <c r="J26" s="188">
        <f t="shared" si="9"/>
        <v>8.44</v>
      </c>
      <c r="K26" s="188">
        <f t="shared" si="9"/>
        <v>0</v>
      </c>
      <c r="L26" s="188" t="str">
        <f t="shared" si="9"/>
        <v/>
      </c>
      <c r="P26" s="278"/>
      <c r="Q26"/>
      <c r="R26" s="197"/>
      <c r="S26" s="198"/>
      <c r="T26" s="199"/>
      <c r="U26" s="200"/>
      <c r="V26" s="201"/>
      <c r="W26" s="201"/>
      <c r="X26" s="202"/>
      <c r="Y26" s="203"/>
      <c r="Z26" s="203"/>
      <c r="AA26" s="203"/>
      <c r="AB26" s="203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ht="15.75" customHeight="1">
      <c r="A27" s="176"/>
      <c r="B27" s="184"/>
      <c r="C27" s="184"/>
      <c r="D27" s="184"/>
      <c r="E27" s="185"/>
      <c r="F27" s="186"/>
      <c r="G27" s="187"/>
      <c r="H27" s="187"/>
      <c r="I27" s="188"/>
      <c r="J27" s="188"/>
      <c r="K27" s="188"/>
      <c r="L27" s="188"/>
      <c r="P27" s="278"/>
      <c r="R27" s="197"/>
      <c r="S27" s="198"/>
      <c r="T27" s="199"/>
      <c r="U27" s="200"/>
      <c r="V27" s="201"/>
      <c r="W27" s="201"/>
      <c r="X27" s="202"/>
      <c r="Y27" s="203"/>
      <c r="Z27" s="203"/>
      <c r="AA27" s="203"/>
      <c r="AB27" s="203"/>
    </row>
    <row r="28" spans="1:41" ht="15.75" customHeight="1">
      <c r="A28" s="176"/>
      <c r="B28" s="184"/>
      <c r="C28" s="184"/>
      <c r="D28" s="184"/>
      <c r="E28" s="185"/>
      <c r="F28" s="186"/>
      <c r="G28" s="187"/>
      <c r="H28" s="187"/>
      <c r="I28" s="188"/>
      <c r="J28" s="188"/>
      <c r="K28" s="188"/>
      <c r="L28" s="188"/>
      <c r="P28" s="279"/>
      <c r="R28" s="197"/>
      <c r="S28" s="198"/>
      <c r="T28" s="199"/>
      <c r="U28" s="200"/>
      <c r="V28" s="201"/>
      <c r="W28" s="201"/>
      <c r="X28" s="202"/>
      <c r="Y28" s="203"/>
      <c r="Z28" s="203"/>
      <c r="AA28" s="203"/>
      <c r="AB28" s="203"/>
    </row>
    <row r="29" spans="1:41" ht="15.75" customHeight="1">
      <c r="A29" s="176"/>
      <c r="B29" s="177"/>
      <c r="C29" s="177"/>
      <c r="D29" s="177"/>
      <c r="E29" s="178"/>
      <c r="F29" s="179"/>
      <c r="G29" s="180"/>
      <c r="H29" s="180"/>
      <c r="I29" s="181"/>
      <c r="J29" s="181"/>
      <c r="K29" s="181"/>
      <c r="L29" s="181"/>
      <c r="R29" s="204"/>
      <c r="S29" s="204"/>
      <c r="T29" s="201"/>
      <c r="U29" s="201"/>
      <c r="V29" s="201"/>
      <c r="W29" s="201"/>
      <c r="X29" s="201"/>
      <c r="Y29" s="201"/>
      <c r="Z29" s="201"/>
      <c r="AA29" s="201"/>
      <c r="AB29" s="201"/>
    </row>
    <row r="30" spans="1:41" ht="15.75" customHeight="1" thickBot="1">
      <c r="A30" s="176"/>
      <c r="B30" s="177"/>
      <c r="C30" s="177"/>
      <c r="D30" s="177"/>
      <c r="E30" s="178"/>
      <c r="F30" s="179"/>
      <c r="G30" s="180"/>
      <c r="H30" s="180"/>
      <c r="I30" s="181"/>
      <c r="J30" s="181"/>
      <c r="K30" s="181"/>
      <c r="L30" s="181"/>
      <c r="R30" s="204"/>
      <c r="S30" s="204"/>
      <c r="T30" s="201"/>
      <c r="U30" s="201"/>
      <c r="V30" s="201"/>
      <c r="W30" s="201"/>
      <c r="X30" s="201"/>
      <c r="Y30" s="201"/>
      <c r="Z30" s="201"/>
      <c r="AA30" s="201"/>
      <c r="AB30" s="201"/>
    </row>
    <row r="31" spans="1:41" ht="16.5" customHeight="1" thickBot="1">
      <c r="A31" s="284" t="s">
        <v>258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6"/>
      <c r="P31" s="277" t="s">
        <v>271</v>
      </c>
      <c r="Q31" t="str">
        <f>'Pulje 3'!J9</f>
        <v>T&amp;IL National</v>
      </c>
      <c r="R31" s="197">
        <f>'Pulje 3'!D9</f>
        <v>68.16</v>
      </c>
      <c r="S31" s="198" t="str">
        <f>'Pulje 3'!E9</f>
        <v>UM</v>
      </c>
      <c r="T31" s="199" t="str">
        <f>'Pulje 3'!F9</f>
        <v>15-16</v>
      </c>
      <c r="U31" s="200">
        <f>'Pulje 3'!G9</f>
        <v>40390</v>
      </c>
      <c r="V31" s="201" t="str">
        <f>'Pulje 3'!I9</f>
        <v>Jørgen Bysveen</v>
      </c>
      <c r="W31" s="201">
        <f>'Pulje 3'!Q9</f>
        <v>90</v>
      </c>
      <c r="X31" s="202">
        <f>'Pulje 3'!R9</f>
        <v>117</v>
      </c>
      <c r="Y31" s="203">
        <f>'Pulje 3'!V9</f>
        <v>8.26</v>
      </c>
      <c r="Z31" s="203">
        <f>'Pulje 3'!W9</f>
        <v>11.31</v>
      </c>
      <c r="AA31" s="203">
        <f>'Pulje 3'!X9</f>
        <v>6.6</v>
      </c>
      <c r="AB31" s="203">
        <f>'Pulje 3'!Z10</f>
        <v>810.16166535991238</v>
      </c>
    </row>
    <row r="32" spans="1:41" ht="16.5" customHeight="1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P32" s="278"/>
      <c r="R32" s="197"/>
      <c r="S32" s="198"/>
      <c r="T32" s="199"/>
      <c r="U32" s="200"/>
      <c r="V32" s="201"/>
      <c r="W32" s="201"/>
      <c r="X32" s="202"/>
      <c r="Y32" s="203"/>
      <c r="Z32" s="203"/>
      <c r="AA32" s="203"/>
      <c r="AB32" s="203"/>
    </row>
    <row r="33" spans="1:41" s="175" customFormat="1" ht="21.75" customHeight="1">
      <c r="A33" s="189">
        <v>2</v>
      </c>
      <c r="B33" s="283" t="s">
        <v>75</v>
      </c>
      <c r="C33" s="283"/>
      <c r="D33" s="283"/>
      <c r="E33" s="283"/>
      <c r="F33" s="283"/>
      <c r="G33" s="190"/>
      <c r="H33" s="190"/>
      <c r="I33" s="190"/>
      <c r="J33" s="190"/>
      <c r="K33" s="190"/>
      <c r="L33" s="191">
        <f>IF(COUNT(L34:L36)=4,SUM(L34:L36)-MIN(L34:L36),SUM(L34:L36))</f>
        <v>1491.15466642557</v>
      </c>
      <c r="P33" s="278"/>
      <c r="Q33" t="str">
        <f>'Pulje 3'!J13</f>
        <v>T&amp;IL National</v>
      </c>
      <c r="R33" s="197">
        <f>'Pulje 3'!D13</f>
        <v>101.87</v>
      </c>
      <c r="S33" s="198" t="str">
        <f>'Pulje 3'!E13</f>
        <v>UM</v>
      </c>
      <c r="T33" s="199" t="str">
        <f>'Pulje 3'!F13</f>
        <v>15-16</v>
      </c>
      <c r="U33" s="200">
        <f>'Pulje 3'!G13</f>
        <v>40296</v>
      </c>
      <c r="V33" s="201" t="str">
        <f>'Pulje 3'!I13</f>
        <v>Benjamin Tmava</v>
      </c>
      <c r="W33" s="201">
        <f>'Pulje 3'!Q13</f>
        <v>57</v>
      </c>
      <c r="X33" s="202">
        <f>'Pulje 3'!R13</f>
        <v>81</v>
      </c>
      <c r="Y33" s="203">
        <f>'Pulje 3'!V13</f>
        <v>5.82</v>
      </c>
      <c r="Z33" s="203">
        <f>'Pulje 3'!W13</f>
        <v>9.5500000000000007</v>
      </c>
      <c r="AA33" s="203">
        <f>'Pulje 3'!X13</f>
        <v>8</v>
      </c>
      <c r="AB33" s="203">
        <f>'Pulje 3'!Z14</f>
        <v>493.57942311960323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ht="16.5" customHeight="1">
      <c r="A34" s="176"/>
      <c r="B34" s="184">
        <f t="shared" ref="B34:L34" si="10">R101</f>
        <v>63.99</v>
      </c>
      <c r="C34" s="184" t="str">
        <f t="shared" si="10"/>
        <v>JK</v>
      </c>
      <c r="D34" s="184" t="str">
        <f t="shared" si="10"/>
        <v>19-23</v>
      </c>
      <c r="E34" s="185">
        <f t="shared" si="10"/>
        <v>38515</v>
      </c>
      <c r="F34" s="186" t="str">
        <f t="shared" si="10"/>
        <v>Rina Tysse</v>
      </c>
      <c r="G34" s="187">
        <f t="shared" si="10"/>
        <v>45</v>
      </c>
      <c r="H34" s="187">
        <f t="shared" si="10"/>
        <v>55</v>
      </c>
      <c r="I34" s="188">
        <f t="shared" si="10"/>
        <v>5.13</v>
      </c>
      <c r="J34" s="188">
        <f t="shared" si="10"/>
        <v>6.97</v>
      </c>
      <c r="K34" s="188">
        <f t="shared" si="10"/>
        <v>8.4</v>
      </c>
      <c r="L34" s="188">
        <f t="shared" si="10"/>
        <v>425.05294109850092</v>
      </c>
      <c r="P34" s="278"/>
      <c r="Q34" t="str">
        <f>'Pulje 3'!J15</f>
        <v>Tønsberg-Kam.</v>
      </c>
      <c r="R34" s="197">
        <f>'Pulje 3'!D15</f>
        <v>69.14</v>
      </c>
      <c r="S34" s="198" t="str">
        <f>'Pulje 3'!E15</f>
        <v>UM</v>
      </c>
      <c r="T34" s="199" t="str">
        <f>'Pulje 3'!F15</f>
        <v>15-16</v>
      </c>
      <c r="U34" s="200">
        <f>'Pulje 3'!G15</f>
        <v>40059</v>
      </c>
      <c r="V34" s="201" t="str">
        <f>'Pulje 3'!I15</f>
        <v>René Myhre</v>
      </c>
      <c r="W34" s="201">
        <f>'Pulje 3'!Q15</f>
        <v>75</v>
      </c>
      <c r="X34" s="202">
        <f>'Pulje 3'!R15</f>
        <v>102</v>
      </c>
      <c r="Y34" s="203">
        <f>'Pulje 3'!V15</f>
        <v>8.5399999999999991</v>
      </c>
      <c r="Z34" s="203">
        <f>'Pulje 3'!W15</f>
        <v>12.56</v>
      </c>
      <c r="AA34" s="203">
        <f>'Pulje 3'!X15</f>
        <v>6</v>
      </c>
      <c r="AB34" s="203">
        <f>'Pulje 3'!Z16</f>
        <v>802.27420583014703</v>
      </c>
    </row>
    <row r="35" spans="1:41" ht="16.5" customHeight="1">
      <c r="A35" s="176"/>
      <c r="B35" s="184">
        <f t="shared" ref="B35:L35" si="11">R111</f>
        <v>85.51</v>
      </c>
      <c r="C35" s="184" t="str">
        <f t="shared" si="11"/>
        <v>K45</v>
      </c>
      <c r="D35" s="184" t="str">
        <f t="shared" si="11"/>
        <v>+35</v>
      </c>
      <c r="E35" s="185">
        <f t="shared" si="11"/>
        <v>28012</v>
      </c>
      <c r="F35" s="186" t="str">
        <f t="shared" si="11"/>
        <v>Christine Berge Christiansen</v>
      </c>
      <c r="G35" s="187">
        <f t="shared" si="11"/>
        <v>38</v>
      </c>
      <c r="H35" s="187">
        <f t="shared" si="11"/>
        <v>55</v>
      </c>
      <c r="I35" s="188">
        <f t="shared" si="11"/>
        <v>4.92</v>
      </c>
      <c r="J35" s="188">
        <f t="shared" si="11"/>
        <v>4.62</v>
      </c>
      <c r="K35" s="188">
        <f t="shared" si="11"/>
        <v>8.9</v>
      </c>
      <c r="L35" s="188">
        <f t="shared" si="11"/>
        <v>426.60679008586698</v>
      </c>
      <c r="P35" s="278"/>
      <c r="Q35" t="str">
        <f>'Pulje 3'!J17</f>
        <v>T&amp;IL National</v>
      </c>
      <c r="R35" s="197">
        <f>'Pulje 3'!D17</f>
        <v>59.08</v>
      </c>
      <c r="S35" s="198" t="str">
        <f>'Pulje 3'!E17</f>
        <v>UM</v>
      </c>
      <c r="T35" s="199" t="str">
        <f>'Pulje 3'!F17</f>
        <v>15-16</v>
      </c>
      <c r="U35" s="200">
        <f>'Pulje 3'!G17</f>
        <v>40404</v>
      </c>
      <c r="V35" s="201" t="str">
        <f>'Pulje 3'!I17</f>
        <v>Marius Lunde Karagiannis</v>
      </c>
      <c r="W35" s="201">
        <f>'Pulje 3'!Q17</f>
        <v>63</v>
      </c>
      <c r="X35" s="202">
        <f>'Pulje 3'!R17</f>
        <v>80</v>
      </c>
      <c r="Y35" s="203">
        <f>'Pulje 3'!V17</f>
        <v>7.86</v>
      </c>
      <c r="Z35" s="203">
        <f>'Pulje 3'!W17</f>
        <v>7.79</v>
      </c>
      <c r="AA35" s="203">
        <f>'Pulje 3'!X17</f>
        <v>7</v>
      </c>
      <c r="AB35" s="203">
        <f>'Pulje 3'!Z18</f>
        <v>665.46344775675743</v>
      </c>
    </row>
    <row r="36" spans="1:41" ht="16.5" customHeight="1">
      <c r="A36" s="176"/>
      <c r="B36" s="184">
        <f t="shared" ref="B36:L36" si="12">R117</f>
        <v>60.05</v>
      </c>
      <c r="C36" s="184" t="str">
        <f t="shared" si="12"/>
        <v>SK</v>
      </c>
      <c r="D36" s="184" t="str">
        <f t="shared" si="12"/>
        <v>24-34</v>
      </c>
      <c r="E36" s="185">
        <f t="shared" si="12"/>
        <v>37213</v>
      </c>
      <c r="F36" s="186" t="str">
        <f t="shared" si="12"/>
        <v>Andrine Hveding</v>
      </c>
      <c r="G36" s="187">
        <f t="shared" si="12"/>
        <v>55</v>
      </c>
      <c r="H36" s="187">
        <f t="shared" si="12"/>
        <v>73</v>
      </c>
      <c r="I36" s="188">
        <f t="shared" si="12"/>
        <v>7.06</v>
      </c>
      <c r="J36" s="188">
        <f t="shared" si="12"/>
        <v>10.83</v>
      </c>
      <c r="K36" s="188">
        <f t="shared" si="12"/>
        <v>6.9</v>
      </c>
      <c r="L36" s="188">
        <f t="shared" si="12"/>
        <v>639.49493524120203</v>
      </c>
      <c r="P36" s="278"/>
      <c r="Q36" t="str">
        <f>'Pulje 3'!J19</f>
        <v>Tambarskjelvar IL</v>
      </c>
      <c r="R36" s="197">
        <f>'Pulje 3'!D19</f>
        <v>75.52</v>
      </c>
      <c r="S36" s="198" t="str">
        <f>'Pulje 3'!E19</f>
        <v>UM</v>
      </c>
      <c r="T36" s="199" t="str">
        <f>'Pulje 3'!F19</f>
        <v>15-16</v>
      </c>
      <c r="U36" s="200">
        <f>'Pulje 3'!G19</f>
        <v>40263</v>
      </c>
      <c r="V36" s="201" t="str">
        <f>'Pulje 3'!I19</f>
        <v>Lyder Slagstad Aamot</v>
      </c>
      <c r="W36" s="201">
        <f>'Pulje 3'!Q19</f>
        <v>73</v>
      </c>
      <c r="X36" s="202">
        <f>'Pulje 3'!R19</f>
        <v>90</v>
      </c>
      <c r="Y36" s="203">
        <f>'Pulje 3'!V19</f>
        <v>8.2799999999999994</v>
      </c>
      <c r="Z36" s="203">
        <f>'Pulje 3'!W19</f>
        <v>10.86</v>
      </c>
      <c r="AA36" s="203">
        <f>'Pulje 3'!X19</f>
        <v>6.8</v>
      </c>
      <c r="AB36" s="203">
        <f>'Pulje 3'!Z20</f>
        <v>695.37507860752908</v>
      </c>
    </row>
    <row r="37" spans="1:41" ht="16.5" customHeight="1">
      <c r="A37" s="176"/>
      <c r="B37" s="184">
        <f t="shared" ref="B37:L37" si="13">R112</f>
        <v>78.650000000000006</v>
      </c>
      <c r="C37" s="184" t="str">
        <f t="shared" si="13"/>
        <v>K50</v>
      </c>
      <c r="D37" s="184" t="str">
        <f t="shared" si="13"/>
        <v>+35</v>
      </c>
      <c r="E37" s="185">
        <f t="shared" si="13"/>
        <v>27503</v>
      </c>
      <c r="F37" s="186" t="str">
        <f t="shared" si="13"/>
        <v>Monika Zakrzewska</v>
      </c>
      <c r="G37" s="187">
        <f t="shared" si="13"/>
        <v>46</v>
      </c>
      <c r="H37" s="187">
        <f t="shared" si="13"/>
        <v>63</v>
      </c>
      <c r="I37" s="188">
        <f t="shared" si="13"/>
        <v>4.82</v>
      </c>
      <c r="J37" s="188">
        <f t="shared" si="13"/>
        <v>9.07</v>
      </c>
      <c r="K37" s="188">
        <f t="shared" si="13"/>
        <v>9</v>
      </c>
      <c r="L37" s="188">
        <f t="shared" si="13"/>
        <v>543.94370765199938</v>
      </c>
      <c r="P37" s="278"/>
      <c r="Q37" t="str">
        <f>'Pulje 3'!J21</f>
        <v>Nidelv IL</v>
      </c>
      <c r="R37" s="197">
        <f>'Pulje 3'!D21</f>
        <v>85.06</v>
      </c>
      <c r="S37" s="198" t="str">
        <f>'Pulje 3'!E21</f>
        <v>UM</v>
      </c>
      <c r="T37" s="199" t="str">
        <f>'Pulje 3'!F21</f>
        <v>15-16</v>
      </c>
      <c r="U37" s="200">
        <f>'Pulje 3'!G21</f>
        <v>40296</v>
      </c>
      <c r="V37" s="201" t="str">
        <f>'Pulje 3'!I21</f>
        <v>Sondre Elias Fredriksen</v>
      </c>
      <c r="W37" s="201">
        <f>'Pulje 3'!Q21</f>
        <v>82</v>
      </c>
      <c r="X37" s="202">
        <f>'Pulje 3'!R21</f>
        <v>103</v>
      </c>
      <c r="Y37" s="203">
        <f>'Pulje 3'!V21</f>
        <v>7.4</v>
      </c>
      <c r="Z37" s="203">
        <f>'Pulje 3'!W21</f>
        <v>9.8800000000000008</v>
      </c>
      <c r="AA37" s="203">
        <f>'Pulje 3'!X21</f>
        <v>7.1</v>
      </c>
      <c r="AB37" s="203">
        <f>'Pulje 3'!Z22</f>
        <v>660.691636182661</v>
      </c>
    </row>
    <row r="38" spans="1:41" s="175" customFormat="1" ht="16.5" customHeight="1">
      <c r="A38" s="176"/>
      <c r="B38"/>
      <c r="C38"/>
      <c r="D38"/>
      <c r="E38"/>
      <c r="F38"/>
      <c r="G38"/>
      <c r="H38"/>
      <c r="I38"/>
      <c r="J38"/>
      <c r="K38"/>
      <c r="L38"/>
      <c r="P38" s="278"/>
      <c r="Q38" t="str">
        <f>'Pulje 3'!J23</f>
        <v>Larvik AK</v>
      </c>
      <c r="R38" s="197">
        <f>'Pulje 3'!D23</f>
        <v>60.57</v>
      </c>
      <c r="S38" s="198" t="str">
        <f>'Pulje 3'!E23</f>
        <v>UM</v>
      </c>
      <c r="T38" s="199" t="str">
        <f>'Pulje 3'!F23</f>
        <v>15-16</v>
      </c>
      <c r="U38" s="200">
        <f>'Pulje 3'!G23</f>
        <v>40536</v>
      </c>
      <c r="V38" s="201" t="str">
        <f>'Pulje 3'!I23</f>
        <v>Jacob T. Sverdrup</v>
      </c>
      <c r="W38" s="201">
        <f>'Pulje 3'!Q23</f>
        <v>53</v>
      </c>
      <c r="X38" s="202">
        <f>'Pulje 3'!R23</f>
        <v>63</v>
      </c>
      <c r="Y38" s="203">
        <f>'Pulje 3'!V23</f>
        <v>6.43</v>
      </c>
      <c r="Z38" s="203">
        <f>'Pulje 3'!W23</f>
        <v>8.1</v>
      </c>
      <c r="AA38" s="203">
        <f>'Pulje 3'!X23</f>
        <v>7.4</v>
      </c>
      <c r="AB38" s="203">
        <f>'Pulje 3'!Z24</f>
        <v>569.03217731778659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1:41" ht="16.5" customHeight="1">
      <c r="A39" s="176"/>
      <c r="B39" s="177"/>
      <c r="C39" s="177"/>
      <c r="D39" s="177"/>
      <c r="E39" s="178"/>
      <c r="F39" s="179"/>
      <c r="G39" s="180"/>
      <c r="H39" s="180"/>
      <c r="I39" s="181"/>
      <c r="J39" s="181"/>
      <c r="K39" s="181"/>
      <c r="L39" s="181"/>
      <c r="P39" s="278"/>
      <c r="Q39" t="str">
        <f>'Pulje 3'!J25</f>
        <v>Tambarskjelvar IL</v>
      </c>
      <c r="R39" s="197">
        <f>'Pulje 3'!D25</f>
        <v>152.5</v>
      </c>
      <c r="S39" s="198" t="str">
        <f>'Pulje 3'!E25</f>
        <v>UM</v>
      </c>
      <c r="T39" s="199" t="str">
        <f>'Pulje 3'!F25</f>
        <v>15-16</v>
      </c>
      <c r="U39" s="200">
        <f>'Pulje 3'!G25</f>
        <v>40418</v>
      </c>
      <c r="V39" s="201" t="str">
        <f>'Pulje 3'!I25</f>
        <v>Albert Jonas Midtbø-Figueroa</v>
      </c>
      <c r="W39" s="201">
        <f>'Pulje 3'!Q25</f>
        <v>78</v>
      </c>
      <c r="X39" s="202">
        <f>'Pulje 3'!R25</f>
        <v>100</v>
      </c>
      <c r="Y39" s="203">
        <f>'Pulje 3'!V25</f>
        <v>5.58</v>
      </c>
      <c r="Z39" s="203">
        <f>'Pulje 3'!W25</f>
        <v>12.95</v>
      </c>
      <c r="AA39" s="203">
        <f>'Pulje 3'!X25</f>
        <v>8.4</v>
      </c>
      <c r="AB39" s="203">
        <f>'Pulje 3'!Z26</f>
        <v>524.890233638523</v>
      </c>
    </row>
    <row r="40" spans="1:41" ht="16.5" customHeight="1">
      <c r="A40" s="189"/>
      <c r="B40" s="283" t="s">
        <v>182</v>
      </c>
      <c r="C40" s="283"/>
      <c r="D40" s="283"/>
      <c r="E40" s="283"/>
      <c r="F40" s="283"/>
      <c r="G40" s="190"/>
      <c r="H40" s="190"/>
      <c r="I40" s="190"/>
      <c r="J40" s="190"/>
      <c r="K40" s="190"/>
      <c r="L40" s="191">
        <f>IF(COUNT(L41:L44)=4,SUM(L41:L44)-MIN(L41:L44),SUM(L41:L44))</f>
        <v>1236.6876603984922</v>
      </c>
      <c r="P40" s="278"/>
      <c r="R40" s="197"/>
      <c r="S40" s="198"/>
      <c r="T40" s="199"/>
      <c r="U40" s="200"/>
      <c r="V40" s="201"/>
      <c r="W40" s="201"/>
      <c r="X40" s="202"/>
      <c r="Y40" s="203"/>
      <c r="Z40" s="203"/>
      <c r="AA40" s="203"/>
      <c r="AB40" s="203"/>
    </row>
    <row r="41" spans="1:41" ht="16.5" customHeight="1">
      <c r="A41" s="176"/>
      <c r="B41" s="184">
        <f t="shared" ref="B41:L41" si="14">R105</f>
        <v>80.569999999999993</v>
      </c>
      <c r="C41" s="184" t="str">
        <f t="shared" si="14"/>
        <v>SK</v>
      </c>
      <c r="D41" s="184" t="str">
        <f t="shared" si="14"/>
        <v>19-23</v>
      </c>
      <c r="E41" s="185">
        <f t="shared" si="14"/>
        <v>37377</v>
      </c>
      <c r="F41" s="186" t="str">
        <f t="shared" si="14"/>
        <v>Fride Olsen Mork</v>
      </c>
      <c r="G41" s="187">
        <f t="shared" si="14"/>
        <v>66</v>
      </c>
      <c r="H41" s="187">
        <f t="shared" si="14"/>
        <v>87</v>
      </c>
      <c r="I41" s="188">
        <f t="shared" si="14"/>
        <v>7.17</v>
      </c>
      <c r="J41" s="188">
        <f t="shared" si="14"/>
        <v>9.7200000000000006</v>
      </c>
      <c r="K41" s="188">
        <f t="shared" si="14"/>
        <v>7.1</v>
      </c>
      <c r="L41" s="188">
        <f t="shared" si="14"/>
        <v>594.89257195907533</v>
      </c>
      <c r="P41" s="278"/>
      <c r="R41" s="197"/>
      <c r="S41" s="198"/>
      <c r="T41" s="199"/>
      <c r="U41" s="200"/>
      <c r="V41" s="201"/>
      <c r="W41" s="201"/>
      <c r="X41" s="202"/>
      <c r="Y41" s="203"/>
      <c r="Z41" s="203"/>
      <c r="AA41" s="203"/>
      <c r="AB41" s="203"/>
    </row>
    <row r="42" spans="1:41" s="175" customFormat="1" ht="16.5" customHeight="1">
      <c r="A42" s="176"/>
      <c r="B42" s="184">
        <f t="shared" ref="B42:L42" si="15">R118</f>
        <v>61.95</v>
      </c>
      <c r="C42" s="184" t="str">
        <f t="shared" si="15"/>
        <v>SK</v>
      </c>
      <c r="D42" s="184" t="str">
        <f t="shared" si="15"/>
        <v>24-34</v>
      </c>
      <c r="E42" s="185">
        <f t="shared" si="15"/>
        <v>36144</v>
      </c>
      <c r="F42" s="186" t="str">
        <f t="shared" si="15"/>
        <v>Martina Elise Gregersen</v>
      </c>
      <c r="G42" s="187">
        <f t="shared" si="15"/>
        <v>55</v>
      </c>
      <c r="H42" s="187">
        <f t="shared" si="15"/>
        <v>80</v>
      </c>
      <c r="I42" s="188">
        <f t="shared" si="15"/>
        <v>7.31</v>
      </c>
      <c r="J42" s="188">
        <f t="shared" si="15"/>
        <v>10.16</v>
      </c>
      <c r="K42" s="188">
        <f t="shared" si="15"/>
        <v>6.8</v>
      </c>
      <c r="L42" s="188">
        <f t="shared" si="15"/>
        <v>641.79508843941687</v>
      </c>
      <c r="P42" s="279"/>
      <c r="Q42"/>
      <c r="R42" s="197"/>
      <c r="S42" s="198"/>
      <c r="T42" s="199"/>
      <c r="U42" s="200"/>
      <c r="V42" s="201"/>
      <c r="W42" s="201"/>
      <c r="X42" s="202"/>
      <c r="Y42" s="203"/>
      <c r="Z42" s="203"/>
      <c r="AA42" s="203"/>
      <c r="AB42" s="203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1:41" ht="16.5" customHeight="1">
      <c r="A43" s="176"/>
      <c r="B43" s="184"/>
      <c r="C43" s="184"/>
      <c r="D43" s="184"/>
      <c r="E43" s="185"/>
      <c r="F43" s="186"/>
      <c r="G43" s="187"/>
      <c r="H43" s="187"/>
      <c r="I43" s="188"/>
      <c r="J43" s="188"/>
      <c r="K43" s="188"/>
      <c r="L43" s="188"/>
      <c r="R43" s="204"/>
      <c r="S43" s="204"/>
      <c r="T43" s="201"/>
      <c r="U43" s="201"/>
      <c r="V43" s="201"/>
      <c r="W43" s="201"/>
      <c r="X43" s="201"/>
      <c r="Y43" s="201"/>
      <c r="Z43" s="201"/>
      <c r="AA43" s="201"/>
      <c r="AB43" s="201"/>
    </row>
    <row r="44" spans="1:41" ht="16.5" customHeight="1">
      <c r="A44" s="176"/>
      <c r="B44" s="184"/>
      <c r="C44" s="184"/>
      <c r="D44" s="184"/>
      <c r="E44" s="185"/>
      <c r="F44" s="186"/>
      <c r="G44" s="187"/>
      <c r="H44" s="187"/>
      <c r="I44" s="188"/>
      <c r="J44" s="188"/>
      <c r="K44" s="188"/>
      <c r="L44" s="188"/>
      <c r="R44" s="204"/>
      <c r="S44" s="204"/>
      <c r="T44" s="201"/>
      <c r="U44" s="201"/>
      <c r="V44" s="201"/>
      <c r="W44" s="201"/>
      <c r="X44" s="201"/>
      <c r="Y44" s="201"/>
      <c r="Z44" s="201"/>
      <c r="AA44" s="201"/>
      <c r="AB44" s="201"/>
    </row>
    <row r="45" spans="1:41" ht="16.5" customHeight="1">
      <c r="A45" s="176"/>
      <c r="B45" s="177"/>
      <c r="C45" s="177"/>
      <c r="D45" s="177"/>
      <c r="E45" s="178"/>
      <c r="F45" s="179"/>
      <c r="G45" s="180"/>
      <c r="H45" s="180"/>
      <c r="I45" s="181"/>
      <c r="J45" s="181"/>
      <c r="K45" s="181"/>
      <c r="L45" s="181"/>
      <c r="P45" s="277" t="s">
        <v>270</v>
      </c>
      <c r="R45" s="197"/>
      <c r="S45" s="198"/>
      <c r="T45" s="199"/>
      <c r="U45" s="200"/>
      <c r="V45" s="201"/>
      <c r="W45" s="201"/>
      <c r="X45" s="202"/>
      <c r="Y45" s="203"/>
      <c r="Z45" s="203"/>
      <c r="AA45" s="203"/>
      <c r="AB45" s="203"/>
    </row>
    <row r="46" spans="1:41" s="175" customFormat="1" ht="16.5" customHeight="1">
      <c r="A46" s="176"/>
      <c r="B46" s="177"/>
      <c r="C46" s="177"/>
      <c r="D46" s="177"/>
      <c r="E46" s="178"/>
      <c r="F46" s="179"/>
      <c r="G46" s="180"/>
      <c r="H46" s="180"/>
      <c r="I46" s="181"/>
      <c r="J46" s="181"/>
      <c r="K46" s="181"/>
      <c r="L46" s="182"/>
      <c r="P46" s="278"/>
      <c r="Q46" t="str">
        <f>'Pulje 4'!J11</f>
        <v>Vigrestad IK</v>
      </c>
      <c r="R46" s="197">
        <f>'Pulje 4'!D11</f>
        <v>84.58</v>
      </c>
      <c r="S46" s="198" t="str">
        <f>'Pulje 4'!E11</f>
        <v>UM</v>
      </c>
      <c r="T46" s="199" t="str">
        <f>'Pulje 4'!F11</f>
        <v>17-18</v>
      </c>
      <c r="U46" s="200">
        <f>'Pulje 4'!G11</f>
        <v>39196</v>
      </c>
      <c r="V46" s="201" t="str">
        <f>'Pulje 4'!I11</f>
        <v>Kristian Ege</v>
      </c>
      <c r="W46" s="201">
        <f>'Pulje 4'!Q11</f>
        <v>96</v>
      </c>
      <c r="X46" s="202">
        <f>'Pulje 4'!R11</f>
        <v>115</v>
      </c>
      <c r="Y46" s="203">
        <f>'Pulje 4'!V11</f>
        <v>8.24</v>
      </c>
      <c r="Z46" s="203">
        <f>'Pulje 4'!W11</f>
        <v>8.75</v>
      </c>
      <c r="AA46" s="203">
        <f>'Pulje 4'!X11</f>
        <v>6.7</v>
      </c>
      <c r="AB46" s="203">
        <f>'Pulje 4'!Z12</f>
        <v>719.33646587205601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1:41" s="28" customFormat="1" ht="16.5" customHeight="1">
      <c r="A47" s="189">
        <v>1</v>
      </c>
      <c r="B47" s="283" t="s">
        <v>62</v>
      </c>
      <c r="C47" s="283"/>
      <c r="D47" s="283"/>
      <c r="E47" s="283"/>
      <c r="F47" s="283"/>
      <c r="G47" s="190"/>
      <c r="H47" s="190"/>
      <c r="I47" s="190"/>
      <c r="J47" s="190"/>
      <c r="K47" s="190"/>
      <c r="L47" s="191">
        <f>IF(COUNT(L48:L51)=4,SUM(L48:L51)-MIN(L48:L51),SUM(L48:L51))</f>
        <v>1523.8216941728635</v>
      </c>
      <c r="P47" s="278"/>
      <c r="Q47" t="str">
        <f>'Pulje 4'!J13</f>
        <v>Hitra VK</v>
      </c>
      <c r="R47" s="197">
        <f>'Pulje 4'!D13</f>
        <v>73.69</v>
      </c>
      <c r="S47" s="198" t="str">
        <f>'Pulje 4'!E13</f>
        <v>UM</v>
      </c>
      <c r="T47" s="199" t="str">
        <f>'Pulje 4'!F13</f>
        <v>17-18</v>
      </c>
      <c r="U47" s="200">
        <f>'Pulje 4'!G13</f>
        <v>39199</v>
      </c>
      <c r="V47" s="201" t="str">
        <f>'Pulje 4'!I13</f>
        <v>Tomack Sand</v>
      </c>
      <c r="W47" s="201">
        <f>'Pulje 4'!Q13</f>
        <v>86</v>
      </c>
      <c r="X47" s="202">
        <f>'Pulje 4'!R13</f>
        <v>118</v>
      </c>
      <c r="Y47" s="203">
        <f>'Pulje 4'!V13</f>
        <v>9.25</v>
      </c>
      <c r="Z47" s="203">
        <f>'Pulje 4'!W13</f>
        <v>13.03</v>
      </c>
      <c r="AA47" s="203">
        <f>'Pulje 4'!X13</f>
        <v>6.3</v>
      </c>
      <c r="AB47" s="203">
        <f>'Pulje 4'!Z14</f>
        <v>835.74677494717139</v>
      </c>
    </row>
    <row r="48" spans="1:41" s="28" customFormat="1" ht="16.5" customHeight="1">
      <c r="A48" s="176"/>
      <c r="B48" s="184">
        <f t="shared" ref="B48:L48" si="16">R109</f>
        <v>78.650000000000006</v>
      </c>
      <c r="C48" s="184" t="str">
        <f t="shared" si="16"/>
        <v>K40</v>
      </c>
      <c r="D48" s="184" t="str">
        <f t="shared" si="16"/>
        <v>+35</v>
      </c>
      <c r="E48" s="185">
        <f t="shared" si="16"/>
        <v>29937</v>
      </c>
      <c r="F48" s="186" t="str">
        <f t="shared" si="16"/>
        <v>Heidrun S. Sigurdardottir</v>
      </c>
      <c r="G48" s="187">
        <f t="shared" si="16"/>
        <v>70</v>
      </c>
      <c r="H48" s="187">
        <f t="shared" si="16"/>
        <v>95</v>
      </c>
      <c r="I48" s="188">
        <f t="shared" si="16"/>
        <v>7</v>
      </c>
      <c r="J48" s="188">
        <f t="shared" si="16"/>
        <v>12.61</v>
      </c>
      <c r="K48" s="188">
        <f t="shared" si="16"/>
        <v>7.3</v>
      </c>
      <c r="L48" s="188">
        <f t="shared" si="16"/>
        <v>773.07318415343445</v>
      </c>
      <c r="P48" s="278"/>
      <c r="Q48" t="str">
        <f>'Pulje 4'!J15</f>
        <v>Tambarskjelvar IL</v>
      </c>
      <c r="R48" s="197">
        <f>'Pulje 4'!D15</f>
        <v>79.22</v>
      </c>
      <c r="S48" s="198" t="str">
        <f>'Pulje 4'!E15</f>
        <v>UM</v>
      </c>
      <c r="T48" s="199" t="str">
        <f>'Pulje 4'!F15</f>
        <v>17-18</v>
      </c>
      <c r="U48" s="200">
        <f>'Pulje 4'!G15</f>
        <v>39541</v>
      </c>
      <c r="V48" s="201" t="str">
        <f>'Pulje 4'!I15</f>
        <v>Andreas Kvamsås Savland</v>
      </c>
      <c r="W48" s="201">
        <f>'Pulje 4'!Q15</f>
        <v>87</v>
      </c>
      <c r="X48" s="202">
        <f>'Pulje 4'!R15</f>
        <v>90</v>
      </c>
      <c r="Y48" s="203">
        <f>'Pulje 4'!V15</f>
        <v>7.16</v>
      </c>
      <c r="Z48" s="203">
        <f>'Pulje 4'!W15</f>
        <v>9.36</v>
      </c>
      <c r="AA48" s="203">
        <f>'Pulje 4'!X15</f>
        <v>6.5</v>
      </c>
      <c r="AB48" s="203">
        <f>'Pulje 4'!Z16</f>
        <v>676.36954129934475</v>
      </c>
    </row>
    <row r="49" spans="1:41" ht="16.5" customHeight="1">
      <c r="A49" s="176"/>
      <c r="B49" s="184">
        <f t="shared" ref="B49:L49" si="17">R119</f>
        <v>53.95</v>
      </c>
      <c r="C49" s="184" t="str">
        <f t="shared" si="17"/>
        <v>SK</v>
      </c>
      <c r="D49" s="184" t="str">
        <f t="shared" si="17"/>
        <v>24-34</v>
      </c>
      <c r="E49" s="185">
        <f t="shared" si="17"/>
        <v>35320</v>
      </c>
      <c r="F49" s="186" t="str">
        <f t="shared" si="17"/>
        <v>Rebekka Tao Jacobsen</v>
      </c>
      <c r="G49" s="187">
        <f t="shared" si="17"/>
        <v>79</v>
      </c>
      <c r="H49" s="187">
        <f t="shared" si="17"/>
        <v>106</v>
      </c>
      <c r="I49" s="188">
        <f t="shared" si="17"/>
        <v>7.05</v>
      </c>
      <c r="J49" s="188">
        <f t="shared" si="17"/>
        <v>9.75</v>
      </c>
      <c r="K49" s="188">
        <f t="shared" si="17"/>
        <v>6.9</v>
      </c>
      <c r="L49" s="188">
        <f t="shared" si="17"/>
        <v>750.74851001942909</v>
      </c>
      <c r="P49" s="278"/>
      <c r="Q49" t="str">
        <f>'Pulje 4'!J17</f>
        <v>Tambarskjelvar IL</v>
      </c>
      <c r="R49" s="197">
        <f>'Pulje 4'!D17</f>
        <v>68.489999999999995</v>
      </c>
      <c r="S49" s="198" t="str">
        <f>'Pulje 4'!E17</f>
        <v>UM</v>
      </c>
      <c r="T49" s="199" t="str">
        <f>'Pulje 4'!F17</f>
        <v>17-18</v>
      </c>
      <c r="U49" s="200">
        <f>'Pulje 4'!G17</f>
        <v>39342</v>
      </c>
      <c r="V49" s="201" t="str">
        <f>'Pulje 4'!I17</f>
        <v>Erik Orasmäe</v>
      </c>
      <c r="W49" s="201">
        <f>'Pulje 4'!Q17</f>
        <v>82</v>
      </c>
      <c r="X49" s="202">
        <f>'Pulje 4'!R17</f>
        <v>95</v>
      </c>
      <c r="Y49" s="203">
        <f>'Pulje 4'!V17</f>
        <v>8.24</v>
      </c>
      <c r="Z49" s="203">
        <f>'Pulje 4'!W17</f>
        <v>10.59</v>
      </c>
      <c r="AA49" s="203">
        <f>'Pulje 4'!X17</f>
        <v>6.9</v>
      </c>
      <c r="AB49" s="203">
        <f>'Pulje 4'!Z18</f>
        <v>735.52663092297064</v>
      </c>
    </row>
    <row r="50" spans="1:41" ht="16.5" customHeight="1">
      <c r="A50" s="176"/>
      <c r="B50" s="184"/>
      <c r="C50" s="184"/>
      <c r="D50" s="184"/>
      <c r="E50" s="185"/>
      <c r="F50" s="186"/>
      <c r="G50" s="187"/>
      <c r="H50" s="187"/>
      <c r="I50" s="188"/>
      <c r="J50" s="188"/>
      <c r="K50" s="188"/>
      <c r="L50" s="188"/>
      <c r="P50" s="278"/>
      <c r="Q50" t="str">
        <f>'Pulje 4'!J19</f>
        <v>AK Bjørgvin</v>
      </c>
      <c r="R50" s="197">
        <f>'Pulje 4'!D19</f>
        <v>93.63</v>
      </c>
      <c r="S50" s="198" t="str">
        <f>'Pulje 4'!E19</f>
        <v>UM</v>
      </c>
      <c r="T50" s="199" t="str">
        <f>'Pulje 4'!F19</f>
        <v>17-18</v>
      </c>
      <c r="U50" s="200">
        <f>'Pulje 4'!G19</f>
        <v>39760</v>
      </c>
      <c r="V50" s="201" t="str">
        <f>'Pulje 4'!I19</f>
        <v>Nikolai K. Aadland</v>
      </c>
      <c r="W50" s="201">
        <f>'Pulje 4'!Q19</f>
        <v>115</v>
      </c>
      <c r="X50" s="202">
        <f>'Pulje 4'!R19</f>
        <v>144</v>
      </c>
      <c r="Y50" s="203">
        <f>'Pulje 4'!V19</f>
        <v>7.47</v>
      </c>
      <c r="Z50" s="203">
        <f>'Pulje 4'!W19</f>
        <v>10.16</v>
      </c>
      <c r="AA50" s="203">
        <f>'Pulje 4'!X19</f>
        <v>6.7</v>
      </c>
      <c r="AB50" s="203">
        <f>'Pulje 4'!Z20</f>
        <v>768.10680199472063</v>
      </c>
    </row>
    <row r="51" spans="1:41" ht="16.5" customHeight="1">
      <c r="A51" s="176"/>
      <c r="B51" s="184"/>
      <c r="C51" s="184"/>
      <c r="D51" s="184"/>
      <c r="E51" s="185"/>
      <c r="F51" s="186"/>
      <c r="G51" s="187"/>
      <c r="H51" s="187"/>
      <c r="I51" s="188"/>
      <c r="J51" s="188"/>
      <c r="K51" s="188"/>
      <c r="L51" s="188"/>
      <c r="P51" s="278"/>
      <c r="Q51" t="str">
        <f>'Pulje 4'!J21</f>
        <v>Tambarskjelvar IL</v>
      </c>
      <c r="R51" s="197">
        <f>'Pulje 4'!D21</f>
        <v>99.23</v>
      </c>
      <c r="S51" s="198" t="str">
        <f>'Pulje 4'!E21</f>
        <v>UM</v>
      </c>
      <c r="T51" s="199" t="str">
        <f>'Pulje 4'!F21</f>
        <v>17-18</v>
      </c>
      <c r="U51" s="200">
        <f>'Pulje 4'!G21</f>
        <v>39709</v>
      </c>
      <c r="V51" s="201" t="str">
        <f>'Pulje 4'!I21</f>
        <v>Matias Meland Birkeland</v>
      </c>
      <c r="W51" s="201">
        <f>'Pulje 4'!Q21</f>
        <v>70</v>
      </c>
      <c r="X51" s="202">
        <f>'Pulje 4'!R21</f>
        <v>75</v>
      </c>
      <c r="Y51" s="203">
        <f>'Pulje 4'!V21</f>
        <v>7.7</v>
      </c>
      <c r="Z51" s="203">
        <f>'Pulje 4'!W21</f>
        <v>12.99</v>
      </c>
      <c r="AA51" s="203">
        <f>'Pulje 4'!X21</f>
        <v>7</v>
      </c>
      <c r="AB51" s="203">
        <f>'Pulje 4'!Z22</f>
        <v>623.64999920473144</v>
      </c>
    </row>
    <row r="52" spans="1:41" ht="16.5" customHeight="1">
      <c r="A52" s="176"/>
      <c r="B52" s="177"/>
      <c r="C52" s="177"/>
      <c r="D52" s="177"/>
      <c r="E52" s="178"/>
      <c r="F52" s="179"/>
      <c r="G52" s="180"/>
      <c r="H52" s="180"/>
      <c r="I52" s="181"/>
      <c r="J52" s="181"/>
      <c r="K52" s="181"/>
      <c r="L52" s="181"/>
      <c r="P52" s="278"/>
      <c r="Q52" t="str">
        <f>'Pulje 4'!J23</f>
        <v>Hitra VK</v>
      </c>
      <c r="R52" s="197">
        <f>'Pulje 4'!D23</f>
        <v>52.96</v>
      </c>
      <c r="S52" s="198" t="str">
        <f>'Pulje 4'!E23</f>
        <v>UM</v>
      </c>
      <c r="T52" s="199" t="str">
        <f>'Pulje 4'!F23</f>
        <v>17-18</v>
      </c>
      <c r="U52" s="200">
        <f>'Pulje 4'!G23</f>
        <v>39674</v>
      </c>
      <c r="V52" s="201" t="str">
        <f>'Pulje 4'!I23</f>
        <v>Roland Siska</v>
      </c>
      <c r="W52" s="201">
        <f>'Pulje 4'!Q23</f>
        <v>59</v>
      </c>
      <c r="X52" s="202">
        <f>'Pulje 4'!R23</f>
        <v>77</v>
      </c>
      <c r="Y52" s="203">
        <f>'Pulje 4'!V23</f>
        <v>8.34</v>
      </c>
      <c r="Z52" s="203">
        <f>'Pulje 4'!W23</f>
        <v>8.93</v>
      </c>
      <c r="AA52" s="203">
        <f>'Pulje 4'!X23</f>
        <v>6.2</v>
      </c>
      <c r="AB52" s="203">
        <f>'Pulje 4'!Z24</f>
        <v>746.6942380196698</v>
      </c>
    </row>
    <row r="53" spans="1:41" s="175" customFormat="1" ht="16.5" customHeight="1">
      <c r="A53" s="189">
        <v>3</v>
      </c>
      <c r="B53" s="283" t="s">
        <v>65</v>
      </c>
      <c r="C53" s="283"/>
      <c r="D53" s="283"/>
      <c r="E53" s="283"/>
      <c r="F53" s="283"/>
      <c r="G53" s="190"/>
      <c r="H53" s="190"/>
      <c r="I53" s="190"/>
      <c r="J53" s="190"/>
      <c r="K53" s="190"/>
      <c r="L53" s="191">
        <f>IF(COUNT(L54:L57)=4,SUM(L54:L57)-MIN(L54:L57),SUM(L54:L57))</f>
        <v>1282.8761026464019</v>
      </c>
      <c r="P53" s="278"/>
      <c r="Q53" t="str">
        <f>'Pulje 4'!J25</f>
        <v>Hitra VK</v>
      </c>
      <c r="R53" s="197">
        <f>'Pulje 4'!D25</f>
        <v>78.09</v>
      </c>
      <c r="S53" s="198" t="str">
        <f>'Pulje 4'!E25</f>
        <v>UM</v>
      </c>
      <c r="T53" s="199" t="str">
        <f>'Pulje 4'!F25</f>
        <v>17-18</v>
      </c>
      <c r="U53" s="200">
        <f>'Pulje 4'!G25</f>
        <v>39126</v>
      </c>
      <c r="V53" s="201" t="str">
        <f>'Pulje 4'!I25</f>
        <v>Rene A. Rand Djupå</v>
      </c>
      <c r="W53" s="201">
        <f>'Pulje 4'!Q25</f>
        <v>86</v>
      </c>
      <c r="X53" s="202">
        <f>'Pulje 4'!R25</f>
        <v>111</v>
      </c>
      <c r="Y53" s="203">
        <f>'Pulje 4'!V25</f>
        <v>8.43</v>
      </c>
      <c r="Z53" s="203">
        <f>'Pulje 4'!W25</f>
        <v>11</v>
      </c>
      <c r="AA53" s="203">
        <f>'Pulje 4'!X25</f>
        <v>6.8</v>
      </c>
      <c r="AB53" s="203">
        <f>'Pulje 4'!Z26</f>
        <v>745.30895789942247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1:41" ht="16.5" customHeight="1">
      <c r="A54" s="176"/>
      <c r="B54" s="184">
        <f t="shared" ref="B54:K54" si="18">R115</f>
        <v>93.79</v>
      </c>
      <c r="C54" s="184" t="str">
        <f t="shared" si="18"/>
        <v>SK</v>
      </c>
      <c r="D54" s="184" t="str">
        <f t="shared" si="18"/>
        <v>24-34</v>
      </c>
      <c r="E54" s="185">
        <f t="shared" si="18"/>
        <v>34954</v>
      </c>
      <c r="F54" s="186" t="str">
        <f t="shared" si="18"/>
        <v>Anette F. Høyland</v>
      </c>
      <c r="G54" s="187">
        <f t="shared" si="18"/>
        <v>80</v>
      </c>
      <c r="H54" s="187">
        <f t="shared" si="18"/>
        <v>105</v>
      </c>
      <c r="I54" s="188">
        <f t="shared" si="18"/>
        <v>7.2</v>
      </c>
      <c r="J54" s="188">
        <f t="shared" si="18"/>
        <v>15.15</v>
      </c>
      <c r="K54" s="188">
        <f t="shared" si="18"/>
        <v>7.2</v>
      </c>
      <c r="L54" s="188">
        <f>AB115</f>
        <v>675.99523032166815</v>
      </c>
      <c r="P54" s="278"/>
      <c r="R54" s="197"/>
      <c r="S54" s="198"/>
      <c r="T54" s="199"/>
      <c r="U54" s="200"/>
      <c r="V54" s="201"/>
      <c r="W54" s="201"/>
      <c r="X54" s="202"/>
      <c r="Y54" s="203"/>
      <c r="Z54" s="203"/>
      <c r="AA54" s="203"/>
      <c r="AB54" s="203"/>
    </row>
    <row r="55" spans="1:41" ht="18.75" customHeight="1">
      <c r="A55" s="176"/>
      <c r="B55" s="184">
        <f t="shared" ref="B55:L55" si="19">R120</f>
        <v>80.930000000000007</v>
      </c>
      <c r="C55" s="184" t="str">
        <f t="shared" si="19"/>
        <v>SK</v>
      </c>
      <c r="D55" s="184" t="str">
        <f t="shared" si="19"/>
        <v>24-34</v>
      </c>
      <c r="E55" s="185">
        <f t="shared" si="19"/>
        <v>36829</v>
      </c>
      <c r="F55" s="186" t="str">
        <f t="shared" si="19"/>
        <v>Vilde Elisabeth Davidsen</v>
      </c>
      <c r="G55" s="187">
        <f t="shared" si="19"/>
        <v>73</v>
      </c>
      <c r="H55" s="187">
        <f t="shared" si="19"/>
        <v>92</v>
      </c>
      <c r="I55" s="188">
        <f t="shared" si="19"/>
        <v>6.84</v>
      </c>
      <c r="J55" s="188">
        <f t="shared" si="19"/>
        <v>10.88</v>
      </c>
      <c r="K55" s="188">
        <f t="shared" si="19"/>
        <v>7.4</v>
      </c>
      <c r="L55" s="188">
        <f t="shared" si="19"/>
        <v>606.88087232473379</v>
      </c>
      <c r="P55" s="278"/>
      <c r="R55" s="197"/>
      <c r="S55" s="198"/>
      <c r="T55" s="199"/>
      <c r="U55" s="200"/>
      <c r="V55" s="201"/>
      <c r="W55" s="201"/>
      <c r="X55" s="202"/>
      <c r="Y55" s="203"/>
      <c r="Z55" s="203"/>
      <c r="AA55" s="203"/>
      <c r="AB55" s="203"/>
    </row>
    <row r="56" spans="1:41" ht="16.5" customHeight="1">
      <c r="A56" s="176"/>
      <c r="B56" s="184"/>
      <c r="C56" s="184"/>
      <c r="D56" s="184"/>
      <c r="E56" s="185"/>
      <c r="F56" s="186"/>
      <c r="G56" s="187"/>
      <c r="H56" s="187"/>
      <c r="I56" s="188"/>
      <c r="J56" s="188"/>
      <c r="K56" s="188"/>
      <c r="L56" s="188"/>
      <c r="P56" s="279"/>
      <c r="R56" s="197"/>
      <c r="S56" s="198"/>
      <c r="T56" s="199"/>
      <c r="U56" s="200"/>
      <c r="V56" s="201"/>
      <c r="W56" s="201"/>
      <c r="X56" s="202"/>
      <c r="Y56" s="203"/>
      <c r="Z56" s="203"/>
      <c r="AA56" s="203"/>
      <c r="AB56" s="203"/>
    </row>
    <row r="57" spans="1:41" ht="16.5" customHeight="1">
      <c r="A57" s="176"/>
      <c r="B57" s="184"/>
      <c r="C57" s="184"/>
      <c r="D57" s="184"/>
      <c r="E57" s="185"/>
      <c r="F57" s="186"/>
      <c r="G57" s="187"/>
      <c r="H57" s="187"/>
      <c r="I57" s="188"/>
      <c r="J57" s="188"/>
      <c r="K57" s="188"/>
      <c r="L57" s="188"/>
      <c r="R57" s="204"/>
      <c r="S57" s="204"/>
      <c r="T57" s="201"/>
      <c r="U57" s="201"/>
      <c r="V57" s="201"/>
      <c r="W57" s="201"/>
      <c r="X57" s="201"/>
      <c r="Y57" s="201"/>
      <c r="Z57" s="201"/>
      <c r="AA57" s="201"/>
      <c r="AB57" s="201"/>
    </row>
    <row r="58" spans="1:41" s="175" customFormat="1" ht="16.5" customHeight="1">
      <c r="A58" s="176"/>
      <c r="B58" s="177"/>
      <c r="C58" s="177"/>
      <c r="D58" s="177"/>
      <c r="E58" s="178"/>
      <c r="F58" s="179"/>
      <c r="G58" s="180"/>
      <c r="H58" s="180"/>
      <c r="I58" s="181"/>
      <c r="J58" s="181"/>
      <c r="K58" s="181"/>
      <c r="L58" s="181"/>
      <c r="R58" s="205"/>
      <c r="S58" s="205"/>
      <c r="T58" s="201"/>
      <c r="U58" s="201"/>
      <c r="V58" s="201"/>
      <c r="W58" s="201"/>
      <c r="X58" s="201"/>
      <c r="Y58" s="201"/>
      <c r="Z58" s="201"/>
      <c r="AA58" s="201"/>
      <c r="AB58" s="201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</row>
    <row r="59" spans="1:41" ht="16.5" customHeight="1">
      <c r="A59" s="189"/>
      <c r="B59" s="283" t="s">
        <v>228</v>
      </c>
      <c r="C59" s="283"/>
      <c r="D59" s="283"/>
      <c r="E59" s="283"/>
      <c r="F59" s="283"/>
      <c r="G59" s="190"/>
      <c r="H59" s="190"/>
      <c r="I59" s="190"/>
      <c r="J59" s="190"/>
      <c r="K59" s="190"/>
      <c r="L59" s="191">
        <f>IF(COUNT(L60:L63)=4,SUM(L60:L63)-MIN(L60:L63),SUM(L60:L63))</f>
        <v>1249.6837042736497</v>
      </c>
      <c r="P59" s="277" t="s">
        <v>269</v>
      </c>
      <c r="Q59" t="str">
        <f>'Pulje 5'!J9</f>
        <v>Hitra VK</v>
      </c>
      <c r="R59" s="197">
        <f>'Pulje 5'!D9</f>
        <v>41.83</v>
      </c>
      <c r="S59" s="198" t="str">
        <f>'Pulje 5'!E9</f>
        <v>UK</v>
      </c>
      <c r="T59" s="199" t="str">
        <f>'Pulje 5'!F9</f>
        <v>13-14</v>
      </c>
      <c r="U59" s="200">
        <f>'Pulje 5'!G9</f>
        <v>40877</v>
      </c>
      <c r="V59" s="201" t="str">
        <f>'Pulje 5'!I9</f>
        <v>Natali Siska</v>
      </c>
      <c r="W59" s="201">
        <f>'Pulje 5'!Q9</f>
        <v>27</v>
      </c>
      <c r="X59" s="202">
        <f>'Pulje 5'!R9</f>
        <v>39</v>
      </c>
      <c r="Y59" s="203">
        <f>'Pulje 5'!V9</f>
        <v>6.58</v>
      </c>
      <c r="Z59" s="203">
        <f>'Pulje 5'!W9</f>
        <v>9</v>
      </c>
      <c r="AA59" s="203">
        <f>'Pulje 5'!X9</f>
        <v>7.5</v>
      </c>
      <c r="AB59" s="203">
        <f>'Pulje 5'!Z10</f>
        <v>560.99601772812048</v>
      </c>
    </row>
    <row r="60" spans="1:41" ht="16.5" customHeight="1">
      <c r="A60" s="176"/>
      <c r="B60" s="184">
        <f t="shared" ref="B60:K60" si="20">R116</f>
        <v>64.95</v>
      </c>
      <c r="C60" s="184" t="str">
        <f t="shared" si="20"/>
        <v>SK</v>
      </c>
      <c r="D60" s="184" t="str">
        <f t="shared" si="20"/>
        <v>24-34</v>
      </c>
      <c r="E60" s="185">
        <f t="shared" si="20"/>
        <v>36509</v>
      </c>
      <c r="F60" s="186" t="str">
        <f t="shared" si="20"/>
        <v>Frida Baade</v>
      </c>
      <c r="G60" s="187">
        <f t="shared" si="20"/>
        <v>65</v>
      </c>
      <c r="H60" s="187">
        <f t="shared" si="20"/>
        <v>83</v>
      </c>
      <c r="I60" s="188">
        <f t="shared" si="20"/>
        <v>6.55</v>
      </c>
      <c r="J60" s="188">
        <f t="shared" si="20"/>
        <v>9.94</v>
      </c>
      <c r="K60" s="188">
        <f t="shared" si="20"/>
        <v>7.3</v>
      </c>
      <c r="L60" s="188">
        <f>AB116</f>
        <v>612.46393305027232</v>
      </c>
      <c r="P60" s="278"/>
      <c r="Q60" t="str">
        <f>'Pulje 5'!J11</f>
        <v>Hitra VK</v>
      </c>
      <c r="R60" s="197">
        <f>'Pulje 5'!D11</f>
        <v>45.19</v>
      </c>
      <c r="S60" s="198" t="str">
        <f>'Pulje 5'!E11</f>
        <v>UK</v>
      </c>
      <c r="T60" s="199" t="str">
        <f>'Pulje 5'!F11</f>
        <v>13-14</v>
      </c>
      <c r="U60" s="200">
        <f>'Pulje 5'!G11</f>
        <v>41055</v>
      </c>
      <c r="V60" s="201" t="str">
        <f>'Pulje 5'!I11</f>
        <v>Solveig Olsen</v>
      </c>
      <c r="W60" s="201">
        <f>'Pulje 5'!Q11</f>
        <v>31</v>
      </c>
      <c r="X60" s="202">
        <f>'Pulje 5'!R11</f>
        <v>46</v>
      </c>
      <c r="Y60" s="203">
        <f>'Pulje 5'!V11</f>
        <v>6.44</v>
      </c>
      <c r="Z60" s="203">
        <f>'Pulje 5'!W11</f>
        <v>9.2899999999999991</v>
      </c>
      <c r="AA60" s="203">
        <f>'Pulje 5'!X11</f>
        <v>7.6</v>
      </c>
      <c r="AB60" s="203">
        <f>'Pulje 5'!Z12</f>
        <v>559.60515089162141</v>
      </c>
    </row>
    <row r="61" spans="1:41" ht="16.5" customHeight="1">
      <c r="A61" s="176"/>
      <c r="B61" s="184">
        <f t="shared" ref="B61:L61" si="21">R121</f>
        <v>60.09</v>
      </c>
      <c r="C61" s="184" t="str">
        <f t="shared" si="21"/>
        <v>SK</v>
      </c>
      <c r="D61" s="184" t="str">
        <f t="shared" si="21"/>
        <v>24-34</v>
      </c>
      <c r="E61" s="185">
        <f t="shared" si="21"/>
        <v>35936</v>
      </c>
      <c r="F61" s="186" t="str">
        <f t="shared" si="21"/>
        <v>Serine Pedersen</v>
      </c>
      <c r="G61" s="187">
        <f t="shared" si="21"/>
        <v>65</v>
      </c>
      <c r="H61" s="187">
        <f t="shared" si="21"/>
        <v>83</v>
      </c>
      <c r="I61" s="188">
        <f t="shared" si="21"/>
        <v>7</v>
      </c>
      <c r="J61" s="188">
        <f t="shared" si="21"/>
        <v>9.18</v>
      </c>
      <c r="K61" s="188">
        <f t="shared" si="21"/>
        <v>7.1</v>
      </c>
      <c r="L61" s="188">
        <f t="shared" si="21"/>
        <v>637.21977122337739</v>
      </c>
      <c r="P61" s="278"/>
      <c r="Q61" t="str">
        <f>'Pulje 5'!J13</f>
        <v>AK Bjørgvin</v>
      </c>
      <c r="R61" s="197">
        <f>'Pulje 5'!D13</f>
        <v>41.65</v>
      </c>
      <c r="S61" s="198" t="str">
        <f>'Pulje 5'!E13</f>
        <v>UK</v>
      </c>
      <c r="T61" s="199" t="str">
        <f>'Pulje 5'!F13</f>
        <v>13-14</v>
      </c>
      <c r="U61" s="200">
        <f>'Pulje 5'!G13</f>
        <v>40848</v>
      </c>
      <c r="V61" s="201" t="str">
        <f>'Pulje 5'!I13</f>
        <v>Ingrid Skag Skjefstad</v>
      </c>
      <c r="W61" s="201">
        <f>'Pulje 5'!Q13</f>
        <v>43</v>
      </c>
      <c r="X61" s="202">
        <f>'Pulje 5'!R13</f>
        <v>55</v>
      </c>
      <c r="Y61" s="203">
        <f>'Pulje 5'!V13</f>
        <v>6.33</v>
      </c>
      <c r="Z61" s="203">
        <f>'Pulje 5'!W13</f>
        <v>8.84</v>
      </c>
      <c r="AA61" s="203">
        <f>'Pulje 5'!X13</f>
        <v>7.7</v>
      </c>
      <c r="AB61" s="203">
        <f>'Pulje 5'!Z14</f>
        <v>614.75846485193085</v>
      </c>
    </row>
    <row r="62" spans="1:41" ht="16.5" customHeight="1">
      <c r="A62" s="176"/>
      <c r="B62" s="184"/>
      <c r="C62" s="184"/>
      <c r="D62" s="184"/>
      <c r="E62" s="185"/>
      <c r="F62" s="186"/>
      <c r="G62" s="187"/>
      <c r="H62" s="187"/>
      <c r="I62" s="188"/>
      <c r="J62" s="188"/>
      <c r="K62" s="188"/>
      <c r="L62" s="188"/>
      <c r="P62" s="278"/>
      <c r="R62" s="197"/>
      <c r="S62" s="198"/>
      <c r="T62" s="199"/>
      <c r="U62" s="200"/>
      <c r="V62" s="201"/>
      <c r="W62" s="201"/>
      <c r="X62" s="202"/>
      <c r="Y62" s="203"/>
      <c r="Z62" s="203"/>
      <c r="AA62" s="203"/>
      <c r="AB62" s="203"/>
    </row>
    <row r="63" spans="1:41" s="175" customFormat="1" ht="16.5" customHeight="1">
      <c r="A63" s="176"/>
      <c r="B63" s="184"/>
      <c r="C63" s="184"/>
      <c r="D63" s="184"/>
      <c r="E63" s="185"/>
      <c r="F63" s="186"/>
      <c r="G63" s="187"/>
      <c r="H63" s="187"/>
      <c r="I63" s="188"/>
      <c r="J63" s="188"/>
      <c r="K63" s="188"/>
      <c r="L63" s="188"/>
      <c r="P63" s="278"/>
      <c r="Q63" t="str">
        <f>'Pulje 5'!J15</f>
        <v>T&amp;IL National</v>
      </c>
      <c r="R63" s="197">
        <f>'Pulje 5'!D15</f>
        <v>70.290000000000006</v>
      </c>
      <c r="S63" s="198" t="str">
        <f>'Pulje 5'!E15</f>
        <v>UK</v>
      </c>
      <c r="T63" s="199" t="str">
        <f>'Pulje 5'!F15</f>
        <v>13-14</v>
      </c>
      <c r="U63" s="200">
        <f>'Pulje 5'!G15</f>
        <v>40831</v>
      </c>
      <c r="V63" s="201" t="str">
        <f>'Pulje 5'!I15</f>
        <v>Arwen Olea Dagsland Ravneng</v>
      </c>
      <c r="W63" s="201">
        <f>'Pulje 5'!Q15</f>
        <v>35</v>
      </c>
      <c r="X63" s="202">
        <f>'Pulje 5'!R15</f>
        <v>47</v>
      </c>
      <c r="Y63" s="203">
        <f>'Pulje 5'!V15</f>
        <v>4.72</v>
      </c>
      <c r="Z63" s="203">
        <f>'Pulje 5'!W15</f>
        <v>7.82</v>
      </c>
      <c r="AA63" s="203">
        <f>'Pulje 5'!X15</f>
        <v>9.1</v>
      </c>
      <c r="AB63" s="203">
        <f>'Pulje 5'!Z16</f>
        <v>359.65543943307233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</row>
    <row r="64" spans="1:41" ht="16.5" customHeight="1">
      <c r="A64" s="176"/>
      <c r="B64" s="177"/>
      <c r="C64" s="177"/>
      <c r="D64" s="177"/>
      <c r="E64" s="178"/>
      <c r="F64" s="179"/>
      <c r="G64" s="180"/>
      <c r="H64" s="180"/>
      <c r="I64" s="181"/>
      <c r="J64" s="181"/>
      <c r="K64" s="181"/>
      <c r="L64" s="181"/>
      <c r="P64" s="278"/>
      <c r="R64" s="197"/>
      <c r="S64" s="198"/>
      <c r="T64" s="199"/>
      <c r="U64" s="200"/>
      <c r="V64" s="201"/>
      <c r="W64" s="201"/>
      <c r="X64" s="202"/>
      <c r="Y64" s="203"/>
      <c r="Z64" s="203"/>
      <c r="AA64" s="203"/>
      <c r="AB64" s="203"/>
    </row>
    <row r="65" spans="1:41" ht="16.5" customHeight="1">
      <c r="A65" s="176"/>
      <c r="B65" s="177"/>
      <c r="C65" s="177"/>
      <c r="D65" s="177"/>
      <c r="E65" s="178"/>
      <c r="F65" s="179"/>
      <c r="G65" s="180"/>
      <c r="H65" s="180"/>
      <c r="I65" s="181"/>
      <c r="J65" s="181"/>
      <c r="K65" s="181"/>
      <c r="L65" s="181"/>
      <c r="P65" s="278"/>
      <c r="Q65" t="str">
        <f>'Pulje 5'!J19</f>
        <v>Tønsberg-Kam.</v>
      </c>
      <c r="R65" s="197">
        <f>'Pulje 5'!D19</f>
        <v>64.489999999999995</v>
      </c>
      <c r="S65" s="198" t="str">
        <f>'Pulje 5'!E19</f>
        <v>UK</v>
      </c>
      <c r="T65" s="199" t="str">
        <f>'Pulje 5'!F19</f>
        <v>17-18</v>
      </c>
      <c r="U65" s="200">
        <f>'Pulje 5'!G19</f>
        <v>39121</v>
      </c>
      <c r="V65" s="201" t="str">
        <f>'Pulje 5'!I19</f>
        <v>Elnaz Tajik</v>
      </c>
      <c r="W65" s="201">
        <f>'Pulje 5'!Q19</f>
        <v>48</v>
      </c>
      <c r="X65" s="202">
        <f>'Pulje 5'!R19</f>
        <v>62</v>
      </c>
      <c r="Y65" s="203">
        <f>'Pulje 5'!V19</f>
        <v>5.63</v>
      </c>
      <c r="Z65" s="203">
        <f>'Pulje 5'!W19</f>
        <v>6.8</v>
      </c>
      <c r="AA65" s="203">
        <f>'Pulje 5'!X19</f>
        <v>7.9</v>
      </c>
      <c r="AB65" s="203">
        <f>'Pulje 5'!Z20</f>
        <v>466.82767823164244</v>
      </c>
    </row>
    <row r="66" spans="1:41" ht="16.5" customHeight="1" thickBot="1">
      <c r="A66" s="280" t="s">
        <v>259</v>
      </c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2"/>
      <c r="P66" s="278"/>
      <c r="Q66" t="str">
        <f>'Pulje 5'!J21</f>
        <v>Vigrestad IK</v>
      </c>
      <c r="R66" s="197">
        <f>'Pulje 5'!D21</f>
        <v>66.95</v>
      </c>
      <c r="S66" s="198" t="str">
        <f>'Pulje 5'!E21</f>
        <v>UK</v>
      </c>
      <c r="T66" s="199" t="str">
        <f>'Pulje 5'!F21</f>
        <v>17-18</v>
      </c>
      <c r="U66" s="200">
        <f>'Pulje 5'!G21</f>
        <v>39505</v>
      </c>
      <c r="V66" s="201" t="str">
        <f>'Pulje 5'!I21</f>
        <v>Eline Høien</v>
      </c>
      <c r="W66" s="201">
        <f>'Pulje 5'!Q21</f>
        <v>63</v>
      </c>
      <c r="X66" s="202">
        <f>'Pulje 5'!R21</f>
        <v>81</v>
      </c>
      <c r="Y66" s="203">
        <f>'Pulje 5'!V21</f>
        <v>6.63</v>
      </c>
      <c r="Z66" s="203">
        <f>'Pulje 5'!W21</f>
        <v>9.2799999999999994</v>
      </c>
      <c r="AA66" s="203">
        <f>'Pulje 5'!X21</f>
        <v>7.4</v>
      </c>
      <c r="AB66" s="203">
        <f>'Pulje 5'!Z22</f>
        <v>587.66494057185105</v>
      </c>
    </row>
    <row r="67" spans="1:41" s="175" customFormat="1" ht="12" customHeight="1">
      <c r="A67" s="174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P67" s="278"/>
      <c r="Q67" t="str">
        <f>'Pulje 5'!J23</f>
        <v>Spydeberg Atletene</v>
      </c>
      <c r="R67" s="197">
        <f>'Pulje 5'!D23</f>
        <v>61.33</v>
      </c>
      <c r="S67" s="198" t="str">
        <f>'Pulje 5'!E23</f>
        <v>UK</v>
      </c>
      <c r="T67" s="199" t="str">
        <f>'Pulje 5'!F23</f>
        <v>17-18</v>
      </c>
      <c r="U67" s="200">
        <f>'Pulje 5'!G23</f>
        <v>39229</v>
      </c>
      <c r="V67" s="201" t="str">
        <f>'Pulje 5'!I23</f>
        <v>Melissa Magnes</v>
      </c>
      <c r="W67" s="201">
        <f>'Pulje 5'!Q23</f>
        <v>46</v>
      </c>
      <c r="X67" s="202">
        <f>'Pulje 5'!R23</f>
        <v>63</v>
      </c>
      <c r="Y67" s="203">
        <f>'Pulje 5'!V23</f>
        <v>6.92</v>
      </c>
      <c r="Z67" s="203">
        <f>'Pulje 5'!W23</f>
        <v>8</v>
      </c>
      <c r="AA67" s="203">
        <f>'Pulje 5'!X23</f>
        <v>7.1</v>
      </c>
      <c r="AB67" s="203">
        <f>'Pulje 5'!Z24</f>
        <v>550.10971266612114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</row>
    <row r="68" spans="1:41" s="28" customFormat="1" ht="16.5" customHeight="1">
      <c r="A68" s="194">
        <v>5</v>
      </c>
      <c r="B68" s="287" t="s">
        <v>62</v>
      </c>
      <c r="C68" s="287"/>
      <c r="D68" s="287"/>
      <c r="E68" s="287"/>
      <c r="F68" s="287"/>
      <c r="G68" s="195"/>
      <c r="H68" s="195"/>
      <c r="I68" s="195"/>
      <c r="J68" s="195"/>
      <c r="K68" s="195"/>
      <c r="L68" s="196">
        <f>IF(COUNT(L69:L72)=4,SUM(L69:L72)-MIN(L69:L72),SUM(L69:L72))</f>
        <v>932.08144874458253</v>
      </c>
      <c r="M68" s="176"/>
      <c r="P68" s="278"/>
      <c r="Q68" t="str">
        <f>'Pulje 5'!J25</f>
        <v>Vigrestad IK</v>
      </c>
      <c r="R68" s="197">
        <f>'Pulje 5'!D25</f>
        <v>65.97</v>
      </c>
      <c r="S68" s="198" t="str">
        <f>'Pulje 5'!E25</f>
        <v>UK</v>
      </c>
      <c r="T68" s="199" t="str">
        <f>'Pulje 5'!F25</f>
        <v>17-18</v>
      </c>
      <c r="U68" s="200">
        <f>'Pulje 5'!G25</f>
        <v>39619</v>
      </c>
      <c r="V68" s="201" t="str">
        <f>'Pulje 5'!I25</f>
        <v>Ingeborg Liland</v>
      </c>
      <c r="W68" s="201">
        <f>'Pulje 5'!Q25</f>
        <v>61</v>
      </c>
      <c r="X68" s="202">
        <f>'Pulje 5'!R25</f>
        <v>75</v>
      </c>
      <c r="Y68" s="203">
        <f>'Pulje 5'!V25</f>
        <v>6.27</v>
      </c>
      <c r="Z68" s="203">
        <f>'Pulje 5'!W25</f>
        <v>7.83</v>
      </c>
      <c r="AA68" s="203">
        <f>'Pulje 5'!X25</f>
        <v>7.5</v>
      </c>
      <c r="AB68" s="203">
        <f>'Pulje 5'!Z26</f>
        <v>546.51319487925116</v>
      </c>
    </row>
    <row r="69" spans="1:41" ht="16.5" customHeight="1">
      <c r="A69" s="176"/>
      <c r="B69" s="184">
        <f t="shared" ref="B69:L69" si="22">R17</f>
        <v>56.52</v>
      </c>
      <c r="C69" s="184" t="str">
        <f t="shared" si="22"/>
        <v>UM</v>
      </c>
      <c r="D69" s="184" t="str">
        <f t="shared" si="22"/>
        <v>13-14</v>
      </c>
      <c r="E69" s="185">
        <f t="shared" si="22"/>
        <v>41248</v>
      </c>
      <c r="F69" s="186" t="str">
        <f t="shared" si="22"/>
        <v>Leo-Alander Fjelløve</v>
      </c>
      <c r="G69" s="187">
        <f t="shared" si="22"/>
        <v>30</v>
      </c>
      <c r="H69" s="187">
        <f t="shared" si="22"/>
        <v>35</v>
      </c>
      <c r="I69" s="188">
        <f t="shared" si="22"/>
        <v>5.15</v>
      </c>
      <c r="J69" s="188">
        <f t="shared" si="22"/>
        <v>6.37</v>
      </c>
      <c r="K69" s="188">
        <f t="shared" si="22"/>
        <v>9.1999999999999993</v>
      </c>
      <c r="L69" s="188">
        <f t="shared" si="22"/>
        <v>363.04927142679594</v>
      </c>
      <c r="P69" s="278"/>
      <c r="Q69" t="str">
        <f>'Pulje 5'!J27</f>
        <v>Spydeberg Atletene</v>
      </c>
      <c r="R69" s="197">
        <f>'Pulje 5'!D27</f>
        <v>67.87</v>
      </c>
      <c r="S69" s="198" t="str">
        <f>'Pulje 5'!E27</f>
        <v>UK</v>
      </c>
      <c r="T69" s="199" t="str">
        <f>'Pulje 5'!F27</f>
        <v>17-18</v>
      </c>
      <c r="U69" s="200">
        <f>'Pulje 5'!G27</f>
        <v>39742</v>
      </c>
      <c r="V69" s="201" t="str">
        <f>'Pulje 5'!I27</f>
        <v>Mille Østli Dekke</v>
      </c>
      <c r="W69" s="201">
        <f>'Pulje 5'!Q27</f>
        <v>44</v>
      </c>
      <c r="X69" s="202">
        <f>'Pulje 5'!R27</f>
        <v>60</v>
      </c>
      <c r="Y69" s="203">
        <f>'Pulje 5'!V27</f>
        <v>5.5</v>
      </c>
      <c r="Z69" s="203">
        <f>'Pulje 5'!W27</f>
        <v>8.44</v>
      </c>
      <c r="AA69" s="203">
        <f>'Pulje 5'!X27</f>
        <v>0</v>
      </c>
      <c r="AB69" s="203" t="str">
        <f>'Pulje 5'!Z28</f>
        <v/>
      </c>
    </row>
    <row r="70" spans="1:41" ht="16.5" customHeight="1">
      <c r="A70" s="176"/>
      <c r="B70" s="184">
        <f t="shared" ref="B70:L70" si="23">R38</f>
        <v>60.57</v>
      </c>
      <c r="C70" s="184" t="str">
        <f t="shared" si="23"/>
        <v>UM</v>
      </c>
      <c r="D70" s="184" t="str">
        <f t="shared" si="23"/>
        <v>15-16</v>
      </c>
      <c r="E70" s="185">
        <f t="shared" si="23"/>
        <v>40536</v>
      </c>
      <c r="F70" s="186" t="str">
        <f t="shared" si="23"/>
        <v>Jacob T. Sverdrup</v>
      </c>
      <c r="G70" s="187">
        <f t="shared" si="23"/>
        <v>53</v>
      </c>
      <c r="H70" s="187">
        <f t="shared" si="23"/>
        <v>63</v>
      </c>
      <c r="I70" s="188">
        <f t="shared" si="23"/>
        <v>6.43</v>
      </c>
      <c r="J70" s="188">
        <f t="shared" si="23"/>
        <v>8.1</v>
      </c>
      <c r="K70" s="188">
        <f t="shared" si="23"/>
        <v>7.4</v>
      </c>
      <c r="L70" s="188">
        <f t="shared" si="23"/>
        <v>569.03217731778659</v>
      </c>
      <c r="P70" s="278"/>
      <c r="R70" s="197"/>
      <c r="S70" s="198"/>
      <c r="T70" s="199"/>
      <c r="U70" s="200"/>
      <c r="V70" s="201"/>
      <c r="W70" s="201"/>
      <c r="X70" s="202"/>
      <c r="Y70" s="203"/>
      <c r="Z70" s="203"/>
      <c r="AA70" s="203"/>
      <c r="AB70" s="203"/>
    </row>
    <row r="71" spans="1:41" ht="16.5" customHeight="1">
      <c r="A71" s="176"/>
      <c r="B71" s="184"/>
      <c r="C71" s="184"/>
      <c r="D71" s="184"/>
      <c r="E71" s="185"/>
      <c r="F71" s="186"/>
      <c r="G71" s="187"/>
      <c r="H71" s="187"/>
      <c r="I71" s="188"/>
      <c r="J71" s="188"/>
      <c r="K71" s="188"/>
      <c r="L71" s="188"/>
      <c r="P71" s="279"/>
      <c r="R71" s="197"/>
      <c r="S71" s="198"/>
      <c r="T71" s="199"/>
      <c r="U71" s="200"/>
      <c r="V71" s="201"/>
      <c r="W71" s="201"/>
      <c r="X71" s="202"/>
      <c r="Y71" s="203"/>
      <c r="Z71" s="203"/>
      <c r="AA71" s="203"/>
      <c r="AB71" s="203"/>
    </row>
    <row r="72" spans="1:41" s="175" customFormat="1" ht="16.5" customHeight="1">
      <c r="A72" s="176"/>
      <c r="B72" s="184"/>
      <c r="C72" s="184"/>
      <c r="D72" s="184"/>
      <c r="E72" s="185"/>
      <c r="F72" s="186"/>
      <c r="G72" s="187"/>
      <c r="H72" s="187"/>
      <c r="I72" s="188"/>
      <c r="J72" s="188"/>
      <c r="K72" s="188"/>
      <c r="L72" s="188"/>
      <c r="R72" s="205"/>
      <c r="S72" s="205"/>
      <c r="T72" s="201"/>
      <c r="U72" s="201"/>
      <c r="V72" s="201"/>
      <c r="W72" s="201"/>
      <c r="X72" s="201"/>
      <c r="Y72" s="201"/>
      <c r="Z72" s="201"/>
      <c r="AA72" s="201"/>
      <c r="AB72" s="201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</row>
    <row r="73" spans="1:41" ht="16.5" customHeight="1">
      <c r="A73" s="176"/>
      <c r="B73" s="177"/>
      <c r="C73" s="177"/>
      <c r="D73" s="177"/>
      <c r="E73" s="178"/>
      <c r="F73" s="179"/>
      <c r="G73" s="180"/>
      <c r="H73" s="180"/>
      <c r="I73" s="181"/>
      <c r="J73" s="181"/>
      <c r="K73" s="181"/>
      <c r="L73" s="181"/>
      <c r="P73" s="277" t="s">
        <v>268</v>
      </c>
      <c r="Q73" t="str">
        <f>'Pulje 6'!J9</f>
        <v>Vigrestad IK</v>
      </c>
      <c r="R73" s="197">
        <f>'Pulje 6'!D9</f>
        <v>61.53</v>
      </c>
      <c r="S73" s="198" t="str">
        <f>'Pulje 6'!E9</f>
        <v>UK</v>
      </c>
      <c r="T73" s="199" t="str">
        <f>'Pulje 6'!F9</f>
        <v>15-16</v>
      </c>
      <c r="U73" s="200">
        <f>'Pulje 6'!G9</f>
        <v>39927</v>
      </c>
      <c r="V73" s="201" t="str">
        <f>'Pulje 6'!I9</f>
        <v>Lea Berge Jensen</v>
      </c>
      <c r="W73" s="201">
        <f>'Pulje 6'!Q9</f>
        <v>63</v>
      </c>
      <c r="X73" s="202">
        <f>'Pulje 6'!R9</f>
        <v>74</v>
      </c>
      <c r="Y73" s="203">
        <f>'Pulje 6'!V9</f>
        <v>7.06</v>
      </c>
      <c r="Z73" s="203">
        <f>'Pulje 6'!W9</f>
        <v>10.23</v>
      </c>
      <c r="AA73" s="203">
        <f>'Pulje 6'!X9</f>
        <v>6.9</v>
      </c>
      <c r="AB73" s="203">
        <f>'Pulje 6'!Z10</f>
        <v>638.7102078645878</v>
      </c>
    </row>
    <row r="74" spans="1:41" ht="16.5" customHeight="1">
      <c r="A74" s="194">
        <v>1</v>
      </c>
      <c r="B74" s="287" t="s">
        <v>92</v>
      </c>
      <c r="C74" s="287"/>
      <c r="D74" s="287"/>
      <c r="E74" s="287"/>
      <c r="F74" s="287"/>
      <c r="G74" s="195"/>
      <c r="H74" s="195"/>
      <c r="I74" s="195"/>
      <c r="J74" s="195"/>
      <c r="K74" s="195"/>
      <c r="L74" s="196">
        <f>IF(COUNT(L75:L78)=4,SUM(L75:L78)-MIN(L75:L78),SUM(L75:L78))</f>
        <v>2327.7499708662635</v>
      </c>
      <c r="M74" s="176"/>
      <c r="N74" s="176"/>
      <c r="P74" s="278"/>
      <c r="Q74" t="str">
        <f>'Pulje 6'!J11</f>
        <v>AK Bjørgvin</v>
      </c>
      <c r="R74" s="197">
        <f>'Pulje 6'!D11</f>
        <v>52.55</v>
      </c>
      <c r="S74" s="198" t="str">
        <f>'Pulje 6'!E11</f>
        <v>UK</v>
      </c>
      <c r="T74" s="199" t="str">
        <f>'Pulje 6'!F11</f>
        <v>15-16</v>
      </c>
      <c r="U74" s="200">
        <f>'Pulje 6'!G11</f>
        <v>40008</v>
      </c>
      <c r="V74" s="201" t="str">
        <f>'Pulje 6'!I11</f>
        <v>Heidi Nævdal</v>
      </c>
      <c r="W74" s="201">
        <f>'Pulje 6'!Q11</f>
        <v>55</v>
      </c>
      <c r="X74" s="202">
        <f>'Pulje 6'!R11</f>
        <v>63</v>
      </c>
      <c r="Y74" s="203">
        <f>'Pulje 6'!V11</f>
        <v>6.57</v>
      </c>
      <c r="Z74" s="203">
        <f>'Pulje 6'!W11</f>
        <v>9.32</v>
      </c>
      <c r="AA74" s="203">
        <f>'Pulje 6'!X11</f>
        <v>7.3</v>
      </c>
      <c r="AB74" s="203">
        <f>'Pulje 6'!Z12</f>
        <v>608.31519458562138</v>
      </c>
    </row>
    <row r="75" spans="1:41" ht="16.5" customHeight="1">
      <c r="A75" s="176"/>
      <c r="B75" s="184">
        <f t="shared" ref="B75:L75" si="24">R53</f>
        <v>78.09</v>
      </c>
      <c r="C75" s="184" t="str">
        <f t="shared" si="24"/>
        <v>UM</v>
      </c>
      <c r="D75" s="184" t="str">
        <f t="shared" si="24"/>
        <v>17-18</v>
      </c>
      <c r="E75" s="185">
        <f t="shared" si="24"/>
        <v>39126</v>
      </c>
      <c r="F75" s="186" t="str">
        <f t="shared" si="24"/>
        <v>Rene A. Rand Djupå</v>
      </c>
      <c r="G75" s="187">
        <f t="shared" si="24"/>
        <v>86</v>
      </c>
      <c r="H75" s="187">
        <f t="shared" si="24"/>
        <v>111</v>
      </c>
      <c r="I75" s="188">
        <f t="shared" si="24"/>
        <v>8.43</v>
      </c>
      <c r="J75" s="188">
        <f t="shared" si="24"/>
        <v>11</v>
      </c>
      <c r="K75" s="188">
        <f t="shared" si="24"/>
        <v>6.8</v>
      </c>
      <c r="L75" s="188">
        <f t="shared" si="24"/>
        <v>745.30895789942247</v>
      </c>
      <c r="P75" s="278"/>
      <c r="Q75" t="str">
        <f>'Pulje 6'!J13</f>
        <v>Hitra VK</v>
      </c>
      <c r="R75" s="197">
        <f>'Pulje 6'!D13</f>
        <v>67.03</v>
      </c>
      <c r="S75" s="198" t="str">
        <f>'Pulje 6'!E13</f>
        <v>UK</v>
      </c>
      <c r="T75" s="199" t="str">
        <f>'Pulje 6'!F13</f>
        <v>15-16</v>
      </c>
      <c r="U75" s="200">
        <f>'Pulje 6'!G13</f>
        <v>40152</v>
      </c>
      <c r="V75" s="201" t="str">
        <f>'Pulje 6'!I13</f>
        <v>Sigrid Johanne Røvik</v>
      </c>
      <c r="W75" s="201">
        <f>'Pulje 6'!Q13</f>
        <v>53</v>
      </c>
      <c r="X75" s="202">
        <f>'Pulje 6'!R13</f>
        <v>65</v>
      </c>
      <c r="Y75" s="203">
        <f>'Pulje 6'!V13</f>
        <v>5.84</v>
      </c>
      <c r="Z75" s="203">
        <f>'Pulje 6'!W13</f>
        <v>10.15</v>
      </c>
      <c r="AA75" s="203">
        <f>'Pulje 6'!X13</f>
        <v>7.3</v>
      </c>
      <c r="AB75" s="203">
        <f>'Pulje 6'!Z14</f>
        <v>548.50775669675306</v>
      </c>
    </row>
    <row r="76" spans="1:41" ht="16.5" customHeight="1">
      <c r="A76" s="176"/>
      <c r="B76" s="184">
        <f t="shared" ref="B76:L76" si="25">R47</f>
        <v>73.69</v>
      </c>
      <c r="C76" s="184" t="str">
        <f t="shared" si="25"/>
        <v>UM</v>
      </c>
      <c r="D76" s="184" t="str">
        <f t="shared" si="25"/>
        <v>17-18</v>
      </c>
      <c r="E76" s="185">
        <f t="shared" si="25"/>
        <v>39199</v>
      </c>
      <c r="F76" s="186" t="str">
        <f t="shared" si="25"/>
        <v>Tomack Sand</v>
      </c>
      <c r="G76" s="187">
        <f t="shared" si="25"/>
        <v>86</v>
      </c>
      <c r="H76" s="187">
        <f t="shared" si="25"/>
        <v>118</v>
      </c>
      <c r="I76" s="188">
        <f t="shared" si="25"/>
        <v>9.25</v>
      </c>
      <c r="J76" s="188">
        <f t="shared" si="25"/>
        <v>13.03</v>
      </c>
      <c r="K76" s="188">
        <f t="shared" si="25"/>
        <v>6.3</v>
      </c>
      <c r="L76" s="188">
        <f t="shared" si="25"/>
        <v>835.74677494717139</v>
      </c>
      <c r="P76" s="278"/>
      <c r="Q76" t="str">
        <f>'Pulje 6'!J15</f>
        <v>Tambarskjelvar IL</v>
      </c>
      <c r="R76" s="197">
        <f>'Pulje 6'!D15</f>
        <v>85.79</v>
      </c>
      <c r="S76" s="198" t="str">
        <f>'Pulje 6'!E15</f>
        <v>UK</v>
      </c>
      <c r="T76" s="199" t="str">
        <f>'Pulje 6'!F15</f>
        <v>15-16</v>
      </c>
      <c r="U76" s="200">
        <f>'Pulje 6'!G15</f>
        <v>40113</v>
      </c>
      <c r="V76" s="201" t="str">
        <f>'Pulje 6'!I15</f>
        <v>Madeleine Indrebø</v>
      </c>
      <c r="W76" s="201">
        <f>'Pulje 6'!Q15</f>
        <v>36</v>
      </c>
      <c r="X76" s="202">
        <f>'Pulje 6'!R15</f>
        <v>48</v>
      </c>
      <c r="Y76" s="203">
        <f>'Pulje 6'!V15</f>
        <v>5.83</v>
      </c>
      <c r="Z76" s="203">
        <f>'Pulje 6'!W15</f>
        <v>8.01</v>
      </c>
      <c r="AA76" s="203">
        <f>'Pulje 6'!X15</f>
        <v>8.3000000000000007</v>
      </c>
      <c r="AB76" s="203">
        <f>'Pulje 6'!Z16</f>
        <v>396.45405636866496</v>
      </c>
    </row>
    <row r="77" spans="1:41" ht="16.5" customHeight="1">
      <c r="A77" s="176"/>
      <c r="B77" s="184">
        <f t="shared" ref="B77:L77" si="26">R23</f>
        <v>69.650000000000006</v>
      </c>
      <c r="C77" s="184" t="str">
        <f t="shared" si="26"/>
        <v>UM</v>
      </c>
      <c r="D77" s="184" t="str">
        <f t="shared" si="26"/>
        <v>13-14</v>
      </c>
      <c r="E77" s="185">
        <f t="shared" si="26"/>
        <v>40595</v>
      </c>
      <c r="F77" s="186" t="str">
        <f t="shared" si="26"/>
        <v>Lennart Hafsmo Vitsø</v>
      </c>
      <c r="G77" s="187">
        <f t="shared" si="26"/>
        <v>56</v>
      </c>
      <c r="H77" s="187">
        <f t="shared" si="26"/>
        <v>73</v>
      </c>
      <c r="I77" s="188">
        <f t="shared" si="26"/>
        <v>7.59</v>
      </c>
      <c r="J77" s="188">
        <f t="shared" si="26"/>
        <v>9.8000000000000007</v>
      </c>
      <c r="K77" s="188">
        <f t="shared" si="26"/>
        <v>6.8</v>
      </c>
      <c r="L77" s="188">
        <f t="shared" si="26"/>
        <v>630.76387740458176</v>
      </c>
      <c r="P77" s="278"/>
      <c r="Q77" t="str">
        <f>'Pulje 6'!J17</f>
        <v>AK Bjørgvin</v>
      </c>
      <c r="R77" s="197">
        <f>'Pulje 6'!D17</f>
        <v>60.49</v>
      </c>
      <c r="S77" s="198" t="str">
        <f>'Pulje 6'!E17</f>
        <v>UK</v>
      </c>
      <c r="T77" s="199" t="str">
        <f>'Pulje 6'!F17</f>
        <v>15-16</v>
      </c>
      <c r="U77" s="200">
        <f>'Pulje 6'!G17</f>
        <v>40263</v>
      </c>
      <c r="V77" s="201" t="str">
        <f>'Pulje 6'!I17</f>
        <v>Sandra Viktoria N. Amundsen</v>
      </c>
      <c r="W77" s="201">
        <f>'Pulje 6'!Q17</f>
        <v>73</v>
      </c>
      <c r="X77" s="202">
        <f>'Pulje 6'!R17</f>
        <v>89</v>
      </c>
      <c r="Y77" s="203">
        <f>'Pulje 6'!V17</f>
        <v>5.86</v>
      </c>
      <c r="Z77" s="203">
        <f>'Pulje 6'!W17</f>
        <v>8.9</v>
      </c>
      <c r="AA77" s="203">
        <f>'Pulje 6'!X17</f>
        <v>7.6</v>
      </c>
      <c r="AB77" s="203">
        <f>'Pulje 6'!Z18</f>
        <v>611.05637933801313</v>
      </c>
    </row>
    <row r="78" spans="1:41" ht="16.5" customHeight="1">
      <c r="A78" s="176"/>
      <c r="B78" s="184">
        <f t="shared" ref="B78:L78" si="27">R52</f>
        <v>52.96</v>
      </c>
      <c r="C78" s="184" t="str">
        <f t="shared" si="27"/>
        <v>UM</v>
      </c>
      <c r="D78" s="184" t="str">
        <f t="shared" si="27"/>
        <v>17-18</v>
      </c>
      <c r="E78" s="185">
        <f t="shared" si="27"/>
        <v>39674</v>
      </c>
      <c r="F78" s="186" t="str">
        <f t="shared" si="27"/>
        <v>Roland Siska</v>
      </c>
      <c r="G78" s="187">
        <f t="shared" si="27"/>
        <v>59</v>
      </c>
      <c r="H78" s="187">
        <f t="shared" si="27"/>
        <v>77</v>
      </c>
      <c r="I78" s="188">
        <f t="shared" si="27"/>
        <v>8.34</v>
      </c>
      <c r="J78" s="188">
        <f t="shared" si="27"/>
        <v>8.93</v>
      </c>
      <c r="K78" s="188">
        <f t="shared" si="27"/>
        <v>6.2</v>
      </c>
      <c r="L78" s="188">
        <f t="shared" si="27"/>
        <v>746.6942380196698</v>
      </c>
      <c r="P78" s="278"/>
      <c r="R78" s="197"/>
      <c r="S78" s="198"/>
      <c r="T78" s="199"/>
      <c r="U78" s="200"/>
      <c r="V78" s="201"/>
      <c r="W78" s="201"/>
      <c r="X78" s="202"/>
      <c r="Y78" s="203"/>
      <c r="Z78" s="203"/>
      <c r="AA78" s="203"/>
      <c r="AB78" s="203"/>
    </row>
    <row r="79" spans="1:41" ht="16.5" customHeight="1">
      <c r="A79" s="176"/>
      <c r="P79" s="278"/>
      <c r="R79" s="197"/>
      <c r="S79" s="198"/>
      <c r="T79" s="199"/>
      <c r="U79" s="200"/>
      <c r="V79" s="201"/>
      <c r="W79" s="201"/>
      <c r="X79" s="202"/>
      <c r="Y79" s="203"/>
      <c r="Z79" s="203"/>
      <c r="AA79" s="203"/>
      <c r="AB79" s="203"/>
    </row>
    <row r="80" spans="1:41" ht="16.5" customHeight="1">
      <c r="A80" s="176"/>
      <c r="B80" s="177"/>
      <c r="C80" s="177"/>
      <c r="D80" s="177"/>
      <c r="E80" s="178"/>
      <c r="F80" s="179"/>
      <c r="G80" s="180"/>
      <c r="H80" s="180"/>
      <c r="I80" s="181"/>
      <c r="J80" s="181"/>
      <c r="K80" s="181"/>
      <c r="L80" s="181"/>
      <c r="P80" s="278"/>
      <c r="R80" s="197"/>
      <c r="S80" s="198"/>
      <c r="T80" s="199"/>
      <c r="U80" s="200"/>
      <c r="V80" s="201"/>
      <c r="W80" s="201"/>
      <c r="X80" s="202"/>
      <c r="Y80" s="203"/>
      <c r="Z80" s="203"/>
      <c r="AA80" s="203"/>
      <c r="AB80" s="203"/>
    </row>
    <row r="81" spans="1:28" ht="16.5" customHeight="1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P81" s="278"/>
      <c r="R81" s="197"/>
      <c r="S81" s="198"/>
      <c r="T81" s="199"/>
      <c r="U81" s="200"/>
      <c r="V81" s="201"/>
      <c r="W81" s="201"/>
      <c r="X81" s="202"/>
      <c r="Y81" s="203"/>
      <c r="Z81" s="203"/>
      <c r="AA81" s="203"/>
      <c r="AB81" s="203"/>
    </row>
    <row r="82" spans="1:28" ht="16.5" customHeight="1">
      <c r="A82" s="194">
        <v>4</v>
      </c>
      <c r="B82" s="287" t="s">
        <v>65</v>
      </c>
      <c r="C82" s="287"/>
      <c r="D82" s="287"/>
      <c r="E82" s="287"/>
      <c r="F82" s="287"/>
      <c r="G82" s="195"/>
      <c r="H82" s="195"/>
      <c r="I82" s="195"/>
      <c r="J82" s="195"/>
      <c r="K82" s="195"/>
      <c r="L82" s="196">
        <f>IF(COUNT(L83:L85)=4,SUM(L83:L85)-MIN(L83:L85),SUM(L83:L85))</f>
        <v>1167.9311212600032</v>
      </c>
      <c r="P82" s="278"/>
      <c r="R82" s="197"/>
      <c r="S82" s="198"/>
      <c r="T82" s="199"/>
      <c r="U82" s="200"/>
      <c r="V82" s="201"/>
      <c r="W82" s="201"/>
      <c r="X82" s="202"/>
      <c r="Y82" s="203"/>
      <c r="Z82" s="203"/>
      <c r="AA82" s="203"/>
      <c r="AB82" s="203"/>
    </row>
    <row r="83" spans="1:28" ht="16.5" customHeight="1">
      <c r="A83" s="176"/>
      <c r="B83" s="184">
        <f t="shared" ref="B83:L83" si="28">R20</f>
        <v>57.32</v>
      </c>
      <c r="C83" s="184" t="str">
        <f t="shared" si="28"/>
        <v>UM</v>
      </c>
      <c r="D83" s="184" t="str">
        <f t="shared" si="28"/>
        <v>13-14</v>
      </c>
      <c r="E83" s="185">
        <f t="shared" si="28"/>
        <v>41110</v>
      </c>
      <c r="F83" s="186" t="str">
        <f t="shared" si="28"/>
        <v>Naser Mohammed</v>
      </c>
      <c r="G83" s="187">
        <f t="shared" si="28"/>
        <v>37</v>
      </c>
      <c r="H83" s="187">
        <f t="shared" si="28"/>
        <v>45</v>
      </c>
      <c r="I83" s="188">
        <f t="shared" si="28"/>
        <v>6.67</v>
      </c>
      <c r="J83" s="188">
        <f t="shared" si="28"/>
        <v>7.36</v>
      </c>
      <c r="K83" s="188">
        <f t="shared" si="28"/>
        <v>7.5</v>
      </c>
      <c r="L83" s="188">
        <f t="shared" si="28"/>
        <v>507.23948507734229</v>
      </c>
      <c r="P83" s="278"/>
      <c r="R83" s="197"/>
      <c r="S83" s="198"/>
      <c r="T83" s="199"/>
      <c r="U83" s="200"/>
      <c r="V83" s="201"/>
      <c r="W83" s="201"/>
      <c r="X83" s="202"/>
      <c r="Y83" s="203"/>
      <c r="Z83" s="203"/>
      <c r="AA83" s="203"/>
      <c r="AB83" s="203"/>
    </row>
    <row r="84" spans="1:28" ht="16.5" customHeight="1">
      <c r="A84" s="176"/>
      <c r="B84" s="184">
        <f t="shared" ref="B84:L84" si="29">R37</f>
        <v>85.06</v>
      </c>
      <c r="C84" s="184" t="str">
        <f t="shared" si="29"/>
        <v>UM</v>
      </c>
      <c r="D84" s="184" t="str">
        <f t="shared" si="29"/>
        <v>15-16</v>
      </c>
      <c r="E84" s="185">
        <f t="shared" si="29"/>
        <v>40296</v>
      </c>
      <c r="F84" s="186" t="str">
        <f t="shared" si="29"/>
        <v>Sondre Elias Fredriksen</v>
      </c>
      <c r="G84" s="187">
        <f t="shared" si="29"/>
        <v>82</v>
      </c>
      <c r="H84" s="187">
        <f t="shared" si="29"/>
        <v>103</v>
      </c>
      <c r="I84" s="188">
        <f t="shared" si="29"/>
        <v>7.4</v>
      </c>
      <c r="J84" s="188">
        <f t="shared" si="29"/>
        <v>9.8800000000000008</v>
      </c>
      <c r="K84" s="188">
        <f t="shared" si="29"/>
        <v>7.1</v>
      </c>
      <c r="L84" s="188">
        <f t="shared" si="29"/>
        <v>660.691636182661</v>
      </c>
      <c r="P84" s="279"/>
      <c r="R84" s="197"/>
      <c r="S84" s="198"/>
      <c r="T84" s="199"/>
      <c r="U84" s="200"/>
      <c r="V84" s="201"/>
      <c r="W84" s="201"/>
      <c r="X84" s="202"/>
      <c r="Y84" s="203"/>
      <c r="Z84" s="203"/>
      <c r="AA84" s="203"/>
      <c r="AB84" s="203"/>
    </row>
    <row r="85" spans="1:28" ht="16.5" customHeight="1">
      <c r="A85" s="176"/>
      <c r="B85" s="184"/>
      <c r="C85" s="184"/>
      <c r="D85" s="184"/>
      <c r="E85" s="185"/>
      <c r="F85" s="186"/>
      <c r="G85" s="187"/>
      <c r="H85" s="187"/>
      <c r="I85" s="188"/>
      <c r="J85" s="188"/>
      <c r="K85" s="188"/>
      <c r="L85" s="188"/>
      <c r="R85" s="204"/>
      <c r="S85" s="204"/>
      <c r="T85" s="201"/>
      <c r="U85" s="201"/>
      <c r="V85" s="201"/>
      <c r="W85" s="201"/>
      <c r="X85" s="201"/>
      <c r="Y85" s="201"/>
      <c r="Z85" s="201"/>
      <c r="AA85" s="201"/>
      <c r="AB85" s="201"/>
    </row>
    <row r="86" spans="1:28" ht="16.5" customHeight="1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R86" s="204"/>
      <c r="S86" s="204"/>
      <c r="T86" s="201"/>
      <c r="U86" s="201"/>
      <c r="V86" s="201"/>
      <c r="W86" s="201"/>
      <c r="X86" s="201"/>
      <c r="Y86" s="201"/>
      <c r="Z86" s="201"/>
      <c r="AA86" s="201"/>
      <c r="AB86" s="201"/>
    </row>
    <row r="87" spans="1:28" ht="16.5" customHeight="1">
      <c r="A87" s="194">
        <v>2</v>
      </c>
      <c r="B87" s="287" t="s">
        <v>276</v>
      </c>
      <c r="C87" s="287"/>
      <c r="D87" s="287"/>
      <c r="E87" s="287"/>
      <c r="F87" s="287"/>
      <c r="G87" s="195"/>
      <c r="H87" s="195"/>
      <c r="I87" s="195"/>
      <c r="J87" s="195"/>
      <c r="K87" s="195"/>
      <c r="L87" s="196">
        <f>IF(COUNT(L88:L91)=4,SUM(L88:L91)-MIN(L88:L91),SUM(L88:L91))</f>
        <v>1969.204536236273</v>
      </c>
      <c r="P87" s="277" t="s">
        <v>267</v>
      </c>
      <c r="R87" s="197"/>
      <c r="S87" s="198"/>
      <c r="T87" s="199"/>
      <c r="U87" s="200"/>
      <c r="V87" s="201"/>
      <c r="W87" s="201"/>
      <c r="X87" s="202"/>
      <c r="Y87" s="203"/>
      <c r="Z87" s="203"/>
      <c r="AA87" s="203"/>
      <c r="AB87" s="203"/>
    </row>
    <row r="88" spans="1:28" ht="16.5" customHeight="1">
      <c r="A88" s="176"/>
      <c r="B88" s="184">
        <f t="shared" ref="B88:L88" si="30">R31</f>
        <v>68.16</v>
      </c>
      <c r="C88" s="184" t="str">
        <f t="shared" si="30"/>
        <v>UM</v>
      </c>
      <c r="D88" s="184" t="str">
        <f t="shared" si="30"/>
        <v>15-16</v>
      </c>
      <c r="E88" s="185">
        <f t="shared" si="30"/>
        <v>40390</v>
      </c>
      <c r="F88" s="186" t="str">
        <f t="shared" si="30"/>
        <v>Jørgen Bysveen</v>
      </c>
      <c r="G88" s="187">
        <f t="shared" si="30"/>
        <v>90</v>
      </c>
      <c r="H88" s="187">
        <f t="shared" si="30"/>
        <v>117</v>
      </c>
      <c r="I88" s="188">
        <f t="shared" si="30"/>
        <v>8.26</v>
      </c>
      <c r="J88" s="188">
        <f t="shared" si="30"/>
        <v>11.31</v>
      </c>
      <c r="K88" s="188">
        <f t="shared" si="30"/>
        <v>6.6</v>
      </c>
      <c r="L88" s="188">
        <f t="shared" si="30"/>
        <v>810.16166535991238</v>
      </c>
      <c r="P88" s="278"/>
      <c r="Q88" t="str">
        <f>'Pulje 7'!J11</f>
        <v>Spydeberg Atletene</v>
      </c>
      <c r="R88" s="197">
        <f>'Pulje 7'!D11</f>
        <v>92.13</v>
      </c>
      <c r="S88" s="198" t="str">
        <f>'Pulje 7'!E11</f>
        <v>SM</v>
      </c>
      <c r="T88" s="199" t="str">
        <f>'Pulje 7'!F11</f>
        <v>24-34</v>
      </c>
      <c r="U88" s="200">
        <f>'Pulje 7'!G11</f>
        <v>37155</v>
      </c>
      <c r="V88" s="201" t="str">
        <f>'Pulje 7'!I11</f>
        <v>Julius Ellertsson</v>
      </c>
      <c r="W88" s="201">
        <f>'Pulje 7'!Q11</f>
        <v>122</v>
      </c>
      <c r="X88" s="202">
        <f>'Pulje 7'!R11</f>
        <v>150</v>
      </c>
      <c r="Y88" s="203">
        <f>'Pulje 7'!V11</f>
        <v>8.2200000000000006</v>
      </c>
      <c r="Z88" s="203">
        <f>'Pulje 7'!W11</f>
        <v>10.44</v>
      </c>
      <c r="AA88" s="203">
        <f>'Pulje 7'!X11</f>
        <v>6.1</v>
      </c>
      <c r="AB88" s="203">
        <f>'Pulje 7'!Z12</f>
        <v>832.62281940657158</v>
      </c>
    </row>
    <row r="89" spans="1:28" ht="16.5" customHeight="1">
      <c r="A89" s="176"/>
      <c r="B89" s="184">
        <f t="shared" ref="B89:L89" si="31">R33</f>
        <v>101.87</v>
      </c>
      <c r="C89" s="184" t="str">
        <f t="shared" si="31"/>
        <v>UM</v>
      </c>
      <c r="D89" s="184" t="str">
        <f t="shared" si="31"/>
        <v>15-16</v>
      </c>
      <c r="E89" s="185">
        <f t="shared" si="31"/>
        <v>40296</v>
      </c>
      <c r="F89" s="186" t="str">
        <f t="shared" si="31"/>
        <v>Benjamin Tmava</v>
      </c>
      <c r="G89" s="187">
        <f t="shared" si="31"/>
        <v>57</v>
      </c>
      <c r="H89" s="187">
        <f t="shared" si="31"/>
        <v>81</v>
      </c>
      <c r="I89" s="188">
        <f t="shared" si="31"/>
        <v>5.82</v>
      </c>
      <c r="J89" s="188">
        <f t="shared" si="31"/>
        <v>9.5500000000000007</v>
      </c>
      <c r="K89" s="188">
        <f t="shared" si="31"/>
        <v>8</v>
      </c>
      <c r="L89" s="188">
        <f t="shared" si="31"/>
        <v>493.57942311960323</v>
      </c>
      <c r="P89" s="278"/>
      <c r="Q89" t="str">
        <f>'Pulje 7'!J13</f>
        <v>AK Bjørgvin</v>
      </c>
      <c r="R89" s="197">
        <f>'Pulje 7'!D13</f>
        <v>87.42</v>
      </c>
      <c r="S89" s="198" t="str">
        <f>'Pulje 7'!E13</f>
        <v>SM</v>
      </c>
      <c r="T89" s="199" t="str">
        <f>'Pulje 7'!F13</f>
        <v>24-34</v>
      </c>
      <c r="U89" s="200">
        <f>'Pulje 7'!G13</f>
        <v>36748</v>
      </c>
      <c r="V89" s="201" t="str">
        <f>'Pulje 7'!I13</f>
        <v>Bent André Midtbø</v>
      </c>
      <c r="W89" s="201">
        <f>'Pulje 7'!Q13</f>
        <v>95</v>
      </c>
      <c r="X89" s="202">
        <f>'Pulje 7'!R13</f>
        <v>136</v>
      </c>
      <c r="Y89" s="203">
        <f>'Pulje 7'!V13</f>
        <v>9.2799999999999994</v>
      </c>
      <c r="Z89" s="203">
        <f>'Pulje 7'!W13</f>
        <v>15.08</v>
      </c>
      <c r="AA89" s="203">
        <f>'Pulje 7'!X13</f>
        <v>6.2</v>
      </c>
      <c r="AB89" s="203">
        <f>'Pulje 7'!Z14</f>
        <v>859.54845005862956</v>
      </c>
    </row>
    <row r="90" spans="1:28" ht="16.5" customHeight="1">
      <c r="A90" s="176"/>
      <c r="B90" s="184">
        <f t="shared" ref="B90:L90" si="32">R35</f>
        <v>59.08</v>
      </c>
      <c r="C90" s="184" t="str">
        <f t="shared" si="32"/>
        <v>UM</v>
      </c>
      <c r="D90" s="184" t="str">
        <f t="shared" si="32"/>
        <v>15-16</v>
      </c>
      <c r="E90" s="185">
        <f t="shared" si="32"/>
        <v>40404</v>
      </c>
      <c r="F90" s="186" t="str">
        <f t="shared" si="32"/>
        <v>Marius Lunde Karagiannis</v>
      </c>
      <c r="G90" s="187">
        <f t="shared" si="32"/>
        <v>63</v>
      </c>
      <c r="H90" s="187">
        <f t="shared" si="32"/>
        <v>80</v>
      </c>
      <c r="I90" s="188">
        <f t="shared" si="32"/>
        <v>7.86</v>
      </c>
      <c r="J90" s="188">
        <f t="shared" si="32"/>
        <v>7.79</v>
      </c>
      <c r="K90" s="188">
        <f t="shared" si="32"/>
        <v>7</v>
      </c>
      <c r="L90" s="188">
        <f t="shared" si="32"/>
        <v>665.46344775675743</v>
      </c>
      <c r="P90" s="278"/>
      <c r="Q90" t="str">
        <f>'Pulje 7'!J15</f>
        <v>Grenland AK</v>
      </c>
      <c r="R90" s="197">
        <f>'Pulje 7'!D15</f>
        <v>98.04</v>
      </c>
      <c r="S90" s="198" t="str">
        <f>'Pulje 7'!E15</f>
        <v>SM</v>
      </c>
      <c r="T90" s="199" t="str">
        <f>'Pulje 7'!F15</f>
        <v>24-34</v>
      </c>
      <c r="U90" s="200">
        <f>'Pulje 7'!G15</f>
        <v>35344</v>
      </c>
      <c r="V90" s="201" t="str">
        <f>'Pulje 7'!I15</f>
        <v>Daniel Rønquist Erichsen</v>
      </c>
      <c r="W90" s="201">
        <f>'Pulje 7'!Q15</f>
        <v>127</v>
      </c>
      <c r="X90" s="202">
        <f>'Pulje 7'!R15</f>
        <v>160</v>
      </c>
      <c r="Y90" s="203">
        <f>'Pulje 7'!V15</f>
        <v>9.2100000000000009</v>
      </c>
      <c r="Z90" s="203">
        <f>'Pulje 7'!W15</f>
        <v>13.98</v>
      </c>
      <c r="AA90" s="203">
        <f>'Pulje 7'!X15</f>
        <v>6.2</v>
      </c>
      <c r="AB90" s="203">
        <f>'Pulje 7'!Z16</f>
        <v>896.14592579201053</v>
      </c>
    </row>
    <row r="91" spans="1:28" ht="16.5" customHeight="1">
      <c r="A91" s="176"/>
      <c r="B91" s="184"/>
      <c r="C91" s="184"/>
      <c r="D91" s="184"/>
      <c r="E91" s="185"/>
      <c r="F91" s="186"/>
      <c r="G91" s="187"/>
      <c r="H91" s="187"/>
      <c r="I91" s="188"/>
      <c r="J91" s="188"/>
      <c r="K91" s="188"/>
      <c r="L91" s="188"/>
      <c r="P91" s="278"/>
      <c r="Q91" t="str">
        <f>'Pulje 7'!J17</f>
        <v>AK Bjørgvin</v>
      </c>
      <c r="R91" s="197">
        <f>'Pulje 7'!D17</f>
        <v>124.11</v>
      </c>
      <c r="S91" s="198" t="str">
        <f>'Pulje 7'!E17</f>
        <v>SM</v>
      </c>
      <c r="T91" s="199" t="str">
        <f>'Pulje 7'!F17</f>
        <v>24-34</v>
      </c>
      <c r="U91" s="200">
        <f>'Pulje 7'!G17</f>
        <v>37123</v>
      </c>
      <c r="V91" s="201" t="str">
        <f>'Pulje 7'!I17</f>
        <v>Arnes Hrnjic</v>
      </c>
      <c r="W91" s="201">
        <f>'Pulje 7'!Q17</f>
        <v>115</v>
      </c>
      <c r="X91" s="202">
        <f>'Pulje 7'!R17</f>
        <v>150</v>
      </c>
      <c r="Y91" s="203">
        <f>'Pulje 7'!V17</f>
        <v>14.08</v>
      </c>
      <c r="Z91" s="203">
        <f>'Pulje 7'!W17</f>
        <v>7.72</v>
      </c>
      <c r="AA91" s="203">
        <f>'Pulje 7'!X17</f>
        <v>10.6</v>
      </c>
      <c r="AB91" s="203">
        <f>'Pulje 7'!Z18</f>
        <v>702.10606243446534</v>
      </c>
    </row>
    <row r="92" spans="1:28" ht="16.5" customHeight="1">
      <c r="A92" s="176"/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P92" s="278"/>
      <c r="R92" s="197"/>
      <c r="S92" s="198"/>
      <c r="T92" s="199"/>
      <c r="U92" s="200"/>
      <c r="V92" s="201"/>
      <c r="W92" s="201"/>
      <c r="X92" s="202"/>
      <c r="Y92" s="203"/>
      <c r="Z92" s="203"/>
      <c r="AA92" s="203"/>
      <c r="AB92" s="203"/>
    </row>
    <row r="93" spans="1:28" ht="16.5" customHeight="1">
      <c r="A93" s="194">
        <v>3</v>
      </c>
      <c r="B93" s="287" t="s">
        <v>277</v>
      </c>
      <c r="C93" s="287"/>
      <c r="D93" s="287"/>
      <c r="E93" s="287"/>
      <c r="F93" s="287"/>
      <c r="G93" s="195"/>
      <c r="H93" s="195"/>
      <c r="I93" s="195"/>
      <c r="J93" s="195"/>
      <c r="K93" s="195"/>
      <c r="L93" s="196">
        <f>IF(COUNT(L94:L97)=4,SUM(L94:L97)-MIN(L94:L97),SUM(L94:L97))</f>
        <v>1430.9017095304998</v>
      </c>
      <c r="P93" s="278"/>
      <c r="Q93" t="str">
        <f>'Pulje 7'!J21</f>
        <v>Larvik AK</v>
      </c>
      <c r="R93" s="197">
        <f>'Pulje 7'!D21</f>
        <v>89.61</v>
      </c>
      <c r="S93" s="198" t="str">
        <f>'Pulje 7'!E21</f>
        <v>M65</v>
      </c>
      <c r="T93" s="199" t="str">
        <f>'Pulje 7'!F21</f>
        <v>+35</v>
      </c>
      <c r="U93" s="200">
        <f>'Pulje 7'!G21</f>
        <v>25848</v>
      </c>
      <c r="V93" s="201" t="str">
        <f>'Pulje 7'!I21</f>
        <v>Marcus Lundqvist</v>
      </c>
      <c r="W93" s="201">
        <f>'Pulje 7'!Q21</f>
        <v>62</v>
      </c>
      <c r="X93" s="202">
        <f>'Pulje 7'!R21</f>
        <v>78</v>
      </c>
      <c r="Y93" s="203">
        <f>'Pulje 7'!V21</f>
        <v>7.37</v>
      </c>
      <c r="Z93" s="203">
        <f>'Pulje 7'!W21</f>
        <v>8.14</v>
      </c>
      <c r="AA93" s="203">
        <f>'Pulje 7'!X21</f>
        <v>6.4</v>
      </c>
      <c r="AB93" s="203">
        <f>'Pulje 7'!Z22</f>
        <v>819.738809131842</v>
      </c>
    </row>
    <row r="94" spans="1:28" ht="16.5" customHeight="1">
      <c r="A94" s="176"/>
      <c r="B94" s="184">
        <f t="shared" ref="B94:L94" si="33">R32</f>
        <v>0</v>
      </c>
      <c r="C94" s="184">
        <f t="shared" si="33"/>
        <v>0</v>
      </c>
      <c r="D94" s="184">
        <f t="shared" si="33"/>
        <v>0</v>
      </c>
      <c r="E94" s="185">
        <f t="shared" si="33"/>
        <v>0</v>
      </c>
      <c r="F94" s="186">
        <f t="shared" si="33"/>
        <v>0</v>
      </c>
      <c r="G94" s="187">
        <f t="shared" si="33"/>
        <v>0</v>
      </c>
      <c r="H94" s="187">
        <f t="shared" si="33"/>
        <v>0</v>
      </c>
      <c r="I94" s="188">
        <f t="shared" si="33"/>
        <v>0</v>
      </c>
      <c r="J94" s="188">
        <f t="shared" si="33"/>
        <v>0</v>
      </c>
      <c r="K94" s="188">
        <f t="shared" si="33"/>
        <v>0</v>
      </c>
      <c r="L94" s="188">
        <f t="shared" si="33"/>
        <v>0</v>
      </c>
      <c r="P94" s="278"/>
      <c r="Q94" t="str">
        <f>'Pulje 7'!J23</f>
        <v>T&amp;IL National</v>
      </c>
      <c r="R94" s="197">
        <f>'Pulje 7'!D23</f>
        <v>112.14</v>
      </c>
      <c r="S94" s="198" t="str">
        <f>'Pulje 7'!E23</f>
        <v>M40</v>
      </c>
      <c r="T94" s="199" t="str">
        <f>'Pulje 7'!F23</f>
        <v>+35</v>
      </c>
      <c r="U94" s="200">
        <f>'Pulje 7'!G23</f>
        <v>31934</v>
      </c>
      <c r="V94" s="201" t="str">
        <f>'Pulje 7'!I23</f>
        <v>John Anders Terland</v>
      </c>
      <c r="W94" s="201">
        <f>'Pulje 7'!Q23</f>
        <v>108</v>
      </c>
      <c r="X94" s="202">
        <f>'Pulje 7'!R23</f>
        <v>126</v>
      </c>
      <c r="Y94" s="203">
        <f>'Pulje 7'!V23</f>
        <v>8.1300000000000008</v>
      </c>
      <c r="Z94" s="203">
        <f>'Pulje 7'!W23</f>
        <v>13.8</v>
      </c>
      <c r="AA94" s="203">
        <f>'Pulje 7'!X23</f>
        <v>6.8</v>
      </c>
      <c r="AB94" s="203">
        <f>'Pulje 7'!Z24</f>
        <v>832.30057169329507</v>
      </c>
    </row>
    <row r="95" spans="1:28" ht="16.5" customHeight="1">
      <c r="A95" s="176"/>
      <c r="B95" s="184">
        <f t="shared" ref="B95:L95" si="34">R36</f>
        <v>75.52</v>
      </c>
      <c r="C95" s="184" t="str">
        <f t="shared" si="34"/>
        <v>UM</v>
      </c>
      <c r="D95" s="184" t="str">
        <f t="shared" si="34"/>
        <v>15-16</v>
      </c>
      <c r="E95" s="185">
        <f t="shared" si="34"/>
        <v>40263</v>
      </c>
      <c r="F95" s="186" t="str">
        <f t="shared" si="34"/>
        <v>Lyder Slagstad Aamot</v>
      </c>
      <c r="G95" s="187">
        <f t="shared" si="34"/>
        <v>73</v>
      </c>
      <c r="H95" s="187">
        <f t="shared" si="34"/>
        <v>90</v>
      </c>
      <c r="I95" s="188">
        <f t="shared" si="34"/>
        <v>8.2799999999999994</v>
      </c>
      <c r="J95" s="188">
        <f t="shared" si="34"/>
        <v>10.86</v>
      </c>
      <c r="K95" s="188">
        <f t="shared" si="34"/>
        <v>6.8</v>
      </c>
      <c r="L95" s="188">
        <f t="shared" si="34"/>
        <v>695.37507860752908</v>
      </c>
      <c r="P95" s="278"/>
      <c r="Q95" t="str">
        <f>'Pulje 7'!J25</f>
        <v>Stavanger AK</v>
      </c>
      <c r="R95" s="197">
        <f>'Pulje 7'!D25</f>
        <v>83.15</v>
      </c>
      <c r="S95" s="198" t="str">
        <f>'Pulje 7'!E25</f>
        <v>M50</v>
      </c>
      <c r="T95" s="199" t="str">
        <f>'Pulje 7'!F25</f>
        <v>+35</v>
      </c>
      <c r="U95" s="200">
        <f>'Pulje 7'!G25</f>
        <v>28941</v>
      </c>
      <c r="V95" s="201" t="str">
        <f>'Pulje 7'!I25</f>
        <v>Yngve Sundt</v>
      </c>
      <c r="W95" s="201">
        <f>'Pulje 7'!Q25</f>
        <v>70</v>
      </c>
      <c r="X95" s="202">
        <f>'Pulje 7'!R25</f>
        <v>100</v>
      </c>
      <c r="Y95" s="203">
        <f>'Pulje 7'!V25</f>
        <v>7.52</v>
      </c>
      <c r="Z95" s="203">
        <f>'Pulje 7'!W25</f>
        <v>9.49</v>
      </c>
      <c r="AA95" s="203">
        <f>'Pulje 7'!X25</f>
        <v>6.8</v>
      </c>
      <c r="AB95" s="203">
        <f>'Pulje 7'!Z26</f>
        <v>794.66101637903103</v>
      </c>
    </row>
    <row r="96" spans="1:28" ht="16.5" customHeight="1">
      <c r="A96" s="176"/>
      <c r="B96" s="184">
        <f t="shared" ref="B96:L96" si="35">R45</f>
        <v>0</v>
      </c>
      <c r="C96" s="184">
        <f t="shared" si="35"/>
        <v>0</v>
      </c>
      <c r="D96" s="184">
        <f t="shared" si="35"/>
        <v>0</v>
      </c>
      <c r="E96" s="185">
        <f t="shared" si="35"/>
        <v>0</v>
      </c>
      <c r="F96" s="186">
        <f t="shared" si="35"/>
        <v>0</v>
      </c>
      <c r="G96" s="187">
        <f t="shared" si="35"/>
        <v>0</v>
      </c>
      <c r="H96" s="187">
        <f t="shared" si="35"/>
        <v>0</v>
      </c>
      <c r="I96" s="188">
        <f t="shared" si="35"/>
        <v>0</v>
      </c>
      <c r="J96" s="188">
        <f t="shared" si="35"/>
        <v>0</v>
      </c>
      <c r="K96" s="188">
        <f t="shared" si="35"/>
        <v>0</v>
      </c>
      <c r="L96" s="188">
        <f t="shared" si="35"/>
        <v>0</v>
      </c>
      <c r="P96" s="278"/>
      <c r="R96" s="197"/>
      <c r="S96" s="198"/>
      <c r="T96" s="199"/>
      <c r="U96" s="200"/>
      <c r="V96" s="201"/>
      <c r="W96" s="201"/>
      <c r="X96" s="202"/>
      <c r="Y96" s="203"/>
      <c r="Z96" s="203"/>
      <c r="AA96" s="203"/>
      <c r="AB96" s="203"/>
    </row>
    <row r="97" spans="1:28" ht="16.5" customHeight="1">
      <c r="A97" s="176"/>
      <c r="B97" s="184">
        <f t="shared" ref="B97:L97" si="36">R49</f>
        <v>68.489999999999995</v>
      </c>
      <c r="C97" s="184" t="str">
        <f t="shared" si="36"/>
        <v>UM</v>
      </c>
      <c r="D97" s="184" t="str">
        <f t="shared" si="36"/>
        <v>17-18</v>
      </c>
      <c r="E97" s="185">
        <f t="shared" si="36"/>
        <v>39342</v>
      </c>
      <c r="F97" s="186" t="str">
        <f t="shared" si="36"/>
        <v>Erik Orasmäe</v>
      </c>
      <c r="G97" s="187">
        <f t="shared" si="36"/>
        <v>82</v>
      </c>
      <c r="H97" s="187">
        <f t="shared" si="36"/>
        <v>95</v>
      </c>
      <c r="I97" s="188">
        <f t="shared" si="36"/>
        <v>8.24</v>
      </c>
      <c r="J97" s="188">
        <f t="shared" si="36"/>
        <v>10.59</v>
      </c>
      <c r="K97" s="188">
        <f t="shared" si="36"/>
        <v>6.9</v>
      </c>
      <c r="L97" s="188">
        <f t="shared" si="36"/>
        <v>735.52663092297064</v>
      </c>
      <c r="P97" s="278"/>
      <c r="Q97" t="str">
        <f>'Pulje 7'!J29</f>
        <v>Spydeberg Atletene</v>
      </c>
      <c r="R97" s="197">
        <f>'Pulje 7'!D29</f>
        <v>95.29</v>
      </c>
      <c r="S97" s="198" t="str">
        <f>'Pulje 7'!E29</f>
        <v>M75</v>
      </c>
      <c r="T97" s="199" t="str">
        <f>'Pulje 7'!F29</f>
        <v>+35</v>
      </c>
      <c r="U97" s="200">
        <f>'Pulje 7'!G29</f>
        <v>19656</v>
      </c>
      <c r="V97" s="201" t="str">
        <f>'Pulje 7'!I29</f>
        <v>Johan Thonerud</v>
      </c>
      <c r="W97" s="201">
        <f>'Pulje 7'!Q29</f>
        <v>51</v>
      </c>
      <c r="X97" s="202">
        <f>'Pulje 7'!R29</f>
        <v>67</v>
      </c>
      <c r="Y97" s="203">
        <f>'Pulje 7'!V29</f>
        <v>0</v>
      </c>
      <c r="Z97" s="203">
        <f>'Pulje 7'!W29</f>
        <v>0</v>
      </c>
      <c r="AA97" s="203">
        <f>'Pulje 7'!X29</f>
        <v>0</v>
      </c>
      <c r="AB97" s="203" t="e">
        <f>'Pulje 7'!Z30</f>
        <v>#VALUE!</v>
      </c>
    </row>
    <row r="98" spans="1:28" ht="16.5" customHeight="1">
      <c r="A98" s="176"/>
      <c r="B98" s="177"/>
      <c r="C98" s="177"/>
      <c r="D98" s="177"/>
      <c r="E98" s="178"/>
      <c r="F98" s="179"/>
      <c r="G98" s="180"/>
      <c r="H98" s="180"/>
      <c r="I98" s="181"/>
      <c r="J98" s="181"/>
      <c r="K98" s="181"/>
      <c r="L98" s="182"/>
      <c r="P98" s="279"/>
      <c r="Q98" t="str">
        <f>'Pulje 7'!J31</f>
        <v>Larvik AK</v>
      </c>
      <c r="R98" s="197">
        <f>'Pulje 7'!D31</f>
        <v>79.5</v>
      </c>
      <c r="S98" s="198" t="str">
        <f>'Pulje 7'!E31</f>
        <v>M65</v>
      </c>
      <c r="T98" s="199" t="str">
        <f>'Pulje 7'!F31</f>
        <v>+35</v>
      </c>
      <c r="U98" s="200">
        <f>'Pulje 7'!G31</f>
        <v>24128</v>
      </c>
      <c r="V98" s="201" t="str">
        <f>'Pulje 7'!I31</f>
        <v>Tom Danielsen</v>
      </c>
      <c r="W98" s="201">
        <f>'Pulje 7'!Q31</f>
        <v>75</v>
      </c>
      <c r="X98" s="202">
        <f>'Pulje 7'!R31</f>
        <v>93</v>
      </c>
      <c r="Y98" s="203">
        <f>'Pulje 7'!V31</f>
        <v>8.08</v>
      </c>
      <c r="Z98" s="203">
        <f>'Pulje 7'!W31</f>
        <v>10.79</v>
      </c>
      <c r="AA98" s="203">
        <f>'Pulje 7'!X31</f>
        <v>7.2</v>
      </c>
      <c r="AB98" s="203">
        <f>'Pulje 7'!Z32</f>
        <v>997.67691687141576</v>
      </c>
    </row>
    <row r="99" spans="1:28" ht="16.5" customHeight="1" thickBot="1">
      <c r="A99" s="280" t="s">
        <v>260</v>
      </c>
      <c r="B99" s="281"/>
      <c r="C99" s="281"/>
      <c r="D99" s="281"/>
      <c r="E99" s="281"/>
      <c r="F99" s="281"/>
      <c r="G99" s="281"/>
      <c r="H99" s="281"/>
      <c r="I99" s="281"/>
      <c r="J99" s="281"/>
      <c r="K99" s="281"/>
      <c r="L99" s="282"/>
      <c r="R99" s="204"/>
      <c r="S99" s="204"/>
      <c r="T99" s="201"/>
      <c r="U99" s="201"/>
      <c r="V99" s="201"/>
      <c r="W99" s="201"/>
      <c r="X99" s="201"/>
      <c r="Y99" s="201"/>
      <c r="Z99" s="201"/>
      <c r="AA99" s="201"/>
      <c r="AB99" s="201"/>
    </row>
    <row r="100" spans="1:28" ht="16.5" customHeight="1">
      <c r="A100" s="174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R100" s="204"/>
      <c r="S100" s="204"/>
      <c r="T100" s="201"/>
      <c r="U100" s="201"/>
      <c r="V100" s="201"/>
      <c r="W100" s="201"/>
      <c r="X100" s="201"/>
      <c r="Y100" s="201"/>
      <c r="Z100" s="201"/>
      <c r="AA100" s="201"/>
      <c r="AB100" s="201"/>
    </row>
    <row r="101" spans="1:28" ht="16.5" customHeight="1">
      <c r="A101" s="194"/>
      <c r="B101" s="287" t="s">
        <v>65</v>
      </c>
      <c r="C101" s="287"/>
      <c r="D101" s="287"/>
      <c r="E101" s="287"/>
      <c r="F101" s="287"/>
      <c r="G101" s="195"/>
      <c r="H101" s="195"/>
      <c r="I101" s="195"/>
      <c r="J101" s="195"/>
      <c r="K101" s="195"/>
      <c r="L101" s="196">
        <f>IF(COUNT(L102:L104)=4,SUM(L102:L104)-MIN(L102:L104),SUM(L102:L104))</f>
        <v>1257.6856132628334</v>
      </c>
      <c r="P101" s="277" t="s">
        <v>266</v>
      </c>
      <c r="Q101" t="str">
        <f>'Pulje 8'!J9</f>
        <v>Tysvær VK</v>
      </c>
      <c r="R101" s="197">
        <f>'Pulje 8'!D9</f>
        <v>63.99</v>
      </c>
      <c r="S101" s="198" t="str">
        <f>'Pulje 8'!E9</f>
        <v>JK</v>
      </c>
      <c r="T101" s="199" t="str">
        <f>'Pulje 8'!F9</f>
        <v>19-23</v>
      </c>
      <c r="U101" s="200">
        <f>'Pulje 8'!G9</f>
        <v>38515</v>
      </c>
      <c r="V101" s="201" t="str">
        <f>'Pulje 8'!I9</f>
        <v>Rina Tysse</v>
      </c>
      <c r="W101" s="201">
        <f>'Pulje 8'!Q9</f>
        <v>45</v>
      </c>
      <c r="X101" s="202">
        <f>'Pulje 8'!R9</f>
        <v>55</v>
      </c>
      <c r="Y101" s="203">
        <f>'Pulje 8'!V9</f>
        <v>5.13</v>
      </c>
      <c r="Z101" s="203">
        <f>'Pulje 8'!W9</f>
        <v>6.97</v>
      </c>
      <c r="AA101" s="203">
        <f>'Pulje 8'!X9</f>
        <v>8.4</v>
      </c>
      <c r="AB101" s="203">
        <f>'Pulje 8'!Z10</f>
        <v>425.05294109850092</v>
      </c>
    </row>
    <row r="102" spans="1:28" ht="16.5" customHeight="1">
      <c r="A102" s="176"/>
      <c r="B102" s="184">
        <f t="shared" ref="B102:L102" si="37">R4</f>
        <v>95.81</v>
      </c>
      <c r="C102" s="184" t="str">
        <f t="shared" si="37"/>
        <v>SM</v>
      </c>
      <c r="D102" s="184" t="str">
        <f t="shared" si="37"/>
        <v>19-23</v>
      </c>
      <c r="E102" s="185">
        <f t="shared" si="37"/>
        <v>38227</v>
      </c>
      <c r="F102" s="186" t="str">
        <f t="shared" si="37"/>
        <v>William Hjelde Stormoen</v>
      </c>
      <c r="G102" s="187">
        <f t="shared" si="37"/>
        <v>102</v>
      </c>
      <c r="H102" s="187">
        <f t="shared" si="37"/>
        <v>115</v>
      </c>
      <c r="I102" s="188">
        <f t="shared" si="37"/>
        <v>7.86</v>
      </c>
      <c r="J102" s="188">
        <f t="shared" si="37"/>
        <v>11.62</v>
      </c>
      <c r="K102" s="188">
        <f t="shared" si="37"/>
        <v>6.5</v>
      </c>
      <c r="L102" s="188">
        <f t="shared" si="37"/>
        <v>737.0883041151792</v>
      </c>
      <c r="P102" s="278"/>
      <c r="Q102" t="str">
        <f>'Pulje 8'!J11</f>
        <v>Tambarskjelvar IL</v>
      </c>
      <c r="R102" s="197">
        <f>'Pulje 8'!D11</f>
        <v>73.75</v>
      </c>
      <c r="S102" s="198" t="str">
        <f>'Pulje 8'!E11</f>
        <v>JK</v>
      </c>
      <c r="T102" s="199" t="str">
        <f>'Pulje 8'!F11</f>
        <v>19-23</v>
      </c>
      <c r="U102" s="200">
        <f>'Pulje 8'!G11</f>
        <v>38610</v>
      </c>
      <c r="V102" s="201" t="str">
        <f>'Pulje 8'!I11</f>
        <v>Trine Endestad Hellevang</v>
      </c>
      <c r="W102" s="201">
        <f>'Pulje 8'!Q11</f>
        <v>75</v>
      </c>
      <c r="X102" s="202">
        <f>'Pulje 8'!R11</f>
        <v>91</v>
      </c>
      <c r="Y102" s="203">
        <f>'Pulje 8'!V11</f>
        <v>6.79</v>
      </c>
      <c r="Z102" s="203">
        <f>'Pulje 8'!W11</f>
        <v>12.85</v>
      </c>
      <c r="AA102" s="203">
        <f>'Pulje 8'!X11</f>
        <v>7.7</v>
      </c>
      <c r="AB102" s="203">
        <f>'Pulje 8'!Z12</f>
        <v>639.50256680920097</v>
      </c>
    </row>
    <row r="103" spans="1:28" ht="16.5" customHeight="1">
      <c r="A103" s="176"/>
      <c r="B103" s="184">
        <f t="shared" ref="B103:L103" si="38">R11</f>
        <v>81.23</v>
      </c>
      <c r="C103" s="184" t="str">
        <f t="shared" si="38"/>
        <v>SM</v>
      </c>
      <c r="D103" s="184" t="str">
        <f t="shared" si="38"/>
        <v>19-23</v>
      </c>
      <c r="E103" s="185">
        <f t="shared" si="38"/>
        <v>38727</v>
      </c>
      <c r="F103" s="186" t="str">
        <f t="shared" si="38"/>
        <v>Henrik F. Kjeldsberg</v>
      </c>
      <c r="G103" s="187">
        <f t="shared" si="38"/>
        <v>61</v>
      </c>
      <c r="H103" s="187">
        <f t="shared" si="38"/>
        <v>70</v>
      </c>
      <c r="I103" s="188">
        <f t="shared" si="38"/>
        <v>5.83</v>
      </c>
      <c r="J103" s="188">
        <f t="shared" si="38"/>
        <v>8.27</v>
      </c>
      <c r="K103" s="188">
        <f t="shared" si="38"/>
        <v>7.5</v>
      </c>
      <c r="L103" s="188">
        <f t="shared" si="38"/>
        <v>520.59730914765419</v>
      </c>
      <c r="P103" s="278"/>
      <c r="Q103" t="str">
        <f>'Pulje 8'!J13</f>
        <v>Tromsø AK</v>
      </c>
      <c r="R103" s="197">
        <f>'Pulje 8'!D13</f>
        <v>83.59</v>
      </c>
      <c r="S103" s="198" t="str">
        <f>'Pulje 8'!E13</f>
        <v>JK</v>
      </c>
      <c r="T103" s="199" t="str">
        <f>'Pulje 8'!F13</f>
        <v>19-23</v>
      </c>
      <c r="U103" s="200">
        <f>'Pulje 8'!G13</f>
        <v>38882</v>
      </c>
      <c r="V103" s="201" t="str">
        <f>'Pulje 8'!I13</f>
        <v>Hedda Øverli</v>
      </c>
      <c r="W103" s="201">
        <f>'Pulje 8'!Q13</f>
        <v>80</v>
      </c>
      <c r="X103" s="202">
        <f>'Pulje 8'!R13</f>
        <v>106</v>
      </c>
      <c r="Y103" s="203">
        <f>'Pulje 8'!V13</f>
        <v>6.63</v>
      </c>
      <c r="Z103" s="203">
        <f>'Pulje 8'!W13</f>
        <v>11.68</v>
      </c>
      <c r="AA103" s="203">
        <f>'Pulje 8'!X13</f>
        <v>7.5</v>
      </c>
      <c r="AB103" s="203">
        <f>'Pulje 8'!Z14</f>
        <v>631.76394439991441</v>
      </c>
    </row>
    <row r="104" spans="1:28" ht="16.5" customHeight="1">
      <c r="A104" s="176"/>
      <c r="B104" s="184"/>
      <c r="C104" s="184"/>
      <c r="D104" s="184"/>
      <c r="E104" s="185"/>
      <c r="F104" s="186"/>
      <c r="G104" s="187"/>
      <c r="H104" s="187"/>
      <c r="I104" s="188"/>
      <c r="J104" s="188"/>
      <c r="K104" s="188"/>
      <c r="L104" s="188"/>
      <c r="P104" s="278"/>
      <c r="Q104" t="str">
        <f>'Pulje 8'!J15</f>
        <v>AK Bjørgvin</v>
      </c>
      <c r="R104" s="197">
        <f>'Pulje 8'!D15</f>
        <v>52.51</v>
      </c>
      <c r="S104" s="198" t="str">
        <f>'Pulje 8'!E15</f>
        <v>SK</v>
      </c>
      <c r="T104" s="199" t="str">
        <f>'Pulje 8'!F15</f>
        <v>19-23</v>
      </c>
      <c r="U104" s="200">
        <f>'Pulje 8'!G15</f>
        <v>37301</v>
      </c>
      <c r="V104" s="201" t="str">
        <f>'Pulje 8'!I15</f>
        <v>Maria Sæterstøl</v>
      </c>
      <c r="W104" s="201">
        <f>'Pulje 8'!Q15</f>
        <v>44</v>
      </c>
      <c r="X104" s="202">
        <f>'Pulje 8'!R15</f>
        <v>58</v>
      </c>
      <c r="Y104" s="203">
        <f>'Pulje 8'!V15</f>
        <v>6.2</v>
      </c>
      <c r="Z104" s="203">
        <f>'Pulje 8'!W15</f>
        <v>8.7899999999999991</v>
      </c>
      <c r="AA104" s="203">
        <f>'Pulje 8'!X15</f>
        <v>7.4</v>
      </c>
      <c r="AB104" s="203">
        <f>'Pulje 8'!Z16</f>
        <v>559.60091806780008</v>
      </c>
    </row>
    <row r="105" spans="1:28" ht="16.5" customHeight="1">
      <c r="A105" s="176"/>
      <c r="B105" s="177"/>
      <c r="C105" s="177"/>
      <c r="D105" s="177"/>
      <c r="E105" s="178"/>
      <c r="F105" s="179"/>
      <c r="G105" s="180"/>
      <c r="H105" s="180"/>
      <c r="I105" s="181"/>
      <c r="J105" s="181"/>
      <c r="K105" s="181"/>
      <c r="L105" s="181"/>
      <c r="P105" s="278"/>
      <c r="Q105" t="str">
        <f>'Pulje 8'!J17</f>
        <v>Grenland AK</v>
      </c>
      <c r="R105" s="197">
        <f>'Pulje 8'!D17</f>
        <v>80.569999999999993</v>
      </c>
      <c r="S105" s="198" t="str">
        <f>'Pulje 8'!E17</f>
        <v>SK</v>
      </c>
      <c r="T105" s="199" t="str">
        <f>'Pulje 8'!F17</f>
        <v>19-23</v>
      </c>
      <c r="U105" s="200">
        <f>'Pulje 8'!G17</f>
        <v>37377</v>
      </c>
      <c r="V105" s="201" t="str">
        <f>'Pulje 8'!I17</f>
        <v>Fride Olsen Mork</v>
      </c>
      <c r="W105" s="201">
        <f>'Pulje 8'!Q17</f>
        <v>66</v>
      </c>
      <c r="X105" s="202">
        <f>'Pulje 8'!R17</f>
        <v>87</v>
      </c>
      <c r="Y105" s="203">
        <f>'Pulje 8'!V17</f>
        <v>7.17</v>
      </c>
      <c r="Z105" s="203">
        <f>'Pulje 8'!W17</f>
        <v>9.7200000000000006</v>
      </c>
      <c r="AA105" s="203">
        <f>'Pulje 8'!X17</f>
        <v>7.1</v>
      </c>
      <c r="AB105" s="203">
        <f>'Pulje 8'!Z18</f>
        <v>594.89257195907533</v>
      </c>
    </row>
    <row r="106" spans="1:28" ht="16.5" customHeight="1">
      <c r="A106" s="194">
        <v>2</v>
      </c>
      <c r="B106" s="287" t="s">
        <v>277</v>
      </c>
      <c r="C106" s="287"/>
      <c r="D106" s="287"/>
      <c r="E106" s="287"/>
      <c r="F106" s="287"/>
      <c r="G106" s="195"/>
      <c r="H106" s="195"/>
      <c r="I106" s="195"/>
      <c r="J106" s="195"/>
      <c r="K106" s="195"/>
      <c r="L106" s="196">
        <f>IF(COUNT(L107:L110)=4,SUM(L107:L110)-MIN(L107:L110),SUM(L107:L110))</f>
        <v>2432.0886679197283</v>
      </c>
      <c r="P106" s="278"/>
      <c r="R106" s="197"/>
      <c r="S106" s="198"/>
      <c r="T106" s="199"/>
      <c r="U106" s="200"/>
      <c r="V106" s="201"/>
      <c r="W106" s="201"/>
      <c r="X106" s="202"/>
      <c r="Y106" s="203"/>
      <c r="Z106" s="203"/>
      <c r="AA106" s="203"/>
      <c r="AB106" s="203"/>
    </row>
    <row r="107" spans="1:28" ht="16.5" customHeight="1">
      <c r="A107" s="176"/>
      <c r="B107" s="184">
        <f t="shared" ref="B107:L107" si="39">R6</f>
        <v>85.67</v>
      </c>
      <c r="C107" s="184" t="str">
        <f t="shared" si="39"/>
        <v>SM</v>
      </c>
      <c r="D107" s="184" t="str">
        <f t="shared" si="39"/>
        <v>19-23</v>
      </c>
      <c r="E107" s="185">
        <f t="shared" si="39"/>
        <v>38896</v>
      </c>
      <c r="F107" s="186" t="str">
        <f t="shared" si="39"/>
        <v>Alvolai Myrvang Røyseth</v>
      </c>
      <c r="G107" s="187">
        <f t="shared" si="39"/>
        <v>122</v>
      </c>
      <c r="H107" s="187">
        <f t="shared" si="39"/>
        <v>145</v>
      </c>
      <c r="I107" s="188">
        <f t="shared" si="39"/>
        <v>9.09</v>
      </c>
      <c r="J107" s="188">
        <f t="shared" si="39"/>
        <v>15</v>
      </c>
      <c r="K107" s="188">
        <f t="shared" si="39"/>
        <v>6.4</v>
      </c>
      <c r="L107" s="188">
        <f t="shared" si="39"/>
        <v>905.34951827332748</v>
      </c>
      <c r="P107" s="278"/>
      <c r="Q107" t="str">
        <f>'Pulje 8'!J21</f>
        <v>Spydeberg Atletene</v>
      </c>
      <c r="R107" s="197">
        <f>'Pulje 8'!D21</f>
        <v>72.069999999999993</v>
      </c>
      <c r="S107" s="198" t="str">
        <f>'Pulje 8'!E21</f>
        <v>K40</v>
      </c>
      <c r="T107" s="199" t="str">
        <f>'Pulje 8'!F21</f>
        <v>+35</v>
      </c>
      <c r="U107" s="200">
        <f>'Pulje 8'!G21</f>
        <v>30609</v>
      </c>
      <c r="V107" s="201" t="str">
        <f>'Pulje 8'!I21</f>
        <v>Linda Espenes</v>
      </c>
      <c r="W107" s="201">
        <f>'Pulje 8'!Q21</f>
        <v>80</v>
      </c>
      <c r="X107" s="202">
        <f>'Pulje 8'!R21</f>
        <v>90</v>
      </c>
      <c r="Y107" s="203">
        <f>'Pulje 8'!V21</f>
        <v>7.84</v>
      </c>
      <c r="Z107" s="203">
        <f>'Pulje 8'!W21</f>
        <v>13.51</v>
      </c>
      <c r="AA107" s="203">
        <f>'Pulje 8'!X21</f>
        <v>6.4</v>
      </c>
      <c r="AB107" s="203">
        <f>'Pulje 8'!Z22</f>
        <v>857.13339949148508</v>
      </c>
    </row>
    <row r="108" spans="1:28" ht="16.5" customHeight="1">
      <c r="A108" s="176"/>
      <c r="B108" s="184">
        <f t="shared" ref="B108:L109" si="40">R8</f>
        <v>93.96</v>
      </c>
      <c r="C108" s="184" t="str">
        <f t="shared" si="40"/>
        <v>SM</v>
      </c>
      <c r="D108" s="184" t="str">
        <f t="shared" si="40"/>
        <v>19-23</v>
      </c>
      <c r="E108" s="185">
        <f t="shared" si="40"/>
        <v>38951</v>
      </c>
      <c r="F108" s="186" t="str">
        <f t="shared" si="40"/>
        <v>Jakub Karol Kudyba</v>
      </c>
      <c r="G108" s="187">
        <f t="shared" si="40"/>
        <v>101</v>
      </c>
      <c r="H108" s="187">
        <f t="shared" si="40"/>
        <v>128</v>
      </c>
      <c r="I108" s="188">
        <f t="shared" si="40"/>
        <v>7.97</v>
      </c>
      <c r="J108" s="188">
        <f t="shared" si="40"/>
        <v>12.88</v>
      </c>
      <c r="K108" s="188">
        <f t="shared" si="40"/>
        <v>6.6</v>
      </c>
      <c r="L108" s="188">
        <f t="shared" si="40"/>
        <v>770.9593485346021</v>
      </c>
      <c r="P108" s="278"/>
      <c r="Q108" t="str">
        <f>'Pulje 8'!J23</f>
        <v>Stavanger AK</v>
      </c>
      <c r="R108" s="197">
        <f>'Pulje 8'!D23</f>
        <v>60.83</v>
      </c>
      <c r="S108" s="198" t="str">
        <f>'Pulje 8'!E23</f>
        <v>K40</v>
      </c>
      <c r="T108" s="199" t="str">
        <f>'Pulje 8'!F23</f>
        <v>+35</v>
      </c>
      <c r="U108" s="200">
        <f>'Pulje 8'!G23</f>
        <v>30529</v>
      </c>
      <c r="V108" s="201" t="str">
        <f>'Pulje 8'!I23</f>
        <v>Nhu Tran</v>
      </c>
      <c r="W108" s="201">
        <f>'Pulje 8'!Q23</f>
        <v>56</v>
      </c>
      <c r="X108" s="202">
        <f>'Pulje 8'!R23</f>
        <v>76</v>
      </c>
      <c r="Y108" s="203">
        <f>'Pulje 8'!V23</f>
        <v>6.45</v>
      </c>
      <c r="Z108" s="203">
        <f>'Pulje 8'!W23</f>
        <v>8.58</v>
      </c>
      <c r="AA108" s="203">
        <f>'Pulje 8'!X23</f>
        <v>7.2</v>
      </c>
      <c r="AB108" s="203">
        <f>'Pulje 8'!Z24</f>
        <v>683.51108003176</v>
      </c>
    </row>
    <row r="109" spans="1:28" ht="16.5" customHeight="1">
      <c r="A109" s="176"/>
      <c r="B109" s="184">
        <f t="shared" si="40"/>
        <v>77.180000000000007</v>
      </c>
      <c r="C109" s="184" t="str">
        <f t="shared" si="40"/>
        <v>SM</v>
      </c>
      <c r="D109" s="184" t="str">
        <f t="shared" si="40"/>
        <v>19-23</v>
      </c>
      <c r="E109" s="185">
        <f t="shared" si="40"/>
        <v>39076</v>
      </c>
      <c r="F109" s="186" t="str">
        <f t="shared" si="40"/>
        <v>Brede Tengel Lesto</v>
      </c>
      <c r="G109" s="187">
        <f t="shared" si="40"/>
        <v>83</v>
      </c>
      <c r="H109" s="187">
        <f t="shared" si="40"/>
        <v>105</v>
      </c>
      <c r="I109" s="188">
        <f t="shared" si="40"/>
        <v>8.5500000000000007</v>
      </c>
      <c r="J109" s="188">
        <f t="shared" si="40"/>
        <v>12.16</v>
      </c>
      <c r="K109" s="188">
        <f t="shared" si="40"/>
        <v>6.7</v>
      </c>
      <c r="L109" s="188">
        <f t="shared" si="40"/>
        <v>755.77980111179886</v>
      </c>
      <c r="P109" s="278"/>
      <c r="Q109" t="str">
        <f>'Pulje 8'!J25</f>
        <v>Larvik AK</v>
      </c>
      <c r="R109" s="197">
        <f>'Pulje 8'!D25</f>
        <v>78.650000000000006</v>
      </c>
      <c r="S109" s="198" t="str">
        <f>'Pulje 8'!E25</f>
        <v>K40</v>
      </c>
      <c r="T109" s="199" t="str">
        <f>'Pulje 8'!F25</f>
        <v>+35</v>
      </c>
      <c r="U109" s="200">
        <f>'Pulje 8'!G25</f>
        <v>29937</v>
      </c>
      <c r="V109" s="201" t="str">
        <f>'Pulje 8'!I25</f>
        <v>Heidrun S. Sigurdardottir</v>
      </c>
      <c r="W109" s="201">
        <f>'Pulje 8'!Q25</f>
        <v>70</v>
      </c>
      <c r="X109" s="202">
        <f>'Pulje 8'!R25</f>
        <v>95</v>
      </c>
      <c r="Y109" s="203">
        <f>'Pulje 8'!V25</f>
        <v>7</v>
      </c>
      <c r="Z109" s="203">
        <f>'Pulje 8'!W25</f>
        <v>12.61</v>
      </c>
      <c r="AA109" s="203">
        <f>'Pulje 8'!X25</f>
        <v>7.3</v>
      </c>
      <c r="AB109" s="203">
        <f>'Pulje 8'!Z26</f>
        <v>773.07318415343445</v>
      </c>
    </row>
    <row r="110" spans="1:28" ht="16.5" customHeight="1">
      <c r="A110" s="176"/>
      <c r="B110" s="184">
        <f>R49</f>
        <v>68.489999999999995</v>
      </c>
      <c r="C110" s="184" t="str">
        <f t="shared" ref="C110:L110" si="41">S49</f>
        <v>UM</v>
      </c>
      <c r="D110" s="184" t="str">
        <f t="shared" si="41"/>
        <v>17-18</v>
      </c>
      <c r="E110" s="185">
        <f t="shared" si="41"/>
        <v>39342</v>
      </c>
      <c r="F110" s="186" t="str">
        <f t="shared" si="41"/>
        <v>Erik Orasmäe</v>
      </c>
      <c r="G110" s="187">
        <f t="shared" si="41"/>
        <v>82</v>
      </c>
      <c r="H110" s="187">
        <f t="shared" si="41"/>
        <v>95</v>
      </c>
      <c r="I110" s="188">
        <f t="shared" si="41"/>
        <v>8.24</v>
      </c>
      <c r="J110" s="188">
        <f t="shared" si="41"/>
        <v>10.59</v>
      </c>
      <c r="K110" s="188">
        <f t="shared" si="41"/>
        <v>6.9</v>
      </c>
      <c r="L110" s="188">
        <f t="shared" si="41"/>
        <v>735.52663092297064</v>
      </c>
      <c r="P110" s="278"/>
      <c r="R110" s="197"/>
      <c r="S110" s="198"/>
      <c r="T110" s="199"/>
      <c r="U110" s="200"/>
      <c r="V110" s="201"/>
      <c r="W110" s="201"/>
      <c r="X110" s="202"/>
      <c r="Y110" s="203"/>
      <c r="Z110" s="203"/>
      <c r="AA110" s="203"/>
      <c r="AB110" s="203"/>
    </row>
    <row r="111" spans="1:28" ht="16.5" customHeight="1">
      <c r="A111" s="176"/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  <c r="L111" s="176"/>
      <c r="P111" s="278"/>
      <c r="Q111" t="str">
        <f>'Pulje 8'!J29</f>
        <v>Tysvær VK</v>
      </c>
      <c r="R111" s="197">
        <f>'Pulje 8'!D29</f>
        <v>85.51</v>
      </c>
      <c r="S111" s="198" t="str">
        <f>'Pulje 8'!E29</f>
        <v>K45</v>
      </c>
      <c r="T111" s="199" t="str">
        <f>'Pulje 8'!F29</f>
        <v>+35</v>
      </c>
      <c r="U111" s="200">
        <f>'Pulje 8'!G29</f>
        <v>28012</v>
      </c>
      <c r="V111" s="201" t="str">
        <f>'Pulje 8'!I29</f>
        <v>Christine Berge Christiansen</v>
      </c>
      <c r="W111" s="201">
        <f>'Pulje 8'!Q29</f>
        <v>38</v>
      </c>
      <c r="X111" s="202">
        <f>'Pulje 8'!R29</f>
        <v>55</v>
      </c>
      <c r="Y111" s="203">
        <f>'Pulje 8'!V29</f>
        <v>4.92</v>
      </c>
      <c r="Z111" s="203">
        <f>'Pulje 8'!W29</f>
        <v>4.62</v>
      </c>
      <c r="AA111" s="203">
        <f>'Pulje 8'!X29</f>
        <v>8.9</v>
      </c>
      <c r="AB111" s="203">
        <f>'Pulje 8'!Z30</f>
        <v>426.60679008586698</v>
      </c>
    </row>
    <row r="112" spans="1:28" ht="16.5" customHeight="1">
      <c r="A112" s="194">
        <v>1</v>
      </c>
      <c r="B112" s="287" t="s">
        <v>62</v>
      </c>
      <c r="C112" s="287"/>
      <c r="D112" s="287"/>
      <c r="E112" s="287"/>
      <c r="F112" s="287"/>
      <c r="G112" s="195"/>
      <c r="H112" s="195"/>
      <c r="I112" s="195"/>
      <c r="J112" s="195"/>
      <c r="K112" s="195"/>
      <c r="L112" s="196">
        <f>IF(COUNT(L113:L116)=4,SUM(L113:L116)-MIN(L113:L116),SUM(L113:L116))</f>
        <v>2478.0902104468623</v>
      </c>
      <c r="P112" s="279"/>
      <c r="Q112" t="str">
        <f>'Pulje 8'!J31</f>
        <v>Tysvær VK</v>
      </c>
      <c r="R112" s="197">
        <f>'Pulje 8'!D31</f>
        <v>78.650000000000006</v>
      </c>
      <c r="S112" s="198" t="str">
        <f>'Pulje 8'!E31</f>
        <v>K50</v>
      </c>
      <c r="T112" s="199" t="str">
        <f>'Pulje 8'!F31</f>
        <v>+35</v>
      </c>
      <c r="U112" s="200">
        <f>'Pulje 8'!G31</f>
        <v>27503</v>
      </c>
      <c r="V112" s="201" t="str">
        <f>'Pulje 8'!I31</f>
        <v>Monika Zakrzewska</v>
      </c>
      <c r="W112" s="201">
        <f>'Pulje 8'!Q31</f>
        <v>46</v>
      </c>
      <c r="X112" s="202">
        <f>'Pulje 8'!R31</f>
        <v>63</v>
      </c>
      <c r="Y112" s="203">
        <f>'Pulje 8'!V31</f>
        <v>4.82</v>
      </c>
      <c r="Z112" s="203">
        <f>'Pulje 8'!W31</f>
        <v>9.07</v>
      </c>
      <c r="AA112" s="203">
        <f>'Pulje 8'!X31</f>
        <v>9</v>
      </c>
      <c r="AB112" s="203">
        <f>'Pulje 8'!Z32</f>
        <v>543.94370765199938</v>
      </c>
    </row>
    <row r="113" spans="1:28" ht="16.5" customHeight="1">
      <c r="A113" s="176"/>
      <c r="B113" s="184">
        <f t="shared" ref="B113:L113" si="42">R12</f>
        <v>86.27</v>
      </c>
      <c r="C113" s="184" t="str">
        <f t="shared" si="42"/>
        <v>SM</v>
      </c>
      <c r="D113" s="184" t="str">
        <f t="shared" si="42"/>
        <v>19-23</v>
      </c>
      <c r="E113" s="185">
        <f t="shared" si="42"/>
        <v>38629</v>
      </c>
      <c r="F113" s="186" t="str">
        <f t="shared" si="42"/>
        <v>Ulrik Lie-Haugen</v>
      </c>
      <c r="G113" s="187">
        <f t="shared" si="42"/>
        <v>86</v>
      </c>
      <c r="H113" s="187">
        <f t="shared" si="42"/>
        <v>108</v>
      </c>
      <c r="I113" s="188">
        <f t="shared" si="42"/>
        <v>7.43</v>
      </c>
      <c r="J113" s="188">
        <f t="shared" si="42"/>
        <v>9.9600000000000009</v>
      </c>
      <c r="K113" s="188">
        <f t="shared" si="42"/>
        <v>7.4</v>
      </c>
      <c r="L113" s="188">
        <f t="shared" si="42"/>
        <v>660.67448444360434</v>
      </c>
      <c r="R113" s="204"/>
      <c r="S113" s="204"/>
      <c r="T113" s="201"/>
      <c r="U113" s="201"/>
      <c r="V113" s="201"/>
      <c r="W113" s="201"/>
      <c r="X113" s="201"/>
      <c r="Y113" s="201"/>
      <c r="Z113" s="201"/>
      <c r="AA113" s="201"/>
      <c r="AB113" s="201"/>
    </row>
    <row r="114" spans="1:28" ht="16.5" customHeight="1">
      <c r="A114" s="176"/>
      <c r="B114" s="184">
        <f t="shared" ref="B114:L114" si="43">R93</f>
        <v>89.61</v>
      </c>
      <c r="C114" s="184" t="str">
        <f t="shared" si="43"/>
        <v>M65</v>
      </c>
      <c r="D114" s="184" t="str">
        <f t="shared" si="43"/>
        <v>+35</v>
      </c>
      <c r="E114" s="185">
        <f t="shared" si="43"/>
        <v>25848</v>
      </c>
      <c r="F114" s="186" t="str">
        <f t="shared" si="43"/>
        <v>Marcus Lundqvist</v>
      </c>
      <c r="G114" s="187">
        <f t="shared" si="43"/>
        <v>62</v>
      </c>
      <c r="H114" s="187">
        <f t="shared" si="43"/>
        <v>78</v>
      </c>
      <c r="I114" s="188">
        <f t="shared" si="43"/>
        <v>7.37</v>
      </c>
      <c r="J114" s="188">
        <f t="shared" si="43"/>
        <v>8.14</v>
      </c>
      <c r="K114" s="188">
        <f t="shared" si="43"/>
        <v>6.4</v>
      </c>
      <c r="L114" s="188">
        <f t="shared" si="43"/>
        <v>819.738809131842</v>
      </c>
      <c r="R114" s="204"/>
      <c r="S114" s="204"/>
      <c r="T114" s="201"/>
      <c r="U114" s="201"/>
      <c r="V114" s="201"/>
      <c r="W114" s="201"/>
      <c r="X114" s="201"/>
      <c r="Y114" s="201"/>
      <c r="Z114" s="201"/>
      <c r="AA114" s="201"/>
      <c r="AB114" s="201"/>
    </row>
    <row r="115" spans="1:28" ht="16.5" customHeight="1">
      <c r="A115" s="176"/>
      <c r="B115" s="184">
        <f t="shared" ref="B115:L115" si="44">R98</f>
        <v>79.5</v>
      </c>
      <c r="C115" s="184" t="str">
        <f t="shared" si="44"/>
        <v>M65</v>
      </c>
      <c r="D115" s="184" t="str">
        <f t="shared" si="44"/>
        <v>+35</v>
      </c>
      <c r="E115" s="185">
        <f t="shared" si="44"/>
        <v>24128</v>
      </c>
      <c r="F115" s="186" t="str">
        <f t="shared" si="44"/>
        <v>Tom Danielsen</v>
      </c>
      <c r="G115" s="187">
        <f t="shared" si="44"/>
        <v>75</v>
      </c>
      <c r="H115" s="187">
        <f t="shared" si="44"/>
        <v>93</v>
      </c>
      <c r="I115" s="188">
        <f t="shared" si="44"/>
        <v>8.08</v>
      </c>
      <c r="J115" s="188">
        <f t="shared" si="44"/>
        <v>10.79</v>
      </c>
      <c r="K115" s="188">
        <f t="shared" si="44"/>
        <v>7.2</v>
      </c>
      <c r="L115" s="188">
        <f t="shared" si="44"/>
        <v>997.67691687141576</v>
      </c>
      <c r="P115" s="277" t="s">
        <v>265</v>
      </c>
      <c r="Q115" t="str">
        <f>'Pulje 9'!J9</f>
        <v>Nidelv IL</v>
      </c>
      <c r="R115" s="197">
        <f>'Pulje 9'!D9</f>
        <v>93.79</v>
      </c>
      <c r="S115" s="198" t="str">
        <f>'Pulje 9'!E9</f>
        <v>SK</v>
      </c>
      <c r="T115" s="199" t="str">
        <f>'Pulje 9'!F9</f>
        <v>24-34</v>
      </c>
      <c r="U115" s="200">
        <f>'Pulje 9'!G9</f>
        <v>34954</v>
      </c>
      <c r="V115" s="201" t="str">
        <f>'Pulje 9'!I9</f>
        <v>Anette F. Høyland</v>
      </c>
      <c r="W115" s="201">
        <f>'Pulje 9'!Q9</f>
        <v>80</v>
      </c>
      <c r="X115" s="202">
        <f>'Pulje 9'!R9</f>
        <v>105</v>
      </c>
      <c r="Y115" s="203">
        <f>'Pulje 9'!V9</f>
        <v>7.2</v>
      </c>
      <c r="Z115" s="203">
        <f>'Pulje 9'!W9</f>
        <v>15.15</v>
      </c>
      <c r="AA115" s="203">
        <f>'Pulje 9'!X9</f>
        <v>7.2</v>
      </c>
      <c r="AB115" s="203">
        <f>'Pulje 9'!Z10</f>
        <v>675.99523032166815</v>
      </c>
    </row>
    <row r="116" spans="1:28" ht="16.5" customHeight="1">
      <c r="A116" s="176"/>
      <c r="B116" s="184"/>
      <c r="C116" s="184"/>
      <c r="D116" s="184"/>
      <c r="E116" s="185"/>
      <c r="F116" s="186"/>
      <c r="G116" s="187"/>
      <c r="H116" s="187"/>
      <c r="I116" s="188"/>
      <c r="J116" s="188"/>
      <c r="K116" s="188"/>
      <c r="L116" s="188"/>
      <c r="P116" s="278"/>
      <c r="Q116" t="str">
        <f>'Pulje 9'!J11</f>
        <v>Oslo AK</v>
      </c>
      <c r="R116" s="197">
        <f>'Pulje 9'!D11</f>
        <v>64.95</v>
      </c>
      <c r="S116" s="198" t="str">
        <f>'Pulje 9'!E11</f>
        <v>SK</v>
      </c>
      <c r="T116" s="199" t="str">
        <f>'Pulje 9'!F11</f>
        <v>24-34</v>
      </c>
      <c r="U116" s="200">
        <f>'Pulje 9'!G11</f>
        <v>36509</v>
      </c>
      <c r="V116" s="201" t="str">
        <f>'Pulje 9'!I11</f>
        <v>Frida Baade</v>
      </c>
      <c r="W116" s="201">
        <f>'Pulje 9'!Q11</f>
        <v>65</v>
      </c>
      <c r="X116" s="202">
        <f>'Pulje 9'!R11</f>
        <v>83</v>
      </c>
      <c r="Y116" s="203">
        <f>'Pulje 9'!V11</f>
        <v>6.55</v>
      </c>
      <c r="Z116" s="203">
        <f>'Pulje 9'!W11</f>
        <v>9.94</v>
      </c>
      <c r="AA116" s="203">
        <f>'Pulje 9'!X11</f>
        <v>7.3</v>
      </c>
      <c r="AB116" s="203">
        <f>'Pulje 9'!Z12</f>
        <v>612.46393305027232</v>
      </c>
    </row>
    <row r="117" spans="1:28" ht="16.5" customHeight="1">
      <c r="A117" s="176"/>
      <c r="B117" s="176"/>
      <c r="C117" s="176"/>
      <c r="D117" s="176"/>
      <c r="E117" s="176"/>
      <c r="F117" s="176"/>
      <c r="G117" s="176"/>
      <c r="H117" s="176"/>
      <c r="I117" s="176"/>
      <c r="J117" s="176"/>
      <c r="K117" s="176"/>
      <c r="L117" s="176"/>
      <c r="P117" s="278"/>
      <c r="Q117" t="str">
        <f>'Pulje 9'!J13</f>
        <v>Tysvær VK</v>
      </c>
      <c r="R117" s="197">
        <f>'Pulje 9'!D13</f>
        <v>60.05</v>
      </c>
      <c r="S117" s="198" t="str">
        <f>'Pulje 9'!E13</f>
        <v>SK</v>
      </c>
      <c r="T117" s="199" t="str">
        <f>'Pulje 9'!F13</f>
        <v>24-34</v>
      </c>
      <c r="U117" s="200">
        <f>'Pulje 9'!G13</f>
        <v>37213</v>
      </c>
      <c r="V117" s="201" t="str">
        <f>'Pulje 9'!I13</f>
        <v>Andrine Hveding</v>
      </c>
      <c r="W117" s="201">
        <f>'Pulje 9'!Q13</f>
        <v>55</v>
      </c>
      <c r="X117" s="202">
        <f>'Pulje 9'!R13</f>
        <v>73</v>
      </c>
      <c r="Y117" s="203">
        <f>'Pulje 9'!V13</f>
        <v>7.06</v>
      </c>
      <c r="Z117" s="203">
        <f>'Pulje 9'!W13</f>
        <v>10.83</v>
      </c>
      <c r="AA117" s="203">
        <f>'Pulje 9'!X13</f>
        <v>6.9</v>
      </c>
      <c r="AB117" s="203">
        <f>'Pulje 9'!Z14</f>
        <v>639.49493524120203</v>
      </c>
    </row>
    <row r="118" spans="1:28" ht="16.5" customHeight="1">
      <c r="A118" s="194">
        <v>3</v>
      </c>
      <c r="B118" s="287" t="s">
        <v>134</v>
      </c>
      <c r="C118" s="287"/>
      <c r="D118" s="287"/>
      <c r="E118" s="287"/>
      <c r="F118" s="287"/>
      <c r="G118" s="195"/>
      <c r="H118" s="195"/>
      <c r="I118" s="195"/>
      <c r="J118" s="195"/>
      <c r="K118" s="195"/>
      <c r="L118" s="196">
        <f>IF(COUNT(L119:L122)=4,SUM(L119:L122)-MIN(L119:L122),SUM(L119:L122))</f>
        <v>2329.7613144878155</v>
      </c>
      <c r="P118" s="278"/>
      <c r="Q118" t="str">
        <f>'Pulje 9'!J15</f>
        <v>Grenland AK</v>
      </c>
      <c r="R118" s="197">
        <f>'Pulje 9'!D15</f>
        <v>61.95</v>
      </c>
      <c r="S118" s="198" t="str">
        <f>'Pulje 9'!E15</f>
        <v>SK</v>
      </c>
      <c r="T118" s="199" t="str">
        <f>'Pulje 9'!F15</f>
        <v>24-34</v>
      </c>
      <c r="U118" s="200">
        <f>'Pulje 9'!G15</f>
        <v>36144</v>
      </c>
      <c r="V118" s="201" t="str">
        <f>'Pulje 9'!I15</f>
        <v>Martina Elise Gregersen</v>
      </c>
      <c r="W118" s="201">
        <f>'Pulje 9'!Q15</f>
        <v>55</v>
      </c>
      <c r="X118" s="202">
        <f>'Pulje 9'!R15</f>
        <v>80</v>
      </c>
      <c r="Y118" s="203">
        <f>'Pulje 9'!V15</f>
        <v>7.31</v>
      </c>
      <c r="Z118" s="203">
        <f>'Pulje 9'!W15</f>
        <v>10.16</v>
      </c>
      <c r="AA118" s="203">
        <f>'Pulje 9'!X15</f>
        <v>6.8</v>
      </c>
      <c r="AB118" s="203">
        <f>'Pulje 9'!Z16</f>
        <v>641.79508843941687</v>
      </c>
    </row>
    <row r="119" spans="1:28" ht="16.5" customHeight="1">
      <c r="A119" s="176"/>
      <c r="B119" s="184">
        <f t="shared" ref="B119:L119" si="45">R87</f>
        <v>0</v>
      </c>
      <c r="C119" s="184">
        <f t="shared" si="45"/>
        <v>0</v>
      </c>
      <c r="D119" s="184">
        <f t="shared" si="45"/>
        <v>0</v>
      </c>
      <c r="E119" s="185">
        <f t="shared" si="45"/>
        <v>0</v>
      </c>
      <c r="F119" s="186">
        <f t="shared" si="45"/>
        <v>0</v>
      </c>
      <c r="G119" s="187">
        <f t="shared" si="45"/>
        <v>0</v>
      </c>
      <c r="H119" s="187">
        <f t="shared" si="45"/>
        <v>0</v>
      </c>
      <c r="I119" s="188">
        <f t="shared" si="45"/>
        <v>0</v>
      </c>
      <c r="J119" s="188">
        <f t="shared" si="45"/>
        <v>0</v>
      </c>
      <c r="K119" s="188">
        <f t="shared" si="45"/>
        <v>0</v>
      </c>
      <c r="L119" s="188">
        <f t="shared" si="45"/>
        <v>0</v>
      </c>
      <c r="P119" s="278"/>
      <c r="Q119" t="str">
        <f>'Pulje 9'!J17</f>
        <v>Larvik AK</v>
      </c>
      <c r="R119" s="197">
        <f>'Pulje 9'!D17</f>
        <v>53.95</v>
      </c>
      <c r="S119" s="198" t="str">
        <f>'Pulje 9'!E17</f>
        <v>SK</v>
      </c>
      <c r="T119" s="199" t="str">
        <f>'Pulje 9'!F17</f>
        <v>24-34</v>
      </c>
      <c r="U119" s="200">
        <f>'Pulje 9'!G17</f>
        <v>35320</v>
      </c>
      <c r="V119" s="201" t="str">
        <f>'Pulje 9'!I17</f>
        <v>Rebekka Tao Jacobsen</v>
      </c>
      <c r="W119" s="201">
        <f>'Pulje 9'!Q17</f>
        <v>79</v>
      </c>
      <c r="X119" s="202">
        <f>'Pulje 9'!R17</f>
        <v>106</v>
      </c>
      <c r="Y119" s="203">
        <f>'Pulje 9'!V17</f>
        <v>7.05</v>
      </c>
      <c r="Z119" s="203">
        <f>'Pulje 9'!W17</f>
        <v>9.75</v>
      </c>
      <c r="AA119" s="203">
        <f>'Pulje 9'!X17</f>
        <v>6.9</v>
      </c>
      <c r="AB119" s="203">
        <f>'Pulje 9'!Z18</f>
        <v>750.74851001942909</v>
      </c>
    </row>
    <row r="120" spans="1:28" ht="16.5" customHeight="1">
      <c r="A120" s="176"/>
      <c r="B120" s="184">
        <f t="shared" ref="B120:L120" si="46">R89</f>
        <v>87.42</v>
      </c>
      <c r="C120" s="184" t="str">
        <f t="shared" si="46"/>
        <v>SM</v>
      </c>
      <c r="D120" s="184" t="str">
        <f t="shared" si="46"/>
        <v>24-34</v>
      </c>
      <c r="E120" s="185">
        <f t="shared" si="46"/>
        <v>36748</v>
      </c>
      <c r="F120" s="186" t="str">
        <f t="shared" si="46"/>
        <v>Bent André Midtbø</v>
      </c>
      <c r="G120" s="187">
        <f t="shared" si="46"/>
        <v>95</v>
      </c>
      <c r="H120" s="187">
        <f t="shared" si="46"/>
        <v>136</v>
      </c>
      <c r="I120" s="188">
        <f t="shared" si="46"/>
        <v>9.2799999999999994</v>
      </c>
      <c r="J120" s="188">
        <f t="shared" si="46"/>
        <v>15.08</v>
      </c>
      <c r="K120" s="188">
        <f t="shared" si="46"/>
        <v>6.2</v>
      </c>
      <c r="L120" s="188">
        <f t="shared" si="46"/>
        <v>859.54845005862956</v>
      </c>
      <c r="P120" s="278"/>
      <c r="Q120" t="str">
        <f>'Pulje 9'!J19</f>
        <v>Nidelv IL</v>
      </c>
      <c r="R120" s="197">
        <f>'Pulje 9'!D19</f>
        <v>80.930000000000007</v>
      </c>
      <c r="S120" s="198" t="str">
        <f>'Pulje 9'!E19</f>
        <v>SK</v>
      </c>
      <c r="T120" s="199" t="str">
        <f>'Pulje 9'!F19</f>
        <v>24-34</v>
      </c>
      <c r="U120" s="200">
        <f>'Pulje 9'!G19</f>
        <v>36829</v>
      </c>
      <c r="V120" s="201" t="str">
        <f>'Pulje 9'!I19</f>
        <v>Vilde Elisabeth Davidsen</v>
      </c>
      <c r="W120" s="201">
        <f>'Pulje 9'!Q19</f>
        <v>73</v>
      </c>
      <c r="X120" s="202">
        <f>'Pulje 9'!R19</f>
        <v>92</v>
      </c>
      <c r="Y120" s="203">
        <f>'Pulje 9'!V19</f>
        <v>6.84</v>
      </c>
      <c r="Z120" s="203">
        <f>'Pulje 9'!W19</f>
        <v>10.88</v>
      </c>
      <c r="AA120" s="203">
        <f>'Pulje 9'!X19</f>
        <v>7.4</v>
      </c>
      <c r="AB120" s="203">
        <f>'Pulje 9'!Z20</f>
        <v>606.88087232473379</v>
      </c>
    </row>
    <row r="121" spans="1:28" ht="16.5" customHeight="1">
      <c r="A121" s="176"/>
      <c r="B121" s="184">
        <f t="shared" ref="B121:L121" si="47">R91</f>
        <v>124.11</v>
      </c>
      <c r="C121" s="184" t="str">
        <f t="shared" si="47"/>
        <v>SM</v>
      </c>
      <c r="D121" s="184" t="str">
        <f t="shared" si="47"/>
        <v>24-34</v>
      </c>
      <c r="E121" s="185">
        <f t="shared" si="47"/>
        <v>37123</v>
      </c>
      <c r="F121" s="186" t="str">
        <f t="shared" si="47"/>
        <v>Arnes Hrnjic</v>
      </c>
      <c r="G121" s="187">
        <f t="shared" si="47"/>
        <v>115</v>
      </c>
      <c r="H121" s="187">
        <f t="shared" si="47"/>
        <v>150</v>
      </c>
      <c r="I121" s="188">
        <f t="shared" si="47"/>
        <v>14.08</v>
      </c>
      <c r="J121" s="188">
        <f t="shared" si="47"/>
        <v>7.72</v>
      </c>
      <c r="K121" s="188">
        <f t="shared" si="47"/>
        <v>10.6</v>
      </c>
      <c r="L121" s="188">
        <f t="shared" si="47"/>
        <v>702.10606243446534</v>
      </c>
      <c r="P121" s="278"/>
      <c r="Q121" t="str">
        <f>'Pulje 9'!J21</f>
        <v>Oslo AK</v>
      </c>
      <c r="R121" s="197">
        <f>'Pulje 9'!D21</f>
        <v>60.09</v>
      </c>
      <c r="S121" s="198" t="str">
        <f>'Pulje 9'!E21</f>
        <v>SK</v>
      </c>
      <c r="T121" s="199" t="str">
        <f>'Pulje 9'!F21</f>
        <v>24-34</v>
      </c>
      <c r="U121" s="200">
        <f>'Pulje 9'!G21</f>
        <v>35936</v>
      </c>
      <c r="V121" s="201" t="str">
        <f>'Pulje 9'!I21</f>
        <v>Serine Pedersen</v>
      </c>
      <c r="W121" s="201">
        <f>'Pulje 9'!Q21</f>
        <v>65</v>
      </c>
      <c r="X121" s="202">
        <f>'Pulje 9'!R21</f>
        <v>83</v>
      </c>
      <c r="Y121" s="203">
        <f>'Pulje 9'!V21</f>
        <v>7</v>
      </c>
      <c r="Z121" s="203">
        <f>'Pulje 9'!W21</f>
        <v>9.18</v>
      </c>
      <c r="AA121" s="203">
        <f>'Pulje 9'!X21</f>
        <v>7.1</v>
      </c>
      <c r="AB121" s="203">
        <f>'Pulje 9'!Z22</f>
        <v>637.21977122337739</v>
      </c>
    </row>
    <row r="122" spans="1:28" ht="16.5" customHeight="1">
      <c r="A122" s="176"/>
      <c r="B122" s="184">
        <f t="shared" ref="B122:L122" si="48">R50</f>
        <v>93.63</v>
      </c>
      <c r="C122" s="184" t="str">
        <f t="shared" si="48"/>
        <v>UM</v>
      </c>
      <c r="D122" s="184" t="str">
        <f t="shared" si="48"/>
        <v>17-18</v>
      </c>
      <c r="E122" s="185">
        <f t="shared" si="48"/>
        <v>39760</v>
      </c>
      <c r="F122" s="186" t="str">
        <f t="shared" si="48"/>
        <v>Nikolai K. Aadland</v>
      </c>
      <c r="G122" s="187">
        <f t="shared" si="48"/>
        <v>115</v>
      </c>
      <c r="H122" s="187">
        <f t="shared" si="48"/>
        <v>144</v>
      </c>
      <c r="I122" s="188">
        <f t="shared" si="48"/>
        <v>7.47</v>
      </c>
      <c r="J122" s="188">
        <f t="shared" si="48"/>
        <v>10.16</v>
      </c>
      <c r="K122" s="188">
        <f t="shared" si="48"/>
        <v>6.7</v>
      </c>
      <c r="L122" s="188">
        <f t="shared" si="48"/>
        <v>768.10680199472063</v>
      </c>
      <c r="P122" s="278"/>
      <c r="R122" s="197"/>
      <c r="S122" s="198"/>
      <c r="T122" s="199"/>
      <c r="U122" s="200"/>
      <c r="V122" s="201"/>
      <c r="W122" s="201"/>
      <c r="X122" s="202"/>
      <c r="Y122" s="203"/>
      <c r="Z122" s="203"/>
      <c r="AA122" s="203"/>
      <c r="AB122" s="203"/>
    </row>
    <row r="123" spans="1:28" ht="16.5" customHeight="1">
      <c r="A123" s="176"/>
      <c r="B123" s="176"/>
      <c r="C123" s="176"/>
      <c r="D123" s="176"/>
      <c r="E123" s="176"/>
      <c r="F123" s="176"/>
      <c r="G123" s="176"/>
      <c r="H123" s="176"/>
      <c r="I123" s="176"/>
      <c r="J123" s="176"/>
      <c r="K123" s="176"/>
      <c r="L123" s="176"/>
      <c r="P123" s="278"/>
      <c r="R123" s="197"/>
      <c r="S123" s="198"/>
      <c r="T123" s="199"/>
      <c r="U123" s="200"/>
      <c r="V123" s="201"/>
      <c r="W123" s="201"/>
      <c r="X123" s="202"/>
      <c r="Y123" s="203"/>
      <c r="Z123" s="203"/>
      <c r="AA123" s="203"/>
      <c r="AB123" s="203"/>
    </row>
    <row r="124" spans="1:28" ht="16.5" customHeight="1">
      <c r="A124" s="194"/>
      <c r="B124" s="287" t="s">
        <v>275</v>
      </c>
      <c r="C124" s="287"/>
      <c r="D124" s="287"/>
      <c r="E124" s="287"/>
      <c r="F124" s="287"/>
      <c r="G124" s="195"/>
      <c r="H124" s="195"/>
      <c r="I124" s="195"/>
      <c r="J124" s="195"/>
      <c r="K124" s="195"/>
      <c r="L124" s="196" t="e">
        <f>IF(COUNT(L125:L128)=4,SUM(L125:L128)-MIN(L125:L128),SUM(L125:L128))</f>
        <v>#VALUE!</v>
      </c>
      <c r="P124" s="278"/>
      <c r="R124" s="197"/>
      <c r="S124" s="198"/>
      <c r="T124" s="199"/>
      <c r="U124" s="200"/>
      <c r="V124" s="201"/>
      <c r="W124" s="201"/>
      <c r="X124" s="202"/>
      <c r="Y124" s="203"/>
      <c r="Z124" s="203"/>
      <c r="AA124" s="203"/>
      <c r="AB124" s="203"/>
    </row>
    <row r="125" spans="1:28" ht="16.5" customHeight="1">
      <c r="A125" s="176"/>
      <c r="B125" s="184">
        <f t="shared" ref="B125:L125" si="49">R88</f>
        <v>92.13</v>
      </c>
      <c r="C125" s="184" t="str">
        <f t="shared" si="49"/>
        <v>SM</v>
      </c>
      <c r="D125" s="184" t="str">
        <f t="shared" si="49"/>
        <v>24-34</v>
      </c>
      <c r="E125" s="185">
        <f t="shared" si="49"/>
        <v>37155</v>
      </c>
      <c r="F125" s="186" t="str">
        <f t="shared" si="49"/>
        <v>Julius Ellertsson</v>
      </c>
      <c r="G125" s="187">
        <f t="shared" si="49"/>
        <v>122</v>
      </c>
      <c r="H125" s="187">
        <f t="shared" si="49"/>
        <v>150</v>
      </c>
      <c r="I125" s="188">
        <f t="shared" si="49"/>
        <v>8.2200000000000006</v>
      </c>
      <c r="J125" s="188">
        <f t="shared" si="49"/>
        <v>10.44</v>
      </c>
      <c r="K125" s="188">
        <f t="shared" si="49"/>
        <v>6.1</v>
      </c>
      <c r="L125" s="188">
        <f t="shared" si="49"/>
        <v>832.62281940657158</v>
      </c>
      <c r="P125" s="278"/>
      <c r="R125" s="197"/>
      <c r="S125" s="198"/>
      <c r="T125" s="199"/>
      <c r="U125" s="200"/>
      <c r="V125" s="201"/>
      <c r="W125" s="201"/>
      <c r="X125" s="202"/>
      <c r="Y125" s="203"/>
      <c r="Z125" s="203"/>
      <c r="AA125" s="203"/>
      <c r="AB125" s="203"/>
    </row>
    <row r="126" spans="1:28" ht="16.5" customHeight="1">
      <c r="A126" s="176"/>
      <c r="B126" s="184">
        <f t="shared" ref="B126:L126" si="50">R97</f>
        <v>95.29</v>
      </c>
      <c r="C126" s="184" t="str">
        <f t="shared" si="50"/>
        <v>M75</v>
      </c>
      <c r="D126" s="184" t="str">
        <f t="shared" si="50"/>
        <v>+35</v>
      </c>
      <c r="E126" s="185">
        <f t="shared" si="50"/>
        <v>19656</v>
      </c>
      <c r="F126" s="186" t="str">
        <f t="shared" si="50"/>
        <v>Johan Thonerud</v>
      </c>
      <c r="G126" s="187">
        <f t="shared" si="50"/>
        <v>51</v>
      </c>
      <c r="H126" s="187">
        <f t="shared" si="50"/>
        <v>67</v>
      </c>
      <c r="I126" s="188">
        <f t="shared" si="50"/>
        <v>0</v>
      </c>
      <c r="J126" s="188">
        <f t="shared" si="50"/>
        <v>0</v>
      </c>
      <c r="K126" s="188">
        <f t="shared" si="50"/>
        <v>0</v>
      </c>
      <c r="L126" s="188" t="e">
        <f t="shared" si="50"/>
        <v>#VALUE!</v>
      </c>
      <c r="P126" s="279"/>
      <c r="R126" s="197"/>
      <c r="S126" s="198"/>
      <c r="T126" s="199"/>
      <c r="U126" s="200"/>
      <c r="V126" s="201"/>
      <c r="W126" s="201"/>
      <c r="X126" s="202"/>
      <c r="Y126" s="203"/>
      <c r="Z126" s="203"/>
      <c r="AA126" s="203"/>
      <c r="AB126" s="203"/>
    </row>
    <row r="127" spans="1:28" ht="16.5" customHeight="1">
      <c r="A127" s="176"/>
      <c r="B127" s="184"/>
      <c r="C127" s="184"/>
      <c r="D127" s="184"/>
      <c r="E127" s="185"/>
      <c r="F127" s="186"/>
      <c r="G127" s="187"/>
      <c r="H127" s="187"/>
      <c r="I127" s="188"/>
      <c r="J127" s="188"/>
      <c r="K127" s="188"/>
      <c r="L127" s="188"/>
    </row>
    <row r="128" spans="1:28" ht="16.5" customHeight="1">
      <c r="A128" s="176"/>
      <c r="B128" s="184"/>
      <c r="C128" s="184"/>
      <c r="D128" s="184"/>
      <c r="E128" s="185"/>
      <c r="F128" s="186"/>
      <c r="G128" s="187"/>
      <c r="H128" s="187"/>
      <c r="I128" s="188"/>
      <c r="J128" s="188"/>
      <c r="K128" s="188"/>
      <c r="L128" s="188"/>
    </row>
    <row r="129" spans="1:12" ht="16.5" customHeight="1">
      <c r="A129" s="176"/>
      <c r="B129" s="177"/>
      <c r="C129" s="177"/>
      <c r="D129" s="177"/>
      <c r="E129" s="178"/>
      <c r="F129" s="179"/>
      <c r="G129" s="180"/>
      <c r="H129" s="180"/>
      <c r="I129" s="181"/>
      <c r="J129" s="181"/>
      <c r="K129" s="181"/>
      <c r="L129" s="182"/>
    </row>
    <row r="130" spans="1:12" ht="16.5" customHeight="1">
      <c r="A130" s="176"/>
      <c r="B130" s="177"/>
      <c r="C130" s="177"/>
      <c r="D130" s="177"/>
      <c r="E130" s="178"/>
      <c r="F130" s="179"/>
      <c r="G130" s="180"/>
      <c r="H130" s="180"/>
      <c r="I130" s="181"/>
      <c r="J130" s="181"/>
      <c r="K130" s="181"/>
      <c r="L130" s="182"/>
    </row>
    <row r="131" spans="1:12" ht="16.5" customHeight="1">
      <c r="A131" s="176"/>
      <c r="B131" s="177"/>
      <c r="C131" s="177"/>
      <c r="D131" s="177"/>
      <c r="E131" s="178"/>
      <c r="F131" s="179"/>
      <c r="G131" s="180"/>
      <c r="H131" s="180"/>
      <c r="I131" s="181"/>
      <c r="J131" s="181"/>
      <c r="K131" s="181"/>
      <c r="L131" s="182"/>
    </row>
    <row r="132" spans="1:12" ht="16.5" customHeight="1">
      <c r="A132" s="176"/>
      <c r="B132" s="177"/>
      <c r="C132" s="177"/>
      <c r="D132" s="177"/>
      <c r="E132" s="178"/>
      <c r="F132" s="179"/>
      <c r="G132" s="180"/>
      <c r="H132" s="180"/>
      <c r="I132" s="181"/>
      <c r="J132" s="181"/>
      <c r="K132" s="181"/>
      <c r="L132" s="182"/>
    </row>
    <row r="133" spans="1:12" ht="16.5" customHeight="1">
      <c r="A133" s="176"/>
      <c r="B133" s="177"/>
      <c r="C133" s="177"/>
      <c r="D133" s="177"/>
      <c r="E133" s="178"/>
      <c r="F133" s="179"/>
      <c r="G133" s="180"/>
      <c r="H133" s="180"/>
      <c r="I133" s="181"/>
      <c r="J133" s="181"/>
      <c r="K133" s="181"/>
      <c r="L133" s="182"/>
    </row>
    <row r="134" spans="1:12" ht="16.5" customHeight="1">
      <c r="A134" s="176"/>
      <c r="B134" s="177"/>
      <c r="C134" s="177"/>
      <c r="D134" s="177"/>
      <c r="E134" s="178"/>
      <c r="F134" s="179"/>
      <c r="G134" s="180"/>
      <c r="H134" s="180"/>
      <c r="I134" s="181"/>
      <c r="J134" s="181"/>
      <c r="K134" s="181"/>
      <c r="L134" s="182"/>
    </row>
  </sheetData>
  <mergeCells count="36">
    <mergeCell ref="B112:F112"/>
    <mergeCell ref="B124:F124"/>
    <mergeCell ref="P59:P71"/>
    <mergeCell ref="P73:P84"/>
    <mergeCell ref="P87:P98"/>
    <mergeCell ref="P101:P112"/>
    <mergeCell ref="P115:P126"/>
    <mergeCell ref="B118:F118"/>
    <mergeCell ref="A99:L99"/>
    <mergeCell ref="B101:F101"/>
    <mergeCell ref="B106:F106"/>
    <mergeCell ref="B68:F68"/>
    <mergeCell ref="B74:F74"/>
    <mergeCell ref="B82:F82"/>
    <mergeCell ref="B87:F87"/>
    <mergeCell ref="B93:F93"/>
    <mergeCell ref="P4:P15"/>
    <mergeCell ref="P17:P28"/>
    <mergeCell ref="P31:P42"/>
    <mergeCell ref="P45:P56"/>
    <mergeCell ref="A66:L66"/>
    <mergeCell ref="B6:F6"/>
    <mergeCell ref="B12:F12"/>
    <mergeCell ref="B18:F18"/>
    <mergeCell ref="B24:F24"/>
    <mergeCell ref="B40:F40"/>
    <mergeCell ref="B47:F47"/>
    <mergeCell ref="B53:F53"/>
    <mergeCell ref="A31:L31"/>
    <mergeCell ref="B33:F33"/>
    <mergeCell ref="B59:F59"/>
    <mergeCell ref="A1:L1"/>
    <mergeCell ref="A2:E2"/>
    <mergeCell ref="F2:H2"/>
    <mergeCell ref="I2:L2"/>
    <mergeCell ref="A4:L4"/>
  </mergeCells>
  <pageMargins left="0.7" right="0.7" top="0.75" bottom="0.75" header="0.3" footer="0.3"/>
  <pageSetup paperSize="9" scale="67" fitToHeight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9921875" defaultRowHeight="13"/>
  <cols>
    <col min="1" max="1" width="11.3984375" customWidth="1"/>
    <col min="2" max="2" width="11.59765625" style="23" customWidth="1"/>
    <col min="3" max="3" width="12.3984375" bestFit="1" customWidth="1"/>
  </cols>
  <sheetData>
    <row r="1" spans="1:3">
      <c r="A1" s="288" t="s">
        <v>24</v>
      </c>
      <c r="B1" s="288"/>
      <c r="C1" s="288"/>
    </row>
    <row r="2" spans="1:3">
      <c r="A2" s="28" t="s">
        <v>22</v>
      </c>
      <c r="B2" s="27" t="s">
        <v>25</v>
      </c>
      <c r="C2" t="s">
        <v>26</v>
      </c>
    </row>
    <row r="3" spans="1:3">
      <c r="A3" s="29">
        <v>30</v>
      </c>
      <c r="B3" s="27">
        <v>1</v>
      </c>
      <c r="C3" s="28">
        <v>1</v>
      </c>
    </row>
    <row r="4" spans="1:3">
      <c r="A4" s="29">
        <v>31</v>
      </c>
      <c r="B4" s="27">
        <v>1.016</v>
      </c>
      <c r="C4" s="27">
        <v>1.016</v>
      </c>
    </row>
    <row r="5" spans="1:3">
      <c r="A5" s="29">
        <v>32</v>
      </c>
      <c r="B5" s="27">
        <v>1.0309999999999999</v>
      </c>
      <c r="C5" s="27">
        <v>1.0169999999999999</v>
      </c>
    </row>
    <row r="6" spans="1:3">
      <c r="A6" s="29">
        <v>33</v>
      </c>
      <c r="B6" s="27">
        <v>1.046</v>
      </c>
      <c r="C6" s="27">
        <v>1.046</v>
      </c>
    </row>
    <row r="7" spans="1:3">
      <c r="A7" s="29">
        <v>34</v>
      </c>
      <c r="B7" s="27">
        <v>1.0589999999999999</v>
      </c>
      <c r="C7" s="27">
        <v>1.0589999999999999</v>
      </c>
    </row>
    <row r="8" spans="1:3">
      <c r="A8" s="29">
        <v>35</v>
      </c>
      <c r="B8" s="27">
        <v>1.0720000000000001</v>
      </c>
      <c r="C8" s="27">
        <v>1.0720000000000001</v>
      </c>
    </row>
    <row r="9" spans="1:3">
      <c r="A9" s="29">
        <v>36</v>
      </c>
      <c r="B9" s="27">
        <v>1.083</v>
      </c>
      <c r="C9" s="27">
        <v>1.0840000000000001</v>
      </c>
    </row>
    <row r="10" spans="1:3">
      <c r="A10" s="29">
        <v>37</v>
      </c>
      <c r="B10" s="27">
        <v>1.0960000000000001</v>
      </c>
      <c r="C10" s="27">
        <v>1.097</v>
      </c>
    </row>
    <row r="11" spans="1:3">
      <c r="A11" s="29">
        <v>38</v>
      </c>
      <c r="B11" s="27">
        <v>1.109</v>
      </c>
      <c r="C11" s="27">
        <v>1.1100000000000001</v>
      </c>
    </row>
    <row r="12" spans="1:3">
      <c r="A12" s="29">
        <v>39</v>
      </c>
      <c r="B12" s="27">
        <v>1.1220000000000001</v>
      </c>
      <c r="C12" s="27">
        <v>1.1240000000000001</v>
      </c>
    </row>
    <row r="13" spans="1:3">
      <c r="A13" s="29">
        <v>40</v>
      </c>
      <c r="B13" s="27">
        <v>1.135</v>
      </c>
      <c r="C13" s="27">
        <v>1.1379999999999999</v>
      </c>
    </row>
    <row r="14" spans="1:3">
      <c r="A14" s="29">
        <v>41</v>
      </c>
      <c r="B14" s="27">
        <v>1.149</v>
      </c>
      <c r="C14" s="27">
        <v>1.153</v>
      </c>
    </row>
    <row r="15" spans="1:3">
      <c r="A15" s="29">
        <v>42</v>
      </c>
      <c r="B15" s="27">
        <v>1.1619999999999999</v>
      </c>
      <c r="C15" s="27">
        <v>1.17</v>
      </c>
    </row>
    <row r="16" spans="1:3">
      <c r="A16" s="29">
        <v>43</v>
      </c>
      <c r="B16" s="27">
        <v>1.1759999999999999</v>
      </c>
      <c r="C16" s="27">
        <v>1.1870000000000001</v>
      </c>
    </row>
    <row r="17" spans="1:3">
      <c r="A17" s="29">
        <v>44</v>
      </c>
      <c r="B17" s="27">
        <v>1.1890000000000001</v>
      </c>
      <c r="C17" s="27">
        <v>1.2050000000000001</v>
      </c>
    </row>
    <row r="18" spans="1:3">
      <c r="A18" s="29">
        <v>45</v>
      </c>
      <c r="B18" s="27">
        <v>1.2030000000000001</v>
      </c>
      <c r="C18" s="27">
        <v>1.2230000000000001</v>
      </c>
    </row>
    <row r="19" spans="1:3">
      <c r="A19" s="29">
        <v>46</v>
      </c>
      <c r="B19" s="27">
        <v>1.218</v>
      </c>
      <c r="C19" s="27">
        <v>1.244</v>
      </c>
    </row>
    <row r="20" spans="1:3">
      <c r="A20" s="29">
        <v>47</v>
      </c>
      <c r="B20" s="27">
        <v>1.2330000000000001</v>
      </c>
      <c r="C20" s="27">
        <v>1.2649999999999999</v>
      </c>
    </row>
    <row r="21" spans="1:3">
      <c r="A21" s="29">
        <v>48</v>
      </c>
      <c r="B21" s="27">
        <v>1.248</v>
      </c>
      <c r="C21" s="27">
        <v>1.288</v>
      </c>
    </row>
    <row r="22" spans="1:3">
      <c r="A22" s="29">
        <v>49</v>
      </c>
      <c r="B22" s="27">
        <v>1.2629999999999999</v>
      </c>
      <c r="C22" s="27">
        <v>1.3129999999999999</v>
      </c>
    </row>
    <row r="23" spans="1:3">
      <c r="A23" s="29">
        <v>50</v>
      </c>
      <c r="B23" s="27">
        <v>1.2789999999999999</v>
      </c>
      <c r="C23" s="27">
        <v>1.34</v>
      </c>
    </row>
    <row r="24" spans="1:3">
      <c r="A24" s="29">
        <v>51</v>
      </c>
      <c r="B24" s="27">
        <v>1.2969999999999999</v>
      </c>
      <c r="C24" s="27">
        <v>1.369</v>
      </c>
    </row>
    <row r="25" spans="1:3">
      <c r="A25" s="29">
        <v>52</v>
      </c>
      <c r="B25" s="27">
        <v>1.3160000000000001</v>
      </c>
      <c r="C25" s="27">
        <v>1.401</v>
      </c>
    </row>
    <row r="26" spans="1:3">
      <c r="A26" s="29">
        <v>53</v>
      </c>
      <c r="B26" s="27">
        <v>1.3380000000000001</v>
      </c>
      <c r="C26" s="27">
        <v>1.4350000000000001</v>
      </c>
    </row>
    <row r="27" spans="1:3">
      <c r="A27" s="29">
        <v>54</v>
      </c>
      <c r="B27" s="27">
        <v>1.361</v>
      </c>
      <c r="C27" s="27">
        <v>1.47</v>
      </c>
    </row>
    <row r="28" spans="1:3">
      <c r="A28" s="29">
        <v>55</v>
      </c>
      <c r="B28" s="27">
        <v>1.385</v>
      </c>
      <c r="C28" s="27">
        <v>1.5069999999999999</v>
      </c>
    </row>
    <row r="29" spans="1:3" ht="14">
      <c r="A29" s="29">
        <v>56</v>
      </c>
      <c r="B29" s="27">
        <v>1.411</v>
      </c>
      <c r="C29" s="31">
        <v>1.5449999999999999</v>
      </c>
    </row>
    <row r="30" spans="1:3" ht="14">
      <c r="A30" s="29">
        <v>57</v>
      </c>
      <c r="B30" s="27">
        <v>1.4370000000000001</v>
      </c>
      <c r="C30" s="30">
        <v>1.585</v>
      </c>
    </row>
    <row r="31" spans="1:3" ht="14">
      <c r="A31" s="29">
        <v>58</v>
      </c>
      <c r="B31" s="27">
        <v>1.462</v>
      </c>
      <c r="C31" s="31">
        <v>1.625</v>
      </c>
    </row>
    <row r="32" spans="1:3" ht="14">
      <c r="A32" s="29">
        <v>59</v>
      </c>
      <c r="B32" s="27">
        <v>1.488</v>
      </c>
      <c r="C32" s="30">
        <v>1.665</v>
      </c>
    </row>
    <row r="33" spans="1:3" ht="14">
      <c r="A33" s="29">
        <v>60</v>
      </c>
      <c r="B33" s="27">
        <v>1.514</v>
      </c>
      <c r="C33" s="31">
        <v>1.7050000000000001</v>
      </c>
    </row>
    <row r="34" spans="1:3" ht="14">
      <c r="A34" s="29">
        <v>61</v>
      </c>
      <c r="B34" s="27">
        <v>1.5409999999999999</v>
      </c>
      <c r="C34" s="30">
        <v>1.744</v>
      </c>
    </row>
    <row r="35" spans="1:3" ht="14">
      <c r="A35" s="29">
        <v>62</v>
      </c>
      <c r="B35" s="27">
        <v>1.5680000000000001</v>
      </c>
      <c r="C35" s="31">
        <v>1.778</v>
      </c>
    </row>
    <row r="36" spans="1:3" ht="14">
      <c r="A36" s="29">
        <v>63</v>
      </c>
      <c r="B36" s="27">
        <v>1.5980000000000001</v>
      </c>
      <c r="C36" s="30">
        <v>1.8080000000000001</v>
      </c>
    </row>
    <row r="37" spans="1:3" ht="14">
      <c r="A37" s="29">
        <v>64</v>
      </c>
      <c r="B37" s="27">
        <v>1.629</v>
      </c>
      <c r="C37" s="31">
        <v>1.839</v>
      </c>
    </row>
    <row r="38" spans="1:3" ht="14">
      <c r="A38" s="29">
        <v>65</v>
      </c>
      <c r="B38" s="27">
        <v>1.663</v>
      </c>
      <c r="C38" s="30">
        <v>1.873</v>
      </c>
    </row>
    <row r="39" spans="1:3" ht="14">
      <c r="A39" s="29">
        <v>66</v>
      </c>
      <c r="B39" s="27">
        <v>1.6990000000000001</v>
      </c>
      <c r="C39" s="31">
        <v>1.909</v>
      </c>
    </row>
    <row r="40" spans="1:3" ht="14">
      <c r="A40" s="29">
        <v>67</v>
      </c>
      <c r="B40" s="27">
        <v>1.738</v>
      </c>
      <c r="C40" s="30">
        <v>1.948</v>
      </c>
    </row>
    <row r="41" spans="1:3" ht="14">
      <c r="A41" s="29">
        <v>68</v>
      </c>
      <c r="B41" s="27">
        <v>1.7789999999999999</v>
      </c>
      <c r="C41" s="31">
        <v>1.9890000000000001</v>
      </c>
    </row>
    <row r="42" spans="1:3" ht="14">
      <c r="A42" s="29">
        <v>69</v>
      </c>
      <c r="B42" s="27">
        <v>1.823</v>
      </c>
      <c r="C42" s="30">
        <v>2.0329999999999999</v>
      </c>
    </row>
    <row r="43" spans="1:3" ht="14">
      <c r="A43" s="29">
        <v>70</v>
      </c>
      <c r="B43" s="27">
        <v>1.867</v>
      </c>
      <c r="C43" s="31">
        <v>2.077</v>
      </c>
    </row>
    <row r="44" spans="1:3" ht="14">
      <c r="A44" s="29">
        <v>71</v>
      </c>
      <c r="B44" s="27">
        <v>1.91</v>
      </c>
      <c r="C44" s="30">
        <v>2.12</v>
      </c>
    </row>
    <row r="45" spans="1:3" ht="14">
      <c r="A45" s="29">
        <v>72</v>
      </c>
      <c r="B45" s="27">
        <v>1.9530000000000001</v>
      </c>
      <c r="C45" s="31">
        <v>2.1629999999999998</v>
      </c>
    </row>
    <row r="46" spans="1:3" ht="14">
      <c r="A46" s="29">
        <v>73</v>
      </c>
      <c r="B46" s="27">
        <v>2.004</v>
      </c>
      <c r="C46" s="30">
        <v>2.214</v>
      </c>
    </row>
    <row r="47" spans="1:3" ht="14">
      <c r="A47" s="29">
        <v>74</v>
      </c>
      <c r="B47" s="27">
        <v>2.06</v>
      </c>
      <c r="C47" s="31">
        <v>2.27</v>
      </c>
    </row>
    <row r="48" spans="1:3" ht="14">
      <c r="A48" s="29">
        <v>75</v>
      </c>
      <c r="B48" s="27">
        <v>2.117</v>
      </c>
      <c r="C48" s="30">
        <v>2.327</v>
      </c>
    </row>
    <row r="49" spans="1:3" ht="14">
      <c r="A49" s="29">
        <v>76</v>
      </c>
      <c r="B49" s="27">
        <v>2.181</v>
      </c>
      <c r="C49" s="31">
        <v>2.391</v>
      </c>
    </row>
    <row r="50" spans="1:3" ht="14">
      <c r="A50" s="29">
        <v>77</v>
      </c>
      <c r="B50" s="27">
        <v>2.2549999999999999</v>
      </c>
      <c r="C50" s="30">
        <v>2.4649999999999999</v>
      </c>
    </row>
    <row r="51" spans="1:3" ht="14">
      <c r="A51" s="29">
        <v>78</v>
      </c>
      <c r="B51" s="27">
        <v>2.3359999999999999</v>
      </c>
      <c r="C51" s="31">
        <v>2.5459999999999998</v>
      </c>
    </row>
    <row r="52" spans="1:3" ht="14">
      <c r="A52" s="29">
        <v>79</v>
      </c>
      <c r="B52" s="27">
        <v>2.419</v>
      </c>
      <c r="C52" s="30">
        <v>2.629</v>
      </c>
    </row>
    <row r="53" spans="1:3" ht="14">
      <c r="A53" s="29">
        <v>80</v>
      </c>
      <c r="B53" s="27">
        <v>2.504</v>
      </c>
      <c r="C53" s="31">
        <v>2.714</v>
      </c>
    </row>
    <row r="54" spans="1:3" ht="14">
      <c r="A54" s="29">
        <v>81</v>
      </c>
      <c r="B54" s="27">
        <v>2.597</v>
      </c>
      <c r="C54" s="32"/>
    </row>
    <row r="55" spans="1:3" ht="14">
      <c r="A55" s="29">
        <v>82</v>
      </c>
      <c r="B55" s="27">
        <v>2.702</v>
      </c>
      <c r="C55" s="32"/>
    </row>
    <row r="56" spans="1:3" ht="14">
      <c r="A56" s="29">
        <v>83</v>
      </c>
      <c r="B56" s="27">
        <v>2.831</v>
      </c>
      <c r="C56" s="32"/>
    </row>
    <row r="57" spans="1:3" ht="14">
      <c r="A57" s="29">
        <v>84</v>
      </c>
      <c r="B57" s="27">
        <v>2.9809999999999999</v>
      </c>
      <c r="C57" s="32"/>
    </row>
    <row r="58" spans="1:3" ht="14">
      <c r="A58" s="29">
        <v>85</v>
      </c>
      <c r="B58" s="27">
        <v>3.153</v>
      </c>
      <c r="C58" s="32"/>
    </row>
    <row r="59" spans="1:3" ht="14">
      <c r="A59" s="29">
        <v>86</v>
      </c>
      <c r="B59" s="27">
        <v>3.3519999999999999</v>
      </c>
      <c r="C59" s="32"/>
    </row>
    <row r="60" spans="1:3" ht="14">
      <c r="A60" s="29">
        <v>87</v>
      </c>
      <c r="B60" s="27">
        <v>3.58</v>
      </c>
      <c r="C60" s="32"/>
    </row>
    <row r="61" spans="1:3" ht="14">
      <c r="A61" s="29">
        <v>88</v>
      </c>
      <c r="B61" s="27">
        <v>3.8420000000000001</v>
      </c>
      <c r="C61" s="32"/>
    </row>
    <row r="62" spans="1:3" ht="14">
      <c r="A62" s="29">
        <v>89</v>
      </c>
      <c r="B62" s="27">
        <v>4.1449999999999996</v>
      </c>
      <c r="C62" s="32"/>
    </row>
    <row r="63" spans="1:3" ht="14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DB98-42AB-6647-AAE5-6213532F6B6E}">
  <sheetPr>
    <pageSetUpPr autoPageBreaks="0" fitToPage="1"/>
  </sheetPr>
  <dimension ref="A1:AJ50"/>
  <sheetViews>
    <sheetView showGridLines="0" showZeros="0" showOutlineSymbols="0" zoomScaleNormal="100" zoomScaleSheetLayoutView="75" zoomScalePageLayoutView="120" workbookViewId="0">
      <selection activeCell="G1" sqref="G1:G1048576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hidden="1" customWidth="1"/>
    <col min="5" max="6" width="6.3984375" style="16" customWidth="1"/>
    <col min="7" max="7" width="10.59765625" style="1" hidden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35" t="s">
        <v>57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83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36" t="s">
        <v>21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85" t="s">
        <v>59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55" t="s">
        <v>61</v>
      </c>
      <c r="E5" s="255"/>
      <c r="F5" s="255"/>
      <c r="G5" s="255"/>
      <c r="H5" s="255"/>
      <c r="I5" s="255"/>
      <c r="J5" s="24" t="s">
        <v>0</v>
      </c>
      <c r="K5" s="255" t="s">
        <v>62</v>
      </c>
      <c r="L5" s="255"/>
      <c r="M5" s="255"/>
      <c r="N5" s="255"/>
      <c r="O5" s="24" t="s">
        <v>1</v>
      </c>
      <c r="P5" s="254" t="s">
        <v>63</v>
      </c>
      <c r="Q5" s="254"/>
      <c r="R5" s="254"/>
      <c r="S5" s="254"/>
      <c r="T5" s="24" t="s">
        <v>2</v>
      </c>
      <c r="U5" s="266">
        <v>45913</v>
      </c>
      <c r="V5" s="266"/>
      <c r="W5" s="55"/>
      <c r="X5" s="55"/>
      <c r="Y5" s="55"/>
      <c r="Z5" s="25" t="s">
        <v>15</v>
      </c>
      <c r="AA5" s="25"/>
      <c r="AB5" s="26">
        <v>2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4" t="s">
        <v>56</v>
      </c>
    </row>
    <row r="7" spans="1:36" s="1" customFormat="1">
      <c r="B7" s="252" t="s">
        <v>33</v>
      </c>
      <c r="C7" s="256" t="s">
        <v>52</v>
      </c>
      <c r="D7" s="256" t="s">
        <v>51</v>
      </c>
      <c r="E7" s="258" t="s">
        <v>53</v>
      </c>
      <c r="F7" s="260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4"/>
    </row>
    <row r="8" spans="1:36" s="1" customFormat="1">
      <c r="B8" s="253"/>
      <c r="C8" s="257"/>
      <c r="D8" s="257"/>
      <c r="E8" s="259"/>
      <c r="F8" s="261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206" t="s">
        <v>98</v>
      </c>
      <c r="C9" s="148" t="s">
        <v>337</v>
      </c>
      <c r="D9" s="212">
        <v>56.52</v>
      </c>
      <c r="E9" s="147" t="s">
        <v>125</v>
      </c>
      <c r="F9" s="148" t="s">
        <v>126</v>
      </c>
      <c r="G9" s="149">
        <v>41248</v>
      </c>
      <c r="H9" s="150">
        <v>1</v>
      </c>
      <c r="I9" s="151" t="s">
        <v>89</v>
      </c>
      <c r="J9" s="152" t="s">
        <v>62</v>
      </c>
      <c r="K9" s="153">
        <v>25</v>
      </c>
      <c r="L9" s="154">
        <v>27</v>
      </c>
      <c r="M9" s="154">
        <v>30</v>
      </c>
      <c r="N9" s="153">
        <v>30</v>
      </c>
      <c r="O9" s="154">
        <v>33</v>
      </c>
      <c r="P9" s="154">
        <v>35</v>
      </c>
      <c r="Q9" s="155">
        <f>IF(MAX(K9:M9)&gt;0,IF(MAX(K9:M9)&lt;0,0,TRUNC(MAX(K9:M9)/1)*1),"")</f>
        <v>30</v>
      </c>
      <c r="R9" s="156">
        <f>IF(MAX(N9:P9)&gt;0,IF(MAX(N9:P9)&lt;0,0,TRUNC(MAX(N9:P9)/1)*1),"")</f>
        <v>35</v>
      </c>
      <c r="S9" s="156">
        <f>IF(Q9="","",IF(R9="","",IF(SUM(Q9:R9)=0,"",SUM(Q9:R9))))</f>
        <v>65</v>
      </c>
      <c r="T9" s="157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104.60975753522749</v>
      </c>
      <c r="U9" s="158" t="str">
        <f>IF(AF9=1,T9*AI9,"")</f>
        <v/>
      </c>
      <c r="V9" s="159">
        <v>5.15</v>
      </c>
      <c r="W9" s="159">
        <v>6.37</v>
      </c>
      <c r="X9" s="159">
        <v>9.1999999999999993</v>
      </c>
      <c r="Y9" s="157"/>
      <c r="Z9" s="160"/>
      <c r="AA9" s="160" t="s">
        <v>308</v>
      </c>
      <c r="AB9" s="161"/>
      <c r="AC9" s="68">
        <f>U5</f>
        <v>45913</v>
      </c>
      <c r="AD9" s="69" t="str">
        <f>IF(ISNUMBER(FIND("M",E9)),"m",IF(ISNUMBER(FIND("K",E9)),"k"))</f>
        <v>m</v>
      </c>
      <c r="AE9" s="67">
        <f>IF(OR(G9="",AC9=""),0,(YEAR(AC9)-YEAR(G9)))</f>
        <v>13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1.6093808851573459</v>
      </c>
    </row>
    <row r="10" spans="1:36" s="8" customFormat="1" ht="20" customHeight="1">
      <c r="B10" s="207"/>
      <c r="C10" s="94"/>
      <c r="D10" s="210"/>
      <c r="E10" s="94"/>
      <c r="F10" s="95"/>
      <c r="G10" s="96"/>
      <c r="H10" s="97"/>
      <c r="I10" s="98"/>
      <c r="J10" s="98"/>
      <c r="K10" s="215"/>
      <c r="L10" s="215"/>
      <c r="M10" s="215"/>
      <c r="N10" s="216"/>
      <c r="O10" s="216"/>
      <c r="P10" s="216"/>
      <c r="Q10" s="99"/>
      <c r="R10" s="94"/>
      <c r="S10" s="215">
        <f>IF(T9="","",T9*1.2)</f>
        <v>125.53170904227298</v>
      </c>
      <c r="T10" s="215"/>
      <c r="U10" s="94"/>
      <c r="V10" s="94">
        <f>IF(V9&gt;0,V9*20,"")</f>
        <v>103</v>
      </c>
      <c r="W10" s="94">
        <f>IF(W9="","",(W9*10)*AJ9)</f>
        <v>102.51756238452293</v>
      </c>
      <c r="X10" s="100">
        <f>IF(ROUNDUP(X9,1)&gt;0,IF((80+(8-ROUNDUP(X9,1))*40)&lt;0,0,80+(8-ROUNDUP(X9,1))*40),"")</f>
        <v>32.000000000000028</v>
      </c>
      <c r="Y10" s="101">
        <f>IF(SUM(V10,W10,X10)&gt;0,SUM(V10,W10,X10),"")</f>
        <v>237.51756238452296</v>
      </c>
      <c r="Z10" s="102">
        <f>IF(AE9&gt;34,(IF(OR(S10="",V10="",W10="",X10=""),"",SUM(S10,V10,W10,X10))*AI9),IF(OR(S10="",V10="",W10="",X10=""),"", SUM(S10,V10,W10,X10)))</f>
        <v>363.04927142679594</v>
      </c>
      <c r="AA10" s="102"/>
      <c r="AB10" s="103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208" t="s">
        <v>99</v>
      </c>
      <c r="C11" s="107"/>
      <c r="D11" s="211"/>
      <c r="E11" s="147" t="s">
        <v>125</v>
      </c>
      <c r="F11" s="148" t="s">
        <v>126</v>
      </c>
      <c r="G11" s="108">
        <v>40698</v>
      </c>
      <c r="H11" s="109">
        <v>2</v>
      </c>
      <c r="I11" s="110" t="s">
        <v>90</v>
      </c>
      <c r="J11" s="111" t="s">
        <v>71</v>
      </c>
      <c r="K11" s="112"/>
      <c r="L11" s="113"/>
      <c r="M11" s="113"/>
      <c r="N11" s="112"/>
      <c r="O11" s="113"/>
      <c r="P11" s="113"/>
      <c r="Q11" s="114" t="str">
        <f>IF(MAX(K11:M11)&gt;0,IF(MAX(K11:M11)&lt;0,0,TRUNC(MAX(K11:M11)/1)*1),"")</f>
        <v/>
      </c>
      <c r="R11" s="115" t="str">
        <f>IF(MAX(N11:P11)&gt;0,IF(MAX(N11:P11)&lt;0,0,TRUNC(MAX(N11:P11)/1)*1),"")</f>
        <v/>
      </c>
      <c r="S11" s="115" t="str">
        <f>IF(Q11="","",IF(R11="","",IF(SUM(Q11:R11)=0,"",SUM(Q11:R11))))</f>
        <v/>
      </c>
      <c r="T11" s="116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7" t="str">
        <f>IF(AF11=1,T11*AI11,"")</f>
        <v/>
      </c>
      <c r="V11" s="118"/>
      <c r="W11" s="118"/>
      <c r="X11" s="118"/>
      <c r="Y11" s="119"/>
      <c r="Z11" s="120"/>
      <c r="AA11" s="120"/>
      <c r="AB11" s="121"/>
      <c r="AC11" s="66">
        <f>U5</f>
        <v>45913</v>
      </c>
      <c r="AD11" s="69" t="str">
        <f>IF(ISNUMBER(FIND("M",E11)),"m",IF(ISNUMBER(FIND("K",E11)),"k"))</f>
        <v>m</v>
      </c>
      <c r="AE11" s="67">
        <f>IF(OR(G11="",AC11=""),0,(YEAR(AC11)-YEAR(G11)))</f>
        <v>14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>
      <c r="B12" s="104"/>
      <c r="C12" s="94"/>
      <c r="D12" s="210"/>
      <c r="E12" s="94"/>
      <c r="F12" s="95"/>
      <c r="G12" s="96"/>
      <c r="H12" s="97"/>
      <c r="I12" s="98"/>
      <c r="J12" s="98"/>
      <c r="K12" s="215"/>
      <c r="L12" s="215"/>
      <c r="M12" s="215"/>
      <c r="N12" s="216"/>
      <c r="O12" s="216"/>
      <c r="P12" s="216"/>
      <c r="Q12" s="99"/>
      <c r="R12" s="94"/>
      <c r="S12" s="215" t="str">
        <f>IF(T11="","",T11*1.2)</f>
        <v/>
      </c>
      <c r="T12" s="215"/>
      <c r="U12" s="102"/>
      <c r="V12" s="94" t="str">
        <f>IF(V11&gt;0,V11*20,"")</f>
        <v/>
      </c>
      <c r="W12" s="94" t="str">
        <f>IF(W11="","",(W11*10)*AJ11)</f>
        <v/>
      </c>
      <c r="X12" s="100" t="str">
        <f>IF(ROUNDUP(X11,1)&gt;0,IF((80+(8-ROUNDUP(X11,1))*40)&lt;0,0,80+(8-ROUNDUP(X11,1))*40),"")</f>
        <v/>
      </c>
      <c r="Y12" s="101" t="str">
        <f>IF(SUM(V12,W12,X12)&gt;0,SUM(V12,W12,X12),"")</f>
        <v/>
      </c>
      <c r="Z12" s="102" t="str">
        <f>IF(AE11&gt;34,(IF(OR(S12="",V12="",W12="",X12=""),"",SUM(S12,V12,W12,X12))*AI11),IF(OR(S12="",V12="",W12="",X12=""),"", SUM(S12,V12,W12,X12)))</f>
        <v/>
      </c>
      <c r="AA12" s="102"/>
      <c r="AB12" s="103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2" t="s">
        <v>100</v>
      </c>
      <c r="C13" s="105" t="s">
        <v>338</v>
      </c>
      <c r="D13" s="211">
        <v>61.75</v>
      </c>
      <c r="E13" s="147" t="s">
        <v>125</v>
      </c>
      <c r="F13" s="148" t="s">
        <v>126</v>
      </c>
      <c r="G13" s="108">
        <v>40609</v>
      </c>
      <c r="H13" s="109">
        <v>3</v>
      </c>
      <c r="I13" s="110" t="s">
        <v>91</v>
      </c>
      <c r="J13" s="111" t="s">
        <v>92</v>
      </c>
      <c r="K13" s="112">
        <v>46</v>
      </c>
      <c r="L13" s="113">
        <v>48</v>
      </c>
      <c r="M13" s="113">
        <v>-51</v>
      </c>
      <c r="N13" s="112">
        <v>60</v>
      </c>
      <c r="O13" s="113">
        <v>-65</v>
      </c>
      <c r="P13" s="113">
        <v>-66</v>
      </c>
      <c r="Q13" s="114">
        <f>IF(MAX(K13:M13)&gt;0,IF(MAX(K13:M13)&lt;0,0,TRUNC(MAX(K13:M13)/1)*1),"")</f>
        <v>48</v>
      </c>
      <c r="R13" s="115">
        <f>IF(MAX(N13:P13)&gt;0,IF(MAX(N13:P13)&lt;0,0,TRUNC(MAX(N13:P13)/1)*1),"")</f>
        <v>60</v>
      </c>
      <c r="S13" s="115">
        <f>IF(Q13="","",IF(R13="","",IF(SUM(Q13:R13)=0,"",SUM(Q13:R13))))</f>
        <v>108</v>
      </c>
      <c r="T13" s="11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162.7203486705676</v>
      </c>
      <c r="U13" s="117" t="str">
        <f>IF(AF13=1,T13*AI13,"")</f>
        <v/>
      </c>
      <c r="V13" s="118">
        <v>7</v>
      </c>
      <c r="W13" s="118">
        <v>10.6</v>
      </c>
      <c r="X13" s="118">
        <v>7</v>
      </c>
      <c r="Y13" s="123"/>
      <c r="Z13" s="120"/>
      <c r="AA13" s="120" t="s">
        <v>303</v>
      </c>
      <c r="AB13" s="121"/>
      <c r="AC13" s="66">
        <f>U5</f>
        <v>45913</v>
      </c>
      <c r="AD13" s="69" t="str">
        <f>IF(ISNUMBER(FIND("M",E13)),"m",IF(ISNUMBER(FIND("K",E13)),"k"))</f>
        <v>m</v>
      </c>
      <c r="AE13" s="67">
        <f>IF(OR(G13="",AC13=""),0,(YEAR(AC13)-YEAR(G13)))</f>
        <v>14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1.5066698950978481</v>
      </c>
    </row>
    <row r="14" spans="1:36" s="8" customFormat="1" ht="20" customHeight="1">
      <c r="B14" s="104"/>
      <c r="C14" s="94"/>
      <c r="D14" s="210"/>
      <c r="E14" s="94"/>
      <c r="F14" s="95"/>
      <c r="G14" s="96"/>
      <c r="H14" s="97"/>
      <c r="I14" s="98"/>
      <c r="J14" s="98"/>
      <c r="K14" s="215"/>
      <c r="L14" s="215"/>
      <c r="M14" s="215"/>
      <c r="N14" s="216"/>
      <c r="O14" s="216"/>
      <c r="P14" s="216"/>
      <c r="Q14" s="99"/>
      <c r="R14" s="94"/>
      <c r="S14" s="215">
        <f>IF(T13="","",T13*1.2)</f>
        <v>195.26441840468112</v>
      </c>
      <c r="T14" s="215"/>
      <c r="U14" s="94"/>
      <c r="V14" s="94">
        <f>IF(V13&gt;0,V13*20,"")</f>
        <v>140</v>
      </c>
      <c r="W14" s="94">
        <f>IF(W13="","",(W13*10)*AJ13)</f>
        <v>159.70700888037189</v>
      </c>
      <c r="X14" s="100">
        <f>IF(ROUNDUP(X13,1)&gt;0,IF((80+(8-ROUNDUP(X13,1))*40)&lt;0,0,80+(8-ROUNDUP(X13,1))*40),"")</f>
        <v>120</v>
      </c>
      <c r="Y14" s="101">
        <f>IF(SUM(V14,W14,X14)&gt;0,SUM(V14,W14,X14),"")</f>
        <v>419.70700888037186</v>
      </c>
      <c r="Z14" s="102">
        <f>IF(AE13&gt;34,(IF(OR(S14="",V14="",W14="",X14=""),"",SUM(S14,V14,W14,X14))*AI13),IF(OR(S14="",V14="",W14="",X14=""),"", SUM(S14,V14,W14,X14)))</f>
        <v>614.97142728505298</v>
      </c>
      <c r="AA14" s="102"/>
      <c r="AB14" s="103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2" t="s">
        <v>101</v>
      </c>
      <c r="C15" s="105" t="s">
        <v>337</v>
      </c>
      <c r="D15" s="211">
        <v>57.32</v>
      </c>
      <c r="E15" s="147" t="s">
        <v>125</v>
      </c>
      <c r="F15" s="148" t="s">
        <v>126</v>
      </c>
      <c r="G15" s="108">
        <v>41110</v>
      </c>
      <c r="H15" s="109">
        <v>4</v>
      </c>
      <c r="I15" s="110" t="s">
        <v>93</v>
      </c>
      <c r="J15" s="111" t="s">
        <v>65</v>
      </c>
      <c r="K15" s="112">
        <v>35</v>
      </c>
      <c r="L15" s="113">
        <v>37</v>
      </c>
      <c r="M15" s="113">
        <v>-39</v>
      </c>
      <c r="N15" s="112">
        <v>45</v>
      </c>
      <c r="O15" s="113">
        <v>-48</v>
      </c>
      <c r="P15" s="113">
        <v>-49</v>
      </c>
      <c r="Q15" s="114">
        <f>IF(MAX(K15:M15)&gt;0,IF(MAX(K15:M15)&lt;0,0,TRUNC(MAX(K15:M15)/1)*1),"")</f>
        <v>37</v>
      </c>
      <c r="R15" s="115">
        <f>IF(MAX(N15:P15)&gt;0,IF(MAX(N15:P15)&lt;0,0,TRUNC(MAX(N15:P15)/1)*1),"")</f>
        <v>45</v>
      </c>
      <c r="S15" s="115">
        <f>IF(Q15="","",IF(R15="","",IF(SUM(Q15:R15)=0,"",SUM(Q15:R15))))</f>
        <v>82</v>
      </c>
      <c r="T15" s="11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130.55138242059343</v>
      </c>
      <c r="U15" s="117" t="str">
        <f>IF(AF15=1,T15*AI15,"")</f>
        <v/>
      </c>
      <c r="V15" s="118">
        <v>6.67</v>
      </c>
      <c r="W15" s="118">
        <v>7.36</v>
      </c>
      <c r="X15" s="118">
        <v>7.5</v>
      </c>
      <c r="Y15" s="119"/>
      <c r="Z15" s="120"/>
      <c r="AA15" s="120" t="s">
        <v>307</v>
      </c>
      <c r="AB15" s="121"/>
      <c r="AC15" s="66">
        <f>U5</f>
        <v>45913</v>
      </c>
      <c r="AD15" s="69" t="str">
        <f>IF(ISNUMBER(FIND("M",E15)),"m",IF(ISNUMBER(FIND("K",E15)),"k"))</f>
        <v>m</v>
      </c>
      <c r="AE15" s="67">
        <f>IF(OR(G15="",AC15=""),0,(YEAR(AC15)-YEAR(G15)))</f>
        <v>13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1.592090029519432</v>
      </c>
    </row>
    <row r="16" spans="1:36" s="8" customFormat="1" ht="20" customHeight="1">
      <c r="B16" s="104"/>
      <c r="C16" s="94"/>
      <c r="D16" s="210"/>
      <c r="E16" s="94"/>
      <c r="F16" s="95"/>
      <c r="G16" s="96"/>
      <c r="H16" s="97"/>
      <c r="I16" s="98"/>
      <c r="J16" s="98"/>
      <c r="K16" s="215"/>
      <c r="L16" s="215"/>
      <c r="M16" s="215"/>
      <c r="N16" s="216"/>
      <c r="O16" s="216"/>
      <c r="P16" s="216"/>
      <c r="Q16" s="136"/>
      <c r="R16" s="137"/>
      <c r="S16" s="215">
        <f>IF(T15="","",T15*1.2)</f>
        <v>156.66165890471211</v>
      </c>
      <c r="T16" s="215"/>
      <c r="U16" s="94"/>
      <c r="V16" s="94">
        <f>IF(V15&gt;0,V15*20,"")</f>
        <v>133.4</v>
      </c>
      <c r="W16" s="94">
        <f>IF(W15="","",(W15*10)*AJ15)</f>
        <v>117.1778261726302</v>
      </c>
      <c r="X16" s="100">
        <f>IF(ROUNDUP(X15,1)&gt;0,IF((80+(8-ROUNDUP(X15,1))*40)&lt;0,0,80+(8-ROUNDUP(X15,1))*40),"")</f>
        <v>100</v>
      </c>
      <c r="Y16" s="101">
        <f>IF(SUM(V16,W16,X16)&gt;0,SUM(V16,W16,X16),"")</f>
        <v>350.57782617263024</v>
      </c>
      <c r="Z16" s="102">
        <f>IF(AE15&gt;34,(IF(OR(S16="",V16="",W16="",X16=""),"",SUM(S16,V16,W16,X16))*AI15),IF(OR(S16="",V16="",W16="",X16=""),"", SUM(S16,V16,W16,X16)))</f>
        <v>507.23948507734229</v>
      </c>
      <c r="AA16" s="102"/>
      <c r="AB16" s="103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2" t="s">
        <v>102</v>
      </c>
      <c r="C17" s="105" t="s">
        <v>335</v>
      </c>
      <c r="D17" s="211">
        <v>53.81</v>
      </c>
      <c r="E17" s="147" t="s">
        <v>125</v>
      </c>
      <c r="F17" s="148" t="s">
        <v>126</v>
      </c>
      <c r="G17" s="108">
        <v>40634</v>
      </c>
      <c r="H17" s="109">
        <v>5</v>
      </c>
      <c r="I17" s="124" t="s">
        <v>94</v>
      </c>
      <c r="J17" s="111" t="s">
        <v>95</v>
      </c>
      <c r="K17" s="112">
        <v>38</v>
      </c>
      <c r="L17" s="113">
        <v>-40</v>
      </c>
      <c r="M17" s="113">
        <v>-40</v>
      </c>
      <c r="N17" s="112">
        <v>42</v>
      </c>
      <c r="O17" s="113">
        <v>-46</v>
      </c>
      <c r="P17" s="113">
        <v>46</v>
      </c>
      <c r="Q17" s="114">
        <f>IF(MAX(K17:M17)&gt;0,IF(MAX(K17:M17)&lt;0,0,TRUNC(MAX(K17:M17)/1)*1),"")</f>
        <v>38</v>
      </c>
      <c r="R17" s="115">
        <f>IF(MAX(N17:P17)&gt;0,IF(MAX(N17:P17)&lt;0,0,TRUNC(MAX(N17:P17)/1)*1),"")</f>
        <v>46</v>
      </c>
      <c r="S17" s="125">
        <f>IF(Q17="","",IF(R17="","",IF(SUM(Q17:R17)=0,"",SUM(Q17:R17))))</f>
        <v>84</v>
      </c>
      <c r="T17" s="11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140.52755028158418</v>
      </c>
      <c r="U17" s="117" t="str">
        <f>IF(AF17=1,T17*AI17,"")</f>
        <v/>
      </c>
      <c r="V17" s="118">
        <v>6.77</v>
      </c>
      <c r="W17" s="118">
        <v>9.08</v>
      </c>
      <c r="X17" s="118">
        <v>7.3</v>
      </c>
      <c r="Y17" s="119"/>
      <c r="Z17" s="120"/>
      <c r="AA17" s="120" t="s">
        <v>306</v>
      </c>
      <c r="AB17" s="121"/>
      <c r="AC17" s="66">
        <f>U5</f>
        <v>45913</v>
      </c>
      <c r="AD17" s="69" t="str">
        <f>IF(ISNUMBER(FIND("M",E17)),"m",IF(ISNUMBER(FIND("K",E17)),"k"))</f>
        <v>m</v>
      </c>
      <c r="AE17" s="67">
        <f>IF(OR(G17="",AC17=""),0,(YEAR(AC17)-YEAR(G17)))</f>
        <v>14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1.6729470271617166</v>
      </c>
    </row>
    <row r="18" spans="2:36" s="8" customFormat="1" ht="20" customHeight="1">
      <c r="B18" s="104"/>
      <c r="C18" s="94"/>
      <c r="D18" s="210"/>
      <c r="E18" s="94"/>
      <c r="F18" s="95"/>
      <c r="G18" s="96"/>
      <c r="H18" s="97"/>
      <c r="I18" s="98"/>
      <c r="J18" s="98"/>
      <c r="K18" s="215"/>
      <c r="L18" s="215"/>
      <c r="M18" s="215"/>
      <c r="N18" s="216"/>
      <c r="O18" s="216"/>
      <c r="P18" s="216"/>
      <c r="Q18" s="99"/>
      <c r="R18" s="94"/>
      <c r="S18" s="215">
        <f>IF(T17="","",T17*1.2)</f>
        <v>168.63306033790101</v>
      </c>
      <c r="T18" s="215"/>
      <c r="U18" s="94"/>
      <c r="V18" s="94">
        <f>IF(V17&gt;0,V17*20,"")</f>
        <v>135.39999999999998</v>
      </c>
      <c r="W18" s="94">
        <f>IF(W17="","",(W17*10)*AJ17)</f>
        <v>151.90359006628387</v>
      </c>
      <c r="X18" s="100">
        <f>IF(ROUNDUP(X17,1)&gt;0,IF((80+(8-ROUNDUP(X17,1))*40)&lt;0,0,80+(8-ROUNDUP(X17,1))*40),"")</f>
        <v>108</v>
      </c>
      <c r="Y18" s="101">
        <f>IF(SUM(V18,W18,X18)&gt;0,SUM(V18,W18,X18),"")</f>
        <v>395.30359006628385</v>
      </c>
      <c r="Z18" s="102">
        <f>IF(AE17&gt;34,(IF(OR(S18="",V18="",W18="",X18=""),"",SUM(S18,V18,W18,X18))*AI17),IF(OR(S18="",V18="",W18="",X18=""),"", SUM(S18,V18,W18,X18)))</f>
        <v>563.93665040418489</v>
      </c>
      <c r="AA18" s="102"/>
      <c r="AB18" s="103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2" t="s">
        <v>103</v>
      </c>
      <c r="C19" s="105" t="s">
        <v>333</v>
      </c>
      <c r="D19" s="211">
        <v>73.599999999999994</v>
      </c>
      <c r="E19" s="147" t="s">
        <v>125</v>
      </c>
      <c r="F19" s="148" t="s">
        <v>126</v>
      </c>
      <c r="G19" s="108">
        <v>40714</v>
      </c>
      <c r="H19" s="109">
        <v>6</v>
      </c>
      <c r="I19" s="124" t="s">
        <v>96</v>
      </c>
      <c r="J19" s="111" t="s">
        <v>92</v>
      </c>
      <c r="K19" s="112">
        <v>54</v>
      </c>
      <c r="L19" s="113">
        <v>57</v>
      </c>
      <c r="M19" s="113">
        <v>-59</v>
      </c>
      <c r="N19" s="112">
        <v>71</v>
      </c>
      <c r="O19" s="113">
        <v>73</v>
      </c>
      <c r="P19" s="113">
        <v>75</v>
      </c>
      <c r="Q19" s="114">
        <f>IF(MAX(K19:M19)&gt;0,IF(MAX(K19:M19)&lt;0,0,TRUNC(MAX(K19:M19)/1)*1),"")</f>
        <v>57</v>
      </c>
      <c r="R19" s="115">
        <f>IF(MAX(N19:P19)&gt;0,IF(MAX(N19:P19)&lt;0,0,TRUNC(MAX(N19:P19)/1)*1),"")</f>
        <v>75</v>
      </c>
      <c r="S19" s="125">
        <f>IF(Q19="","",IF(R19="","",IF(SUM(Q19:R19)=0,"",SUM(Q19:R19))))</f>
        <v>132</v>
      </c>
      <c r="T19" s="116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177.05093226508694</v>
      </c>
      <c r="U19" s="117" t="str">
        <f>IF(AF19=1,T19*AI19,"")</f>
        <v/>
      </c>
      <c r="V19" s="118">
        <v>7.57</v>
      </c>
      <c r="W19" s="118">
        <v>10.119999999999999</v>
      </c>
      <c r="X19" s="118">
        <v>7.4</v>
      </c>
      <c r="Y19" s="119"/>
      <c r="Z19" s="120"/>
      <c r="AA19" s="120" t="s">
        <v>305</v>
      </c>
      <c r="AB19" s="121"/>
      <c r="AC19" s="66">
        <f>U5</f>
        <v>45913</v>
      </c>
      <c r="AD19" s="69" t="str">
        <f>IF(ISNUMBER(FIND("M",E19)),"m",IF(ISNUMBER(FIND("K",E19)),"k"))</f>
        <v>m</v>
      </c>
      <c r="AE19" s="67">
        <f>IF(OR(G19="",AC19=""),0,(YEAR(AC19)-YEAR(G19)))</f>
        <v>14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6">
        <f>IF(D19="","",IF(D19&gt;193.609,1,IF(D19&lt;32,10^(0.722762521*LOG10(32/193.609)^2),10^(0.722762521*LOG10(D19/193.609)^2))))</f>
        <v>1.3412949414021738</v>
      </c>
    </row>
    <row r="20" spans="2:36" s="8" customFormat="1" ht="20" customHeight="1">
      <c r="B20" s="104"/>
      <c r="C20" s="94"/>
      <c r="D20" s="210"/>
      <c r="E20" s="94"/>
      <c r="F20" s="95"/>
      <c r="G20" s="96"/>
      <c r="H20" s="97"/>
      <c r="I20" s="98"/>
      <c r="J20" s="98"/>
      <c r="K20" s="215"/>
      <c r="L20" s="215"/>
      <c r="M20" s="215"/>
      <c r="N20" s="216"/>
      <c r="O20" s="216"/>
      <c r="P20" s="216"/>
      <c r="Q20" s="99"/>
      <c r="R20" s="94"/>
      <c r="S20" s="215">
        <f>IF(T19="","",T19*1.2)</f>
        <v>212.46111871810433</v>
      </c>
      <c r="T20" s="215"/>
      <c r="U20" s="94"/>
      <c r="V20" s="94">
        <f>IF(V19&gt;0,V19*20,"")</f>
        <v>151.4</v>
      </c>
      <c r="W20" s="94">
        <f>IF(W19="","",(W19*10)*AJ19)</f>
        <v>135.73904806989998</v>
      </c>
      <c r="X20" s="100">
        <f>IF(ROUNDUP(X19,1)&gt;0,IF((80+(8-ROUNDUP(X19,1))*40)&lt;0,0,80+(8-ROUNDUP(X19,1))*40),"")</f>
        <v>103.99999999999999</v>
      </c>
      <c r="Y20" s="101">
        <f>IF(SUM(V20,W20,X20)&gt;0,SUM(V20,W20,X20),"")</f>
        <v>391.13904806990001</v>
      </c>
      <c r="Z20" s="102">
        <f>IF(AE19&gt;34,(IF(OR(S20="",V20="",W20="",X20=""),"",SUM(S20,V20,W20,X20))*AI19),IF(OR(S20="",V20="",W20="",X20=""),"", SUM(S20,V20,W20,X20)))</f>
        <v>603.60016678800423</v>
      </c>
      <c r="AA20" s="102"/>
      <c r="AB20" s="103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2" t="s">
        <v>104</v>
      </c>
      <c r="C21" s="105" t="s">
        <v>334</v>
      </c>
      <c r="D21" s="211">
        <v>69.650000000000006</v>
      </c>
      <c r="E21" s="147" t="s">
        <v>125</v>
      </c>
      <c r="F21" s="148" t="s">
        <v>126</v>
      </c>
      <c r="G21" s="108">
        <v>40595</v>
      </c>
      <c r="H21" s="109">
        <v>7</v>
      </c>
      <c r="I21" s="110" t="s">
        <v>97</v>
      </c>
      <c r="J21" s="111" t="s">
        <v>92</v>
      </c>
      <c r="K21" s="112">
        <v>52</v>
      </c>
      <c r="L21" s="113">
        <v>56</v>
      </c>
      <c r="M21" s="113">
        <v>-59</v>
      </c>
      <c r="N21" s="112">
        <v>66</v>
      </c>
      <c r="O21" s="113">
        <v>70</v>
      </c>
      <c r="P21" s="113">
        <v>73</v>
      </c>
      <c r="Q21" s="114">
        <f>IF(MAX(K21:M21)&gt;0,IF(MAX(K21:M21)&lt;0,0,TRUNC(MAX(K21:M21)/1)*1),"")</f>
        <v>56</v>
      </c>
      <c r="R21" s="115">
        <f>IF(MAX(N21:P21)&gt;0,IF(MAX(N21:P21)&lt;0,0,TRUNC(MAX(N21:P21)/1)*1),"")</f>
        <v>73</v>
      </c>
      <c r="S21" s="125">
        <f>IF(Q21="","",IF(R21="","",IF(SUM(Q21:R21)=0,"",SUM(Q21:R21))))</f>
        <v>129</v>
      </c>
      <c r="T21" s="11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179.09153554268613</v>
      </c>
      <c r="U21" s="117" t="str">
        <f>IF(AF21=1,T21*AI21,"")</f>
        <v/>
      </c>
      <c r="V21" s="118">
        <v>7.59</v>
      </c>
      <c r="W21" s="118">
        <v>9.8000000000000007</v>
      </c>
      <c r="X21" s="118">
        <v>6.8</v>
      </c>
      <c r="Y21" s="119"/>
      <c r="Z21" s="120"/>
      <c r="AA21" s="120" t="s">
        <v>304</v>
      </c>
      <c r="AB21" s="121"/>
      <c r="AC21" s="66">
        <f>U5</f>
        <v>45913</v>
      </c>
      <c r="AD21" s="69" t="str">
        <f>IF(ISNUMBER(FIND("M",E21)),"m",IF(ISNUMBER(FIND("K",E21)),"k"))</f>
        <v>m</v>
      </c>
      <c r="AE21" s="67">
        <f>IF(OR(G21="",AC21=""),0,(YEAR(AC21)-YEAR(G21)))</f>
        <v>14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6">
        <f>IF(D21="","",IF(D21&gt;193.609,1,IF(D21&lt;32,10^(0.722762521*LOG10(32/193.609)^2),10^(0.722762521*LOG10(D21/193.609)^2))))</f>
        <v>1.3883064770750864</v>
      </c>
    </row>
    <row r="22" spans="2:36" s="8" customFormat="1" ht="20" customHeight="1">
      <c r="B22" s="104"/>
      <c r="C22" s="94"/>
      <c r="D22" s="94"/>
      <c r="E22" s="94"/>
      <c r="F22" s="95"/>
      <c r="G22" s="96"/>
      <c r="H22" s="97"/>
      <c r="I22" s="98"/>
      <c r="J22" s="98"/>
      <c r="K22" s="215"/>
      <c r="L22" s="215"/>
      <c r="M22" s="215"/>
      <c r="N22" s="216"/>
      <c r="O22" s="216"/>
      <c r="P22" s="216"/>
      <c r="Q22" s="99"/>
      <c r="R22" s="94"/>
      <c r="S22" s="215">
        <f>IF(T21="","",T21*1.2)</f>
        <v>214.90984265122336</v>
      </c>
      <c r="T22" s="215"/>
      <c r="U22" s="94"/>
      <c r="V22" s="94">
        <f>IF(V21&gt;0,V21*20,"")</f>
        <v>151.80000000000001</v>
      </c>
      <c r="W22" s="94">
        <f>IF(W21="","",(W21*10)*AJ21)</f>
        <v>136.05403475335845</v>
      </c>
      <c r="X22" s="100">
        <f>IF(ROUNDUP(X21,1)&gt;0,IF((80+(8-ROUNDUP(X21,1))*40)&lt;0,0,80+(8-ROUNDUP(X21,1))*40),"")</f>
        <v>128</v>
      </c>
      <c r="Y22" s="101">
        <f>IF(SUM(V22,W22,X22)&gt;0,SUM(V22,W22,X22),"")</f>
        <v>415.85403475335846</v>
      </c>
      <c r="Z22" s="102">
        <f>IF(AE21&gt;34,(IF(OR(S22="",V22="",W22="",X22=""),"",SUM(S22,V22,W22,X22))*AI21),IF(OR(S22="",V22="",W22="",X22=""),"", SUM(S22,V22,W22,X22)))</f>
        <v>630.76387740458176</v>
      </c>
      <c r="AA22" s="102"/>
      <c r="AB22" s="103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2"/>
      <c r="C23" s="105"/>
      <c r="D23" s="106"/>
      <c r="E23" s="105"/>
      <c r="F23" s="107"/>
      <c r="G23" s="108"/>
      <c r="H23" s="109"/>
      <c r="I23" s="110"/>
      <c r="J23" s="111"/>
      <c r="K23" s="112"/>
      <c r="L23" s="113"/>
      <c r="M23" s="113"/>
      <c r="N23" s="112"/>
      <c r="O23" s="113"/>
      <c r="P23" s="113"/>
      <c r="Q23" s="114" t="str">
        <f>IF(MAX(K23:M23)&gt;0,IF(MAX(K23:M23)&lt;0,0,TRUNC(MAX(K23:M23)/1)*1),"")</f>
        <v/>
      </c>
      <c r="R23" s="115" t="str">
        <f>IF(MAX(N23:P23)&gt;0,IF(MAX(N23:P23)&lt;0,0,TRUNC(MAX(N23:P23)/1)*1),"")</f>
        <v/>
      </c>
      <c r="S23" s="125" t="str">
        <f>IF(Q23="","",IF(R23="","",IF(SUM(Q23:R23)=0,"",SUM(Q23:R23))))</f>
        <v/>
      </c>
      <c r="T23" s="116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7" t="str">
        <f>IF(AF23=1,T23*AI23,"")</f>
        <v/>
      </c>
      <c r="V23" s="118"/>
      <c r="W23" s="118"/>
      <c r="X23" s="118"/>
      <c r="Y23" s="119"/>
      <c r="Z23" s="120"/>
      <c r="AA23" s="120"/>
      <c r="AB23" s="121"/>
      <c r="AC23" s="66">
        <f>U5</f>
        <v>45913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>
      <c r="B24" s="104"/>
      <c r="C24" s="94"/>
      <c r="D24" s="94"/>
      <c r="E24" s="94"/>
      <c r="F24" s="95"/>
      <c r="G24" s="96"/>
      <c r="H24" s="97"/>
      <c r="I24" s="98"/>
      <c r="J24" s="98"/>
      <c r="K24" s="215"/>
      <c r="L24" s="215"/>
      <c r="M24" s="215"/>
      <c r="N24" s="216"/>
      <c r="O24" s="216"/>
      <c r="P24" s="216"/>
      <c r="Q24" s="99"/>
      <c r="R24" s="94"/>
      <c r="S24" s="215" t="str">
        <f>IF(T23="","",T23*1.2)</f>
        <v/>
      </c>
      <c r="T24" s="215"/>
      <c r="U24" s="94"/>
      <c r="V24" s="94" t="str">
        <f>IF(V23&gt;0,V23*20,"")</f>
        <v/>
      </c>
      <c r="W24" s="94" t="str">
        <f>IF(W23="","",(W23*10)*AJ23)</f>
        <v/>
      </c>
      <c r="X24" s="100" t="str">
        <f>IF(ROUNDUP(X23,1)&gt;0,IF((80+(8-ROUNDUP(X23,1))*40)&lt;0,0,80+(8-ROUNDUP(X23,1))*40),"")</f>
        <v/>
      </c>
      <c r="Y24" s="101" t="str">
        <f>IF(SUM(V24,W24,X24)&gt;0,SUM(V24,W24,X24),"")</f>
        <v/>
      </c>
      <c r="Z24" s="102" t="str">
        <f>IF(AE23&gt;34,(IF(OR(S24="",V24="",W24="",X24=""),"",SUM(S24,V24,W24,X24))*AI23),IF(OR(S24="",V24="",W24="",X24=""),"", SUM(S24,V24,W24,X24)))</f>
        <v/>
      </c>
      <c r="AA24" s="102"/>
      <c r="AB24" s="103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2"/>
      <c r="C25" s="105"/>
      <c r="D25" s="106"/>
      <c r="E25" s="105"/>
      <c r="F25" s="107"/>
      <c r="G25" s="108"/>
      <c r="H25" s="109"/>
      <c r="I25" s="110"/>
      <c r="J25" s="111"/>
      <c r="K25" s="112"/>
      <c r="L25" s="113"/>
      <c r="M25" s="113"/>
      <c r="N25" s="112"/>
      <c r="O25" s="113"/>
      <c r="P25" s="113"/>
      <c r="Q25" s="114" t="str">
        <f>IF(MAX(K25:M25)&gt;0,IF(MAX(K25:M25)&lt;0,0,TRUNC(MAX(K25:M25)/1)*1),"")</f>
        <v/>
      </c>
      <c r="R25" s="115" t="str">
        <f>IF(MAX(N25:P25)&gt;0,IF(MAX(N25:P25)&lt;0,0,TRUNC(MAX(N25:P25)/1)*1),"")</f>
        <v/>
      </c>
      <c r="S25" s="125" t="str">
        <f>IF(Q25="","",IF(R25="","",IF(SUM(Q25:R25)=0,"",SUM(Q25:R25))))</f>
        <v/>
      </c>
      <c r="T25" s="116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7" t="str">
        <f>IF(AF25=1,T25*AI25,"")</f>
        <v/>
      </c>
      <c r="V25" s="118"/>
      <c r="W25" s="118"/>
      <c r="X25" s="118"/>
      <c r="Y25" s="119"/>
      <c r="Z25" s="120"/>
      <c r="AA25" s="120"/>
      <c r="AB25" s="121"/>
      <c r="AC25" s="66">
        <f>U5</f>
        <v>45913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>
      <c r="B26" s="104"/>
      <c r="C26" s="94"/>
      <c r="D26" s="94"/>
      <c r="E26" s="94"/>
      <c r="F26" s="95"/>
      <c r="G26" s="96"/>
      <c r="H26" s="97"/>
      <c r="I26" s="98"/>
      <c r="J26" s="98"/>
      <c r="K26" s="215"/>
      <c r="L26" s="215"/>
      <c r="M26" s="215"/>
      <c r="N26" s="216"/>
      <c r="O26" s="216"/>
      <c r="P26" s="216"/>
      <c r="Q26" s="99"/>
      <c r="R26" s="94"/>
      <c r="S26" s="215" t="str">
        <f>IF(T25="","",T25*1.2)</f>
        <v/>
      </c>
      <c r="T26" s="215"/>
      <c r="U26" s="94"/>
      <c r="V26" s="94" t="str">
        <f>IF(V25&gt;0,V25*20,"")</f>
        <v/>
      </c>
      <c r="W26" s="94" t="str">
        <f>IF(W25="","",(W25*10)*AJ25)</f>
        <v/>
      </c>
      <c r="X26" s="100" t="str">
        <f>IF(ROUNDUP(X25,1)&gt;0,IF((80+(8-ROUNDUP(X25,1))*40)&lt;0,0,80+(8-ROUNDUP(X25,1))*40),"")</f>
        <v/>
      </c>
      <c r="Y26" s="101" t="str">
        <f>IF(SUM(V26,W26,X26)&gt;0,SUM(V26,W26,X26),"")</f>
        <v/>
      </c>
      <c r="Z26" s="102" t="str">
        <f>IF(AE25&gt;34,(IF(OR(S26="",V26="",W26="",X26=""),"",SUM(S26,V26,W26,X26))*AI25),IF(OR(S26="",V26="",W26="",X26=""),"", SUM(S26,V26,W26,X26)))</f>
        <v/>
      </c>
      <c r="AA26" s="102"/>
      <c r="AB26" s="103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2"/>
      <c r="C27" s="126"/>
      <c r="D27" s="106"/>
      <c r="E27" s="127"/>
      <c r="F27" s="128"/>
      <c r="G27" s="129"/>
      <c r="H27" s="105"/>
      <c r="I27" s="111"/>
      <c r="J27" s="111"/>
      <c r="K27" s="130"/>
      <c r="L27" s="131"/>
      <c r="M27" s="131"/>
      <c r="N27" s="131"/>
      <c r="O27" s="132"/>
      <c r="P27" s="132"/>
      <c r="Q27" s="114" t="str">
        <f>IF(MAX(K27:M27)&gt;0,IF(MAX(K27:M27)&lt;0,0,TRUNC(MAX(K27:M27)/1)*1),"")</f>
        <v/>
      </c>
      <c r="R27" s="115" t="str">
        <f>IF(MAX(N27:P27)&gt;0,IF(MAX(N27:P27)&lt;0,0,TRUNC(MAX(N27:P27)/1)*1),"")</f>
        <v/>
      </c>
      <c r="S27" s="125" t="str">
        <f>IF(Q27="","",IF(R27="","",IF(SUM(Q27:R27)=0,"",SUM(Q27:R27))))</f>
        <v/>
      </c>
      <c r="T27" s="116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7" t="str">
        <f>IF(AF27=1,T27*AI27,"")</f>
        <v/>
      </c>
      <c r="V27" s="133"/>
      <c r="W27" s="133"/>
      <c r="X27" s="134"/>
      <c r="Y27" s="119"/>
      <c r="Z27" s="120"/>
      <c r="AA27" s="120"/>
      <c r="AB27" s="121"/>
      <c r="AC27" s="66">
        <f>U5</f>
        <v>45913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4"/>
      <c r="C28" s="138"/>
      <c r="D28" s="94"/>
      <c r="E28" s="95"/>
      <c r="F28" s="95"/>
      <c r="G28" s="139"/>
      <c r="H28" s="96"/>
      <c r="I28" s="98" t="s">
        <v>13</v>
      </c>
      <c r="J28" s="98"/>
      <c r="K28" s="216"/>
      <c r="L28" s="216"/>
      <c r="M28" s="216"/>
      <c r="N28" s="216"/>
      <c r="O28" s="216"/>
      <c r="P28" s="216"/>
      <c r="Q28" s="99"/>
      <c r="R28" s="94"/>
      <c r="S28" s="215" t="str">
        <f>IF(T27="","",T27*1.2)</f>
        <v/>
      </c>
      <c r="T28" s="215"/>
      <c r="U28" s="94"/>
      <c r="V28" s="94" t="str">
        <f>IF(V27&gt;0,V27*20,"")</f>
        <v/>
      </c>
      <c r="W28" s="94" t="str">
        <f>IF(W27="","",(W27*10)*AJ27)</f>
        <v/>
      </c>
      <c r="X28" s="100" t="str">
        <f>IF(ROUNDUP(X27,1)&gt;0,IF((80+(8-ROUNDUP(X27,1))*40)&lt;0,0,80+(8-ROUNDUP(X27,1))*40),"")</f>
        <v/>
      </c>
      <c r="Y28" s="101" t="str">
        <f>IF(SUM(V28,W28,X28)&gt;0,SUM(V28,W28,X28),"")</f>
        <v/>
      </c>
      <c r="Z28" s="102" t="str">
        <f>IF(AE27&gt;34,(IF(OR(S28="",V28="",W28="",X28=""),"",SUM(S28,V28,W28,X28))*AI27),IF(OR(S28="",V28="",W28="",X28=""),"", SUM(S28,V28,W28,X28)))</f>
        <v/>
      </c>
      <c r="AA28" s="102"/>
      <c r="AB28" s="103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2"/>
      <c r="C29" s="126"/>
      <c r="D29" s="106"/>
      <c r="E29" s="127"/>
      <c r="F29" s="128"/>
      <c r="G29" s="129"/>
      <c r="H29" s="105"/>
      <c r="I29" s="111"/>
      <c r="J29" s="111"/>
      <c r="K29" s="130"/>
      <c r="L29" s="131"/>
      <c r="M29" s="131"/>
      <c r="N29" s="131"/>
      <c r="O29" s="132"/>
      <c r="P29" s="132"/>
      <c r="Q29" s="114" t="str">
        <f>IF(MAX(K29:M29)&gt;0,IF(MAX(K29:M29)&lt;0,0,TRUNC(MAX(K29:M29)/1)*1),"")</f>
        <v/>
      </c>
      <c r="R29" s="115" t="str">
        <f>IF(MAX(N29:P29)&gt;0,IF(MAX(N29:P29)&lt;0,0,TRUNC(MAX(N29:P29)/1)*1),"")</f>
        <v/>
      </c>
      <c r="S29" s="125" t="str">
        <f>IF(Q29="","",IF(R29="","",IF(SUM(Q29:R29)=0,"",SUM(Q29:R29))))</f>
        <v/>
      </c>
      <c r="T29" s="116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7" t="str">
        <f>IF(AF29=1,T29*AI29,"")</f>
        <v/>
      </c>
      <c r="V29" s="118"/>
      <c r="W29" s="118"/>
      <c r="X29" s="118"/>
      <c r="Y29" s="119"/>
      <c r="Z29" s="120"/>
      <c r="AA29" s="120"/>
      <c r="AB29" s="121"/>
      <c r="AC29" s="66">
        <f>U5</f>
        <v>45913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4"/>
      <c r="C30" s="138"/>
      <c r="D30" s="94"/>
      <c r="E30" s="95"/>
      <c r="F30" s="95"/>
      <c r="G30" s="139"/>
      <c r="H30" s="96"/>
      <c r="I30" s="98"/>
      <c r="J30" s="98"/>
      <c r="K30" s="216"/>
      <c r="L30" s="216"/>
      <c r="M30" s="216"/>
      <c r="N30" s="216"/>
      <c r="O30" s="216"/>
      <c r="P30" s="216"/>
      <c r="Q30" s="99"/>
      <c r="R30" s="94"/>
      <c r="S30" s="215" t="str">
        <f>IF(T29="","",T29*1.2)</f>
        <v/>
      </c>
      <c r="T30" s="215"/>
      <c r="U30" s="94"/>
      <c r="V30" s="94" t="str">
        <f>IF(V29&gt;0,V29*20,"")</f>
        <v/>
      </c>
      <c r="W30" s="94" t="str">
        <f>IF(W29="","",(W29*10)*AJ29)</f>
        <v/>
      </c>
      <c r="X30" s="100" t="str">
        <f>IF(ROUNDUP(X29,1)&gt;0,IF((80+(8-ROUNDUP(X29,1))*40)&lt;0,0,80+(8-ROUNDUP(X29,1))*40),"")</f>
        <v/>
      </c>
      <c r="Y30" s="101" t="str">
        <f>IF(SUM(V30,W30,X30)&gt;0,SUM(V30,W30,X30),"")</f>
        <v/>
      </c>
      <c r="Z30" s="102" t="str">
        <f>IF(AE29&gt;34,(IF(OR(S30="",V30="",W30="",X30=""),"",SUM(S30,V30,W30,X30))*AI29),IF(OR(S30="",V30="",W30="",X30=""),"", SUM(S30,V30,W30,X30)))</f>
        <v/>
      </c>
      <c r="AA30" s="102"/>
      <c r="AB30" s="103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2"/>
      <c r="C31" s="126"/>
      <c r="D31" s="106"/>
      <c r="E31" s="127"/>
      <c r="F31" s="128"/>
      <c r="G31" s="129"/>
      <c r="H31" s="105"/>
      <c r="I31" s="111" t="s">
        <v>13</v>
      </c>
      <c r="J31" s="111"/>
      <c r="K31" s="130"/>
      <c r="L31" s="131"/>
      <c r="M31" s="131"/>
      <c r="N31" s="131"/>
      <c r="O31" s="132"/>
      <c r="P31" s="132"/>
      <c r="Q31" s="114" t="str">
        <f>IF(MAX(K31:M31)&gt;0,IF(MAX(K31:M31)&lt;0,0,TRUNC(MAX(K31:M31)/1)*1),"")</f>
        <v/>
      </c>
      <c r="R31" s="115" t="str">
        <f>IF(MAX(N31:P31)&gt;0,IF(MAX(N31:P31)&lt;0,0,TRUNC(MAX(N31:P31)/1)*1),"")</f>
        <v/>
      </c>
      <c r="S31" s="125" t="str">
        <f>IF(Q31="","",IF(R31="","",IF(SUM(Q31:R31)=0,"",SUM(Q31:R31))))</f>
        <v/>
      </c>
      <c r="T31" s="116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7" t="str">
        <f>IF(AF31=1,T31*AI31,"")</f>
        <v/>
      </c>
      <c r="V31" s="133"/>
      <c r="W31" s="133"/>
      <c r="X31" s="134"/>
      <c r="Y31" s="119"/>
      <c r="Z31" s="120"/>
      <c r="AA31" s="120"/>
      <c r="AB31" s="121"/>
      <c r="AC31" s="66">
        <f>U5</f>
        <v>45913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4"/>
      <c r="C32" s="138"/>
      <c r="D32" s="94"/>
      <c r="E32" s="95"/>
      <c r="F32" s="95"/>
      <c r="G32" s="139"/>
      <c r="H32" s="96"/>
      <c r="I32" s="98"/>
      <c r="J32" s="98"/>
      <c r="K32" s="216"/>
      <c r="L32" s="216"/>
      <c r="M32" s="216"/>
      <c r="N32" s="216"/>
      <c r="O32" s="216"/>
      <c r="P32" s="216"/>
      <c r="Q32" s="99"/>
      <c r="R32" s="94"/>
      <c r="S32" s="215" t="str">
        <f>IF(T31="","",T31*1.2)</f>
        <v/>
      </c>
      <c r="T32" s="215"/>
      <c r="U32" s="94"/>
      <c r="V32" s="94" t="str">
        <f>IF(V31&gt;0,V31*20,"")</f>
        <v/>
      </c>
      <c r="W32" s="94" t="str">
        <f>IF(W31="","",(W31*10)*AJ31)</f>
        <v/>
      </c>
      <c r="X32" s="100" t="str">
        <f>IF(ROUNDUP(X31,1)&gt;0,IF((80+(8-ROUNDUP(X31,1))*40)&lt;0,0,80+(8-ROUNDUP(X31,1))*40),"")</f>
        <v/>
      </c>
      <c r="Y32" s="101" t="str">
        <f>IF(SUM(V32,W32,X32)&gt;0,SUM(V32,W32,X32),"")</f>
        <v/>
      </c>
      <c r="Z32" s="102" t="str">
        <f>IF(AE31&gt;34,(IF(OR(S32="",V32="",W32="",X32=""),"",SUM(S32,V32,W32,X32))*AI31),IF(OR(S32="",V32="",W32="",X32=""),"", SUM(S32,V32,W32,X32)))</f>
        <v/>
      </c>
      <c r="AA32" s="102"/>
      <c r="AB32" s="103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46" t="s">
        <v>34</v>
      </c>
      <c r="C35" s="248"/>
      <c r="D35" s="77" t="s">
        <v>33</v>
      </c>
      <c r="E35" s="246" t="s">
        <v>4</v>
      </c>
      <c r="F35" s="247"/>
      <c r="G35" s="247"/>
      <c r="H35" s="248"/>
      <c r="I35" s="50" t="s">
        <v>42</v>
      </c>
      <c r="J35" s="21"/>
      <c r="K35" s="246" t="s">
        <v>34</v>
      </c>
      <c r="L35" s="247"/>
      <c r="M35" s="248"/>
      <c r="N35" s="54" t="s">
        <v>33</v>
      </c>
      <c r="O35" s="244" t="s">
        <v>4</v>
      </c>
      <c r="P35" s="263"/>
      <c r="Q35" s="263"/>
      <c r="R35" s="245"/>
      <c r="S35" s="244" t="s">
        <v>42</v>
      </c>
      <c r="T35" s="2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49" t="s">
        <v>40</v>
      </c>
      <c r="C36" s="251"/>
      <c r="D36" s="78"/>
      <c r="E36" s="262" t="s">
        <v>281</v>
      </c>
      <c r="F36" s="250"/>
      <c r="G36" s="250"/>
      <c r="H36" s="251"/>
      <c r="I36" s="49"/>
      <c r="J36" s="4"/>
      <c r="K36" s="249" t="s">
        <v>35</v>
      </c>
      <c r="L36" s="250"/>
      <c r="M36" s="251"/>
      <c r="N36" s="51"/>
      <c r="O36" s="217" t="s">
        <v>282</v>
      </c>
      <c r="P36" s="264"/>
      <c r="Q36" s="264"/>
      <c r="R36" s="265"/>
      <c r="S36" s="217"/>
      <c r="T36" s="218"/>
      <c r="AF36" s="1"/>
      <c r="AH36" s="35"/>
      <c r="AI36" s="35"/>
    </row>
    <row r="37" spans="2:35" s="5" customFormat="1" ht="21" customHeight="1">
      <c r="B37" s="234" t="s">
        <v>36</v>
      </c>
      <c r="C37" s="222"/>
      <c r="D37" s="79"/>
      <c r="E37" s="220" t="s">
        <v>292</v>
      </c>
      <c r="F37" s="221"/>
      <c r="G37" s="221"/>
      <c r="H37" s="222"/>
      <c r="I37" s="47"/>
      <c r="J37" s="4"/>
      <c r="K37" s="234" t="s">
        <v>38</v>
      </c>
      <c r="L37" s="221"/>
      <c r="M37" s="222"/>
      <c r="N37" s="52"/>
      <c r="O37" s="228" t="s">
        <v>284</v>
      </c>
      <c r="P37" s="229"/>
      <c r="Q37" s="229"/>
      <c r="R37" s="230"/>
      <c r="S37" s="228"/>
      <c r="T37" s="231"/>
      <c r="AH37" s="35"/>
      <c r="AI37" s="35"/>
    </row>
    <row r="38" spans="2:35" s="5" customFormat="1" ht="19" customHeight="1">
      <c r="B38" s="234" t="s">
        <v>36</v>
      </c>
      <c r="C38" s="222"/>
      <c r="D38" s="79"/>
      <c r="E38" s="220" t="s">
        <v>291</v>
      </c>
      <c r="F38" s="221"/>
      <c r="G38" s="221"/>
      <c r="H38" s="222"/>
      <c r="I38" s="47"/>
      <c r="J38" s="4"/>
      <c r="K38" s="234" t="s">
        <v>37</v>
      </c>
      <c r="L38" s="221"/>
      <c r="M38" s="222"/>
      <c r="N38" s="52"/>
      <c r="O38" s="228" t="s">
        <v>288</v>
      </c>
      <c r="P38" s="229"/>
      <c r="Q38" s="229"/>
      <c r="R38" s="230"/>
      <c r="S38" s="228"/>
      <c r="T38" s="231"/>
      <c r="V38" s="5" t="s">
        <v>54</v>
      </c>
      <c r="AH38" s="35"/>
      <c r="AI38" s="35"/>
    </row>
    <row r="39" spans="2:35" s="5" customFormat="1" ht="21" customHeight="1">
      <c r="B39" s="234" t="s">
        <v>36</v>
      </c>
      <c r="C39" s="222"/>
      <c r="D39" s="79"/>
      <c r="E39" s="220" t="s">
        <v>281</v>
      </c>
      <c r="F39" s="221"/>
      <c r="G39" s="221"/>
      <c r="H39" s="222"/>
      <c r="I39" s="47"/>
      <c r="J39" s="4"/>
      <c r="K39" s="234" t="s">
        <v>55</v>
      </c>
      <c r="L39" s="221"/>
      <c r="M39" s="222"/>
      <c r="N39" s="52"/>
      <c r="O39" s="228" t="s">
        <v>283</v>
      </c>
      <c r="P39" s="229"/>
      <c r="Q39" s="229"/>
      <c r="R39" s="230"/>
      <c r="S39" s="228"/>
      <c r="T39" s="231"/>
      <c r="AD39" s="5" t="s">
        <v>13</v>
      </c>
      <c r="AH39" s="35"/>
      <c r="AI39" s="35"/>
    </row>
    <row r="40" spans="2:35" s="5" customFormat="1" ht="20" customHeight="1">
      <c r="B40" s="234" t="s">
        <v>36</v>
      </c>
      <c r="C40" s="222"/>
      <c r="D40" s="79"/>
      <c r="E40" s="220"/>
      <c r="F40" s="221"/>
      <c r="G40" s="221"/>
      <c r="H40" s="222"/>
      <c r="I40" s="47"/>
      <c r="J40" s="4"/>
      <c r="K40" s="234" t="s">
        <v>55</v>
      </c>
      <c r="L40" s="221"/>
      <c r="M40" s="222"/>
      <c r="N40" s="52"/>
      <c r="O40" s="228" t="s">
        <v>290</v>
      </c>
      <c r="P40" s="229"/>
      <c r="Q40" s="229"/>
      <c r="R40" s="230"/>
      <c r="S40" s="228"/>
      <c r="T40" s="231"/>
      <c r="AH40" s="35"/>
      <c r="AI40" s="35"/>
    </row>
    <row r="41" spans="2:35" ht="19" customHeight="1">
      <c r="B41" s="234" t="s">
        <v>36</v>
      </c>
      <c r="C41" s="222"/>
      <c r="D41" s="79"/>
      <c r="E41" s="220"/>
      <c r="F41" s="221"/>
      <c r="G41" s="221"/>
      <c r="H41" s="222"/>
      <c r="I41" s="47"/>
      <c r="J41" s="3"/>
      <c r="K41" s="234"/>
      <c r="L41" s="221"/>
      <c r="M41" s="222"/>
      <c r="N41" s="52"/>
      <c r="O41" s="228"/>
      <c r="P41" s="229"/>
      <c r="Q41" s="229"/>
      <c r="R41" s="230"/>
      <c r="S41" s="228"/>
      <c r="T41" s="231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234" t="s">
        <v>39</v>
      </c>
      <c r="C42" s="222"/>
      <c r="D42" s="79"/>
      <c r="E42" s="220" t="s">
        <v>289</v>
      </c>
      <c r="F42" s="221"/>
      <c r="G42" s="221"/>
      <c r="H42" s="222"/>
      <c r="I42" s="47"/>
      <c r="J42" s="3"/>
      <c r="K42" s="234"/>
      <c r="L42" s="221"/>
      <c r="M42" s="222"/>
      <c r="N42" s="52"/>
      <c r="O42" s="228"/>
      <c r="P42" s="229"/>
      <c r="Q42" s="229"/>
      <c r="R42" s="230"/>
      <c r="S42" s="228"/>
      <c r="T42" s="231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226"/>
      <c r="C43" s="225"/>
      <c r="D43" s="80"/>
      <c r="E43" s="223"/>
      <c r="F43" s="224"/>
      <c r="G43" s="224"/>
      <c r="H43" s="225"/>
      <c r="I43" s="48"/>
      <c r="J43" s="3"/>
      <c r="K43" s="226"/>
      <c r="L43" s="224"/>
      <c r="M43" s="225"/>
      <c r="N43" s="53"/>
      <c r="O43" s="240"/>
      <c r="P43" s="241"/>
      <c r="Q43" s="241"/>
      <c r="R43" s="242"/>
      <c r="S43" s="240"/>
      <c r="T43" s="24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33"/>
      <c r="C44" s="233"/>
      <c r="D44" s="232"/>
      <c r="E44" s="232"/>
      <c r="F44" s="56"/>
      <c r="G44" s="232"/>
      <c r="H44" s="232"/>
      <c r="I44" s="232"/>
      <c r="J44" s="3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37" t="s">
        <v>41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226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9"/>
      <c r="F50" s="219"/>
      <c r="G50" s="219"/>
    </row>
  </sheetData>
  <mergeCells count="102"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</mergeCells>
  <conditionalFormatting sqref="K27">
    <cfRule type="cellIs" dxfId="239" priority="24" stopIfTrue="1" operator="lessThanOrEqual">
      <formula>0</formula>
    </cfRule>
    <cfRule type="cellIs" dxfId="238" priority="23" stopIfTrue="1" operator="between">
      <formula>1</formula>
      <formula>300</formula>
    </cfRule>
  </conditionalFormatting>
  <conditionalFormatting sqref="K29">
    <cfRule type="cellIs" dxfId="237" priority="22" stopIfTrue="1" operator="lessThanOrEqual">
      <formula>0</formula>
    </cfRule>
    <cfRule type="cellIs" dxfId="236" priority="21" stopIfTrue="1" operator="between">
      <formula>1</formula>
      <formula>300</formula>
    </cfRule>
  </conditionalFormatting>
  <conditionalFormatting sqref="K31">
    <cfRule type="cellIs" dxfId="235" priority="19" stopIfTrue="1" operator="between">
      <formula>1</formula>
      <formula>300</formula>
    </cfRule>
    <cfRule type="cellIs" dxfId="234" priority="20" stopIfTrue="1" operator="lessThanOrEqual">
      <formula>0</formula>
    </cfRule>
  </conditionalFormatting>
  <conditionalFormatting sqref="K9:P9">
    <cfRule type="cellIs" dxfId="233" priority="13" stopIfTrue="1" operator="between">
      <formula>1</formula>
      <formula>300</formula>
    </cfRule>
    <cfRule type="cellIs" dxfId="232" priority="14" stopIfTrue="1" operator="lessThanOrEqual">
      <formula>0</formula>
    </cfRule>
  </conditionalFormatting>
  <conditionalFormatting sqref="K11:P11">
    <cfRule type="cellIs" dxfId="231" priority="11" stopIfTrue="1" operator="between">
      <formula>1</formula>
      <formula>300</formula>
    </cfRule>
    <cfRule type="cellIs" dxfId="230" priority="12" stopIfTrue="1" operator="lessThanOrEqual">
      <formula>0</formula>
    </cfRule>
  </conditionalFormatting>
  <conditionalFormatting sqref="K13:P13">
    <cfRule type="cellIs" dxfId="229" priority="7" stopIfTrue="1" operator="between">
      <formula>1</formula>
      <formula>300</formula>
    </cfRule>
    <cfRule type="cellIs" dxfId="228" priority="8" stopIfTrue="1" operator="lessThanOrEqual">
      <formula>0</formula>
    </cfRule>
  </conditionalFormatting>
  <conditionalFormatting sqref="K15:P15">
    <cfRule type="cellIs" dxfId="227" priority="9" stopIfTrue="1" operator="between">
      <formula>1</formula>
      <formula>300</formula>
    </cfRule>
    <cfRule type="cellIs" dxfId="226" priority="10" stopIfTrue="1" operator="lessThanOrEqual">
      <formula>0</formula>
    </cfRule>
  </conditionalFormatting>
  <conditionalFormatting sqref="K17:P17">
    <cfRule type="cellIs" dxfId="225" priority="15" stopIfTrue="1" operator="between">
      <formula>1</formula>
      <formula>300</formula>
    </cfRule>
    <cfRule type="cellIs" dxfId="224" priority="16" stopIfTrue="1" operator="lessThanOrEqual">
      <formula>0</formula>
    </cfRule>
  </conditionalFormatting>
  <conditionalFormatting sqref="K19:P19">
    <cfRule type="cellIs" dxfId="223" priority="1" stopIfTrue="1" operator="between">
      <formula>1</formula>
      <formula>300</formula>
    </cfRule>
    <cfRule type="cellIs" dxfId="222" priority="2" stopIfTrue="1" operator="lessThanOrEqual">
      <formula>0</formula>
    </cfRule>
  </conditionalFormatting>
  <conditionalFormatting sqref="K21:P21">
    <cfRule type="cellIs" dxfId="221" priority="4" stopIfTrue="1" operator="lessThanOrEqual">
      <formula>0</formula>
    </cfRule>
    <cfRule type="cellIs" dxfId="220" priority="3" stopIfTrue="1" operator="between">
      <formula>1</formula>
      <formula>300</formula>
    </cfRule>
  </conditionalFormatting>
  <conditionalFormatting sqref="K23:P23">
    <cfRule type="cellIs" dxfId="219" priority="6" stopIfTrue="1" operator="lessThanOrEqual">
      <formula>0</formula>
    </cfRule>
    <cfRule type="cellIs" dxfId="218" priority="5" stopIfTrue="1" operator="between">
      <formula>1</formula>
      <formula>300</formula>
    </cfRule>
  </conditionalFormatting>
  <conditionalFormatting sqref="K25:P25">
    <cfRule type="cellIs" dxfId="217" priority="18" stopIfTrue="1" operator="lessThanOrEqual">
      <formula>0</formula>
    </cfRule>
    <cfRule type="cellIs" dxfId="216" priority="17" stopIfTrue="1" operator="between">
      <formula>1</formula>
      <formula>300</formula>
    </cfRule>
  </conditionalFormatting>
  <conditionalFormatting sqref="L27:N27">
    <cfRule type="cellIs" dxfId="215" priority="29" stopIfTrue="1" operator="between">
      <formula>1</formula>
      <formula>300</formula>
    </cfRule>
    <cfRule type="cellIs" dxfId="214" priority="30" stopIfTrue="1" operator="lessThanOrEqual">
      <formula>0</formula>
    </cfRule>
  </conditionalFormatting>
  <conditionalFormatting sqref="L29:N29">
    <cfRule type="cellIs" dxfId="213" priority="27" stopIfTrue="1" operator="between">
      <formula>1</formula>
      <formula>300</formula>
    </cfRule>
    <cfRule type="cellIs" dxfId="212" priority="28" stopIfTrue="1" operator="lessThanOrEqual">
      <formula>0</formula>
    </cfRule>
  </conditionalFormatting>
  <conditionalFormatting sqref="L31:N31">
    <cfRule type="cellIs" dxfId="211" priority="25" stopIfTrue="1" operator="between">
      <formula>1</formula>
      <formula>300</formula>
    </cfRule>
    <cfRule type="cellIs" dxfId="210" priority="26" stopIfTrue="1" operator="lessThanOrEqual">
      <formula>0</formula>
    </cfRule>
  </conditionalFormatting>
  <dataValidations count="6">
    <dataValidation type="list" allowBlank="1" showInputMessage="1" showErrorMessage="1" sqref="F9 F31 F23 F25 F27 F29 F11 F13 F15 F17 F19 F21" xr:uid="{FC77AFFA-F080-B44B-9F5B-D94E911A8ABC}">
      <formula1>"11-12,13-14,15-16,17-18,19-23,24-34,+35"</formula1>
    </dataValidation>
    <dataValidation type="list" allowBlank="1" showInputMessage="1" showErrorMessage="1" prompt="Feil_i_kat. 5-kamp - Feil verdi i kategori 5-kamp" sqref="G12" xr:uid="{C7E12B2F-757C-0141-94F8-4D0D1A36A21A}">
      <formula1>"11-12,13-14,15-16,17-18,19-23,24-34,+35,35+"</formula1>
    </dataValidation>
    <dataValidation type="list" allowBlank="1" showInputMessage="1" showErrorMessage="1" sqref="E9 E31 E23 E25 E27 E29 E11 E13 E15 E17 E19 E21" xr:uid="{198EFB6E-24CC-4446-8792-61B06710178D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5B2C7448-9AB5-614A-999F-A6E0968F371D}">
      <formula1>"44,48,53,56,58,60,63,65,69,71,77,'+77,79,86,'+86,88,94,'+94,110,'+110"</formula1>
    </dataValidation>
    <dataValidation type="list" allowBlank="1" showInputMessage="1" showErrorMessage="1" sqref="D5:I5" xr:uid="{F8DBE25A-B11C-0841-B155-3D907454224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7BCCF461-ADF9-C748-8DE1-33DB89814AE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7487-87FC-46A2-833E-E56BC98BCD66}">
  <sheetPr>
    <pageSetUpPr autoPageBreaks="0" fitToPage="1"/>
  </sheetPr>
  <dimension ref="A1:AJ50"/>
  <sheetViews>
    <sheetView showGridLines="0" showZeros="0" showOutlineSymbols="0" zoomScale="82" zoomScaleNormal="100" zoomScaleSheetLayoutView="75" zoomScalePageLayoutView="120" workbookViewId="0">
      <selection activeCell="G1" sqref="G1:G1048576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hidden="1" customWidth="1"/>
    <col min="5" max="6" width="6.3984375" style="16" customWidth="1"/>
    <col min="7" max="7" width="10.59765625" style="1" hidden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35" t="s">
        <v>57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83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36" t="s">
        <v>21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85" t="s">
        <v>59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55" t="s">
        <v>61</v>
      </c>
      <c r="E5" s="255"/>
      <c r="F5" s="255"/>
      <c r="G5" s="255"/>
      <c r="H5" s="255"/>
      <c r="I5" s="255"/>
      <c r="J5" s="24" t="s">
        <v>0</v>
      </c>
      <c r="K5" s="255" t="s">
        <v>62</v>
      </c>
      <c r="L5" s="255"/>
      <c r="M5" s="255"/>
      <c r="N5" s="255"/>
      <c r="O5" s="24" t="s">
        <v>1</v>
      </c>
      <c r="P5" s="254" t="s">
        <v>63</v>
      </c>
      <c r="Q5" s="254"/>
      <c r="R5" s="254"/>
      <c r="S5" s="254"/>
      <c r="T5" s="24" t="s">
        <v>2</v>
      </c>
      <c r="U5" s="266">
        <v>45913</v>
      </c>
      <c r="V5" s="266"/>
      <c r="W5" s="55"/>
      <c r="X5" s="55"/>
      <c r="Y5" s="55"/>
      <c r="Z5" s="25" t="s">
        <v>15</v>
      </c>
      <c r="AA5" s="25"/>
      <c r="AB5" s="26">
        <v>3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4" t="s">
        <v>56</v>
      </c>
    </row>
    <row r="7" spans="1:36" s="1" customFormat="1">
      <c r="B7" s="252" t="s">
        <v>33</v>
      </c>
      <c r="C7" s="256" t="s">
        <v>52</v>
      </c>
      <c r="D7" s="256" t="s">
        <v>51</v>
      </c>
      <c r="E7" s="258" t="s">
        <v>53</v>
      </c>
      <c r="F7" s="260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4"/>
    </row>
    <row r="8" spans="1:36" s="1" customFormat="1">
      <c r="B8" s="253"/>
      <c r="C8" s="257"/>
      <c r="D8" s="257"/>
      <c r="E8" s="259"/>
      <c r="F8" s="261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206" t="s">
        <v>115</v>
      </c>
      <c r="C9" s="148" t="s">
        <v>334</v>
      </c>
      <c r="D9" s="212">
        <v>68.16</v>
      </c>
      <c r="E9" s="147" t="s">
        <v>125</v>
      </c>
      <c r="F9" s="148" t="s">
        <v>124</v>
      </c>
      <c r="G9" s="149">
        <v>40390</v>
      </c>
      <c r="H9" s="150">
        <v>1</v>
      </c>
      <c r="I9" s="151" t="s">
        <v>105</v>
      </c>
      <c r="J9" s="152" t="s">
        <v>106</v>
      </c>
      <c r="K9" s="153">
        <v>85</v>
      </c>
      <c r="L9" s="154">
        <v>90</v>
      </c>
      <c r="M9" s="154">
        <v>-92</v>
      </c>
      <c r="N9" s="153">
        <v>110</v>
      </c>
      <c r="O9" s="154">
        <v>115</v>
      </c>
      <c r="P9" s="154">
        <v>117</v>
      </c>
      <c r="Q9" s="155">
        <f>IF(MAX(K9:M9)&gt;0,IF(MAX(K9:M9)&lt;0,0,TRUNC(MAX(K9:M9)/1)*1),"")</f>
        <v>90</v>
      </c>
      <c r="R9" s="156">
        <f>IF(MAX(N9:P9)&gt;0,IF(MAX(N9:P9)&lt;0,0,TRUNC(MAX(N9:P9)/1)*1),"")</f>
        <v>117</v>
      </c>
      <c r="S9" s="156">
        <f>IF(Q9="","",IF(R9="","",IF(SUM(Q9:R9)=0,"",SUM(Q9:R9))))</f>
        <v>207</v>
      </c>
      <c r="T9" s="157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291.43862995712823</v>
      </c>
      <c r="U9" s="158" t="str">
        <f>IF(AF9=1,T9*AI9,"")</f>
        <v/>
      </c>
      <c r="V9" s="159">
        <v>8.26</v>
      </c>
      <c r="W9" s="159">
        <v>11.31</v>
      </c>
      <c r="X9" s="159">
        <v>6.6</v>
      </c>
      <c r="Y9" s="157"/>
      <c r="Z9" s="160"/>
      <c r="AA9" s="160" t="s">
        <v>304</v>
      </c>
      <c r="AB9" s="161"/>
      <c r="AC9" s="68">
        <f>U5</f>
        <v>45913</v>
      </c>
      <c r="AD9" s="69" t="str">
        <f>IF(ISNUMBER(FIND("M",E9)),"m",IF(ISNUMBER(FIND("K",E9)),"k"))</f>
        <v>m</v>
      </c>
      <c r="AE9" s="67">
        <f>IF(OR(G9="",AC9=""),0,(YEAR(AC9)-YEAR(G9)))</f>
        <v>15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1.4079160867494118</v>
      </c>
    </row>
    <row r="10" spans="1:36" s="8" customFormat="1" ht="20" customHeight="1">
      <c r="B10" s="207"/>
      <c r="C10" s="94"/>
      <c r="D10" s="210"/>
      <c r="E10" s="94"/>
      <c r="F10" s="95"/>
      <c r="G10" s="96"/>
      <c r="H10" s="97"/>
      <c r="I10" s="98"/>
      <c r="J10" s="98"/>
      <c r="K10" s="215"/>
      <c r="L10" s="215"/>
      <c r="M10" s="215"/>
      <c r="N10" s="216"/>
      <c r="O10" s="216"/>
      <c r="P10" s="216"/>
      <c r="Q10" s="99"/>
      <c r="R10" s="94"/>
      <c r="S10" s="215">
        <f>IF(T9="","",T9*1.2)</f>
        <v>349.72635594855387</v>
      </c>
      <c r="T10" s="215"/>
      <c r="U10" s="94"/>
      <c r="V10" s="94">
        <f>IF(V9&gt;0,V9*20,"")</f>
        <v>165.2</v>
      </c>
      <c r="W10" s="94">
        <f>IF(W9="","",(W9*10)*AJ9)</f>
        <v>159.23530941135849</v>
      </c>
      <c r="X10" s="100">
        <f>IF(ROUNDUP(X9,1)&gt;0,IF((80+(8-ROUNDUP(X9,1))*40)&lt;0,0,80+(8-ROUNDUP(X9,1))*40),"")</f>
        <v>136</v>
      </c>
      <c r="Y10" s="101">
        <f>IF(SUM(V10,W10,X10)&gt;0,SUM(V10,W10,X10),"")</f>
        <v>460.4353094113585</v>
      </c>
      <c r="Z10" s="102">
        <f>IF(AE9&gt;34,(IF(OR(S10="",V10="",W10="",X10=""),"",SUM(S10,V10,W10,X10))*AI9),IF(OR(S10="",V10="",W10="",X10=""),"", SUM(S10,V10,W10,X10)))</f>
        <v>810.16166535991238</v>
      </c>
      <c r="AA10" s="102"/>
      <c r="AB10" s="103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208" t="s">
        <v>116</v>
      </c>
      <c r="C11" s="107" t="s">
        <v>334</v>
      </c>
      <c r="D11" s="211">
        <v>67.89</v>
      </c>
      <c r="E11" s="147" t="s">
        <v>125</v>
      </c>
      <c r="F11" s="148" t="s">
        <v>124</v>
      </c>
      <c r="G11" s="108">
        <v>39932</v>
      </c>
      <c r="H11" s="109">
        <v>2</v>
      </c>
      <c r="I11" s="110" t="s">
        <v>107</v>
      </c>
      <c r="J11" s="111" t="s">
        <v>69</v>
      </c>
      <c r="K11" s="112">
        <v>65</v>
      </c>
      <c r="L11" s="113">
        <v>69</v>
      </c>
      <c r="M11" s="113">
        <v>-72</v>
      </c>
      <c r="N11" s="112">
        <v>-77</v>
      </c>
      <c r="O11" s="113">
        <v>-77</v>
      </c>
      <c r="P11" s="113">
        <v>-77</v>
      </c>
      <c r="Q11" s="114">
        <f>IF(MAX(K11:M11)&gt;0,IF(MAX(K11:M11)&lt;0,0,TRUNC(MAX(K11:M11)/1)*1),"")</f>
        <v>69</v>
      </c>
      <c r="R11" s="115" t="str">
        <f>IF(MAX(N11:P11)&gt;0,IF(MAX(N11:P11)&lt;0,0,TRUNC(MAX(N11:P11)/1)*1),"")</f>
        <v/>
      </c>
      <c r="S11" s="115" t="str">
        <f>IF(Q11="","",IF(R11="","",IF(SUM(Q11:R11)=0,"",SUM(Q11:R11))))</f>
        <v/>
      </c>
      <c r="T11" s="116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7" t="str">
        <f>IF(AF11=1,T11*AI11,"")</f>
        <v/>
      </c>
      <c r="V11" s="118"/>
      <c r="W11" s="118"/>
      <c r="X11" s="118"/>
      <c r="Y11" s="119"/>
      <c r="Z11" s="120"/>
      <c r="AA11" s="120"/>
      <c r="AB11" s="121"/>
      <c r="AC11" s="66">
        <f>U5</f>
        <v>45913</v>
      </c>
      <c r="AD11" s="69" t="str">
        <f>IF(ISNUMBER(FIND("M",E11)),"m",IF(ISNUMBER(FIND("K",E11)),"k"))</f>
        <v>m</v>
      </c>
      <c r="AE11" s="67">
        <f>IF(OR(G11="",AC11=""),0,(YEAR(AC11)-YEAR(G11)))</f>
        <v>16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1.4115903196829342</v>
      </c>
    </row>
    <row r="12" spans="1:36" s="8" customFormat="1" ht="20" customHeight="1">
      <c r="B12" s="104"/>
      <c r="C12" s="94"/>
      <c r="D12" s="210"/>
      <c r="E12" s="94"/>
      <c r="F12" s="95"/>
      <c r="G12" s="96"/>
      <c r="H12" s="97"/>
      <c r="I12" s="98"/>
      <c r="J12" s="98"/>
      <c r="K12" s="215"/>
      <c r="L12" s="215"/>
      <c r="M12" s="215"/>
      <c r="N12" s="216"/>
      <c r="O12" s="216"/>
      <c r="P12" s="216"/>
      <c r="Q12" s="99"/>
      <c r="R12" s="94"/>
      <c r="S12" s="215" t="str">
        <f>IF(T11="","",T11*1.2)</f>
        <v/>
      </c>
      <c r="T12" s="215"/>
      <c r="U12" s="102"/>
      <c r="V12" s="94" t="str">
        <f>IF(V11&gt;0,V11*20,"")</f>
        <v/>
      </c>
      <c r="W12" s="94" t="str">
        <f>IF(W11="","",(W11*10)*AJ11)</f>
        <v/>
      </c>
      <c r="X12" s="100" t="str">
        <f>IF(ROUNDUP(X11,1)&gt;0,IF((80+(8-ROUNDUP(X11,1))*40)&lt;0,0,80+(8-ROUNDUP(X11,1))*40),"")</f>
        <v/>
      </c>
      <c r="Y12" s="101" t="str">
        <f>IF(SUM(V12,W12,X12)&gt;0,SUM(V12,W12,X12),"")</f>
        <v/>
      </c>
      <c r="Z12" s="102" t="str">
        <f>IF(AE11&gt;34,(IF(OR(S12="",V12="",W12="",X12=""),"",SUM(S12,V12,W12,X12))*AI11),IF(OR(S12="",V12="",W12="",X12=""),"", SUM(S12,V12,W12,X12)))</f>
        <v/>
      </c>
      <c r="AA12" s="102"/>
      <c r="AB12" s="103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2" t="s">
        <v>117</v>
      </c>
      <c r="C13" s="107" t="s">
        <v>339</v>
      </c>
      <c r="D13" s="211">
        <v>101.87</v>
      </c>
      <c r="E13" s="147" t="s">
        <v>125</v>
      </c>
      <c r="F13" s="148" t="s">
        <v>124</v>
      </c>
      <c r="G13" s="108">
        <v>40296</v>
      </c>
      <c r="H13" s="109">
        <v>3</v>
      </c>
      <c r="I13" s="110" t="s">
        <v>108</v>
      </c>
      <c r="J13" s="111" t="s">
        <v>106</v>
      </c>
      <c r="K13" s="112">
        <v>53</v>
      </c>
      <c r="L13" s="113">
        <v>-57</v>
      </c>
      <c r="M13" s="113">
        <v>57</v>
      </c>
      <c r="N13" s="112">
        <v>76</v>
      </c>
      <c r="O13" s="113">
        <v>81</v>
      </c>
      <c r="P13" s="113">
        <v>-85</v>
      </c>
      <c r="Q13" s="114">
        <f>IF(MAX(K13:M13)&gt;0,IF(MAX(K13:M13)&lt;0,0,TRUNC(MAX(K13:M13)/1)*1),"")</f>
        <v>57</v>
      </c>
      <c r="R13" s="115">
        <f>IF(MAX(N13:P13)&gt;0,IF(MAX(N13:P13)&lt;0,0,TRUNC(MAX(N13:P13)/1)*1),"")</f>
        <v>81</v>
      </c>
      <c r="S13" s="115">
        <f>IF(Q13="","",IF(R13="","",IF(SUM(Q13:R13)=0,"",SUM(Q13:R13))))</f>
        <v>138</v>
      </c>
      <c r="T13" s="11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157.06917039641993</v>
      </c>
      <c r="U13" s="117" t="str">
        <f>IF(AF13=1,T13*AI13,"")</f>
        <v/>
      </c>
      <c r="V13" s="118">
        <v>5.82</v>
      </c>
      <c r="W13" s="118">
        <v>9.5500000000000007</v>
      </c>
      <c r="X13" s="118">
        <v>8</v>
      </c>
      <c r="Y13" s="123"/>
      <c r="Z13" s="120"/>
      <c r="AA13" s="120" t="s">
        <v>336</v>
      </c>
      <c r="AB13" s="121"/>
      <c r="AC13" s="66">
        <f>U5</f>
        <v>45913</v>
      </c>
      <c r="AD13" s="69" t="str">
        <f>IF(ISNUMBER(FIND("M",E13)),"m",IF(ISNUMBER(FIND("K",E13)),"k"))</f>
        <v>m</v>
      </c>
      <c r="AE13" s="67">
        <f>IF(OR(G13="",AC13=""),0,(YEAR(AC13)-YEAR(G13)))</f>
        <v>15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1.138182394176956</v>
      </c>
    </row>
    <row r="14" spans="1:36" s="8" customFormat="1" ht="20" customHeight="1">
      <c r="B14" s="104"/>
      <c r="C14" s="94"/>
      <c r="D14" s="210"/>
      <c r="E14" s="94"/>
      <c r="F14" s="95"/>
      <c r="G14" s="96"/>
      <c r="H14" s="97"/>
      <c r="I14" s="98"/>
      <c r="J14" s="98"/>
      <c r="K14" s="215"/>
      <c r="L14" s="215"/>
      <c r="M14" s="215"/>
      <c r="N14" s="216"/>
      <c r="O14" s="216"/>
      <c r="P14" s="216"/>
      <c r="Q14" s="99"/>
      <c r="R14" s="94"/>
      <c r="S14" s="215">
        <f>IF(T13="","",T13*1.2)</f>
        <v>188.48300447570392</v>
      </c>
      <c r="T14" s="215"/>
      <c r="U14" s="94"/>
      <c r="V14" s="94">
        <f>IF(V13&gt;0,V13*20,"")</f>
        <v>116.4</v>
      </c>
      <c r="W14" s="94">
        <f>IF(W13="","",(W13*10)*AJ13)</f>
        <v>108.69641864389929</v>
      </c>
      <c r="X14" s="100">
        <f>IF(ROUNDUP(X13,1)&gt;0,IF((80+(8-ROUNDUP(X13,1))*40)&lt;0,0,80+(8-ROUNDUP(X13,1))*40),"")</f>
        <v>80</v>
      </c>
      <c r="Y14" s="101">
        <f>IF(SUM(V14,W14,X14)&gt;0,SUM(V14,W14,X14),"")</f>
        <v>305.09641864389931</v>
      </c>
      <c r="Z14" s="102">
        <f>IF(AE13&gt;34,(IF(OR(S14="",V14="",W14="",X14=""),"",SUM(S14,V14,W14,X14))*AI13),IF(OR(S14="",V14="",W14="",X14=""),"", SUM(S14,V14,W14,X14)))</f>
        <v>493.57942311960323</v>
      </c>
      <c r="AA14" s="102"/>
      <c r="AB14" s="103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2" t="s">
        <v>118</v>
      </c>
      <c r="C15" s="105" t="s">
        <v>334</v>
      </c>
      <c r="D15" s="211">
        <v>69.14</v>
      </c>
      <c r="E15" s="147" t="s">
        <v>125</v>
      </c>
      <c r="F15" s="148" t="s">
        <v>124</v>
      </c>
      <c r="G15" s="108">
        <v>40059</v>
      </c>
      <c r="H15" s="109">
        <v>4</v>
      </c>
      <c r="I15" s="110" t="s">
        <v>109</v>
      </c>
      <c r="J15" s="111" t="s">
        <v>67</v>
      </c>
      <c r="K15" s="112">
        <v>67</v>
      </c>
      <c r="L15" s="113">
        <v>72</v>
      </c>
      <c r="M15" s="113">
        <v>75</v>
      </c>
      <c r="N15" s="112">
        <v>97</v>
      </c>
      <c r="O15" s="113">
        <v>102</v>
      </c>
      <c r="P15" s="113">
        <v>-104</v>
      </c>
      <c r="Q15" s="114">
        <f>IF(MAX(K15:M15)&gt;0,IF(MAX(K15:M15)&lt;0,0,TRUNC(MAX(K15:M15)/1)*1),"")</f>
        <v>75</v>
      </c>
      <c r="R15" s="115">
        <f>IF(MAX(N15:P15)&gt;0,IF(MAX(N15:P15)&lt;0,0,TRUNC(MAX(N15:P15)/1)*1),"")</f>
        <v>102</v>
      </c>
      <c r="S15" s="115">
        <f>IF(Q15="","",IF(R15="","",IF(SUM(Q15:R15)=0,"",SUM(Q15:R15))))</f>
        <v>177</v>
      </c>
      <c r="T15" s="11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246.89625571578708</v>
      </c>
      <c r="U15" s="117" t="str">
        <f>IF(AF15=1,T15*AI15,"")</f>
        <v/>
      </c>
      <c r="V15" s="118">
        <v>8.5399999999999991</v>
      </c>
      <c r="W15" s="118">
        <v>12.56</v>
      </c>
      <c r="X15" s="118">
        <v>6</v>
      </c>
      <c r="Y15" s="119"/>
      <c r="Z15" s="120"/>
      <c r="AA15" s="120" t="s">
        <v>303</v>
      </c>
      <c r="AB15" s="121"/>
      <c r="AC15" s="66">
        <f>U5</f>
        <v>45913</v>
      </c>
      <c r="AD15" s="69" t="str">
        <f>IF(ISNUMBER(FIND("M",E15)),"m",IF(ISNUMBER(FIND("K",E15)),"k"))</f>
        <v>m</v>
      </c>
      <c r="AE15" s="67">
        <f>IF(OR(G15="",AC15=""),0,(YEAR(AC15)-YEAR(G15)))</f>
        <v>16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1.3948941000891926</v>
      </c>
    </row>
    <row r="16" spans="1:36" s="8" customFormat="1" ht="20" customHeight="1">
      <c r="B16" s="104"/>
      <c r="C16" s="94"/>
      <c r="D16" s="210"/>
      <c r="E16" s="94"/>
      <c r="F16" s="95"/>
      <c r="G16" s="96"/>
      <c r="H16" s="97"/>
      <c r="I16" s="98"/>
      <c r="J16" s="98"/>
      <c r="K16" s="215"/>
      <c r="L16" s="215"/>
      <c r="M16" s="215"/>
      <c r="N16" s="216"/>
      <c r="O16" s="216"/>
      <c r="P16" s="216"/>
      <c r="Q16" s="136"/>
      <c r="R16" s="137"/>
      <c r="S16" s="215">
        <f>IF(T15="","",T15*1.2)</f>
        <v>296.27550685894448</v>
      </c>
      <c r="T16" s="215"/>
      <c r="U16" s="94"/>
      <c r="V16" s="94">
        <f>IF(V15&gt;0,V15*20,"")</f>
        <v>170.79999999999998</v>
      </c>
      <c r="W16" s="94">
        <f>IF(W15="","",(W15*10)*AJ15)</f>
        <v>175.19869897120259</v>
      </c>
      <c r="X16" s="100">
        <f>IF(ROUNDUP(X15,1)&gt;0,IF((80+(8-ROUNDUP(X15,1))*40)&lt;0,0,80+(8-ROUNDUP(X15,1))*40),"")</f>
        <v>160</v>
      </c>
      <c r="Y16" s="101">
        <f>IF(SUM(V16,W16,X16)&gt;0,SUM(V16,W16,X16),"")</f>
        <v>505.99869897120254</v>
      </c>
      <c r="Z16" s="102">
        <f>IF(AE15&gt;34,(IF(OR(S16="",V16="",W16="",X16=""),"",SUM(S16,V16,W16,X16))*AI15),IF(OR(S16="",V16="",W16="",X16=""),"", SUM(S16,V16,W16,X16)))</f>
        <v>802.27420583014703</v>
      </c>
      <c r="AA16" s="102"/>
      <c r="AB16" s="103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2" t="s">
        <v>119</v>
      </c>
      <c r="C17" s="105" t="s">
        <v>337</v>
      </c>
      <c r="D17" s="211">
        <v>59.08</v>
      </c>
      <c r="E17" s="147" t="s">
        <v>125</v>
      </c>
      <c r="F17" s="148" t="s">
        <v>124</v>
      </c>
      <c r="G17" s="108">
        <v>40404</v>
      </c>
      <c r="H17" s="109">
        <v>5</v>
      </c>
      <c r="I17" s="124" t="s">
        <v>110</v>
      </c>
      <c r="J17" s="111" t="s">
        <v>106</v>
      </c>
      <c r="K17" s="112">
        <v>-63</v>
      </c>
      <c r="L17" s="113">
        <v>-63</v>
      </c>
      <c r="M17" s="113">
        <v>63</v>
      </c>
      <c r="N17" s="112">
        <v>72</v>
      </c>
      <c r="O17" s="113">
        <v>76</v>
      </c>
      <c r="P17" s="113">
        <v>80</v>
      </c>
      <c r="Q17" s="114">
        <f>IF(MAX(K17:M17)&gt;0,IF(MAX(K17:M17)&lt;0,0,TRUNC(MAX(K17:M17)/1)*1),"")</f>
        <v>63</v>
      </c>
      <c r="R17" s="115">
        <f>IF(MAX(N17:P17)&gt;0,IF(MAX(N17:P17)&lt;0,0,TRUNC(MAX(N17:P17)/1)*1),"")</f>
        <v>80</v>
      </c>
      <c r="S17" s="125">
        <f>IF(Q17="","",IF(R17="","",IF(SUM(Q17:R17)=0,"",SUM(Q17:R17))))</f>
        <v>143</v>
      </c>
      <c r="T17" s="11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222.53175562812152</v>
      </c>
      <c r="U17" s="117" t="str">
        <f>IF(AF17=1,T17*AI17,"")</f>
        <v/>
      </c>
      <c r="V17" s="118">
        <v>7.86</v>
      </c>
      <c r="W17" s="118">
        <v>7.79</v>
      </c>
      <c r="X17" s="118">
        <v>7</v>
      </c>
      <c r="Y17" s="119"/>
      <c r="Z17" s="120"/>
      <c r="AA17" s="120" t="s">
        <v>306</v>
      </c>
      <c r="AB17" s="121"/>
      <c r="AC17" s="66">
        <f>U5</f>
        <v>45913</v>
      </c>
      <c r="AD17" s="69" t="str">
        <f>IF(ISNUMBER(FIND("M",E17)),"m",IF(ISNUMBER(FIND("K",E17)),"k"))</f>
        <v>m</v>
      </c>
      <c r="AE17" s="67">
        <f>IF(OR(G17="",AC17=""),0,(YEAR(AC17)-YEAR(G17)))</f>
        <v>15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1.5561661232735771</v>
      </c>
    </row>
    <row r="18" spans="2:36" s="8" customFormat="1" ht="20" customHeight="1">
      <c r="B18" s="104"/>
      <c r="C18" s="94"/>
      <c r="D18" s="210"/>
      <c r="E18" s="94"/>
      <c r="F18" s="95"/>
      <c r="G18" s="96"/>
      <c r="H18" s="97"/>
      <c r="I18" s="98"/>
      <c r="J18" s="98"/>
      <c r="K18" s="215"/>
      <c r="L18" s="215"/>
      <c r="M18" s="215"/>
      <c r="N18" s="216"/>
      <c r="O18" s="216"/>
      <c r="P18" s="216"/>
      <c r="Q18" s="99"/>
      <c r="R18" s="94"/>
      <c r="S18" s="215">
        <f>IF(T17="","",T17*1.2)</f>
        <v>267.03810675374581</v>
      </c>
      <c r="T18" s="215"/>
      <c r="U18" s="94"/>
      <c r="V18" s="94">
        <f>IF(V17&gt;0,V17*20,"")</f>
        <v>157.20000000000002</v>
      </c>
      <c r="W18" s="94">
        <f>IF(W17="","",(W17*10)*AJ17)</f>
        <v>121.22534100301166</v>
      </c>
      <c r="X18" s="100">
        <f>IF(ROUNDUP(X17,1)&gt;0,IF((80+(8-ROUNDUP(X17,1))*40)&lt;0,0,80+(8-ROUNDUP(X17,1))*40),"")</f>
        <v>120</v>
      </c>
      <c r="Y18" s="101">
        <f>IF(SUM(V18,W18,X18)&gt;0,SUM(V18,W18,X18),"")</f>
        <v>398.42534100301168</v>
      </c>
      <c r="Z18" s="102">
        <f>IF(AE17&gt;34,(IF(OR(S18="",V18="",W18="",X18=""),"",SUM(S18,V18,W18,X18))*AI17),IF(OR(S18="",V18="",W18="",X18=""),"", SUM(S18,V18,W18,X18)))</f>
        <v>665.46344775675743</v>
      </c>
      <c r="AA18" s="102"/>
      <c r="AB18" s="103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2" t="s">
        <v>120</v>
      </c>
      <c r="C19" s="105" t="s">
        <v>333</v>
      </c>
      <c r="D19" s="211">
        <v>75.52</v>
      </c>
      <c r="E19" s="147" t="s">
        <v>125</v>
      </c>
      <c r="F19" s="148" t="s">
        <v>124</v>
      </c>
      <c r="G19" s="108">
        <v>40263</v>
      </c>
      <c r="H19" s="109">
        <v>6</v>
      </c>
      <c r="I19" s="124" t="s">
        <v>111</v>
      </c>
      <c r="J19" s="111" t="s">
        <v>69</v>
      </c>
      <c r="K19" s="112">
        <v>68</v>
      </c>
      <c r="L19" s="113">
        <v>73</v>
      </c>
      <c r="M19" s="113">
        <v>-75</v>
      </c>
      <c r="N19" s="112">
        <v>90</v>
      </c>
      <c r="O19" s="113">
        <v>-95</v>
      </c>
      <c r="P19" s="113">
        <v>-95</v>
      </c>
      <c r="Q19" s="114">
        <f>IF(MAX(K19:M19)&gt;0,IF(MAX(K19:M19)&lt;0,0,TRUNC(MAX(K19:M19)/1)*1),"")</f>
        <v>73</v>
      </c>
      <c r="R19" s="115">
        <f>IF(MAX(N19:P19)&gt;0,IF(MAX(N19:P19)&lt;0,0,TRUNC(MAX(N19:P19)/1)*1),"")</f>
        <v>90</v>
      </c>
      <c r="S19" s="125">
        <f>IF(Q19="","",IF(R19="","",IF(SUM(Q19:R19)=0,"",SUM(Q19:R19))))</f>
        <v>163</v>
      </c>
      <c r="T19" s="116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215.2838192407207</v>
      </c>
      <c r="U19" s="117" t="str">
        <f>IF(AF19=1,T19*AI19,"")</f>
        <v/>
      </c>
      <c r="V19" s="118">
        <v>8.2799999999999994</v>
      </c>
      <c r="W19" s="118">
        <v>10.86</v>
      </c>
      <c r="X19" s="118">
        <v>6.8</v>
      </c>
      <c r="Y19" s="119"/>
      <c r="Z19" s="120"/>
      <c r="AA19" s="120" t="s">
        <v>305</v>
      </c>
      <c r="AB19" s="121"/>
      <c r="AC19" s="66">
        <f>U5</f>
        <v>45913</v>
      </c>
      <c r="AD19" s="69" t="str">
        <f>IF(ISNUMBER(FIND("M",E19)),"m",IF(ISNUMBER(FIND("K",E19)),"k"))</f>
        <v>m</v>
      </c>
      <c r="AE19" s="67">
        <f>IF(OR(G19="",AC19=""),0,(YEAR(AC19)-YEAR(G19)))</f>
        <v>15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6">
        <f>IF(D19="","",IF(D19&gt;193.609,1,IF(D19&lt;32,10^(0.722762521*LOG10(32/193.609)^2),10^(0.722762521*LOG10(D19/193.609)^2))))</f>
        <v>1.3207596272436852</v>
      </c>
    </row>
    <row r="20" spans="2:36" s="8" customFormat="1" ht="20" customHeight="1">
      <c r="B20" s="104"/>
      <c r="C20" s="94"/>
      <c r="D20" s="210"/>
      <c r="E20" s="94"/>
      <c r="F20" s="95"/>
      <c r="G20" s="96"/>
      <c r="H20" s="97"/>
      <c r="I20" s="98"/>
      <c r="J20" s="98"/>
      <c r="K20" s="215"/>
      <c r="L20" s="215"/>
      <c r="M20" s="215"/>
      <c r="N20" s="216"/>
      <c r="O20" s="216"/>
      <c r="P20" s="216"/>
      <c r="Q20" s="99"/>
      <c r="R20" s="94"/>
      <c r="S20" s="215">
        <f>IF(T19="","",T19*1.2)</f>
        <v>258.34058308886483</v>
      </c>
      <c r="T20" s="215"/>
      <c r="U20" s="94"/>
      <c r="V20" s="94">
        <f>IF(V19&gt;0,V19*20,"")</f>
        <v>165.6</v>
      </c>
      <c r="W20" s="94">
        <f>IF(W19="","",(W19*10)*AJ19)</f>
        <v>143.43449551866422</v>
      </c>
      <c r="X20" s="100">
        <f>IF(ROUNDUP(X19,1)&gt;0,IF((80+(8-ROUNDUP(X19,1))*40)&lt;0,0,80+(8-ROUNDUP(X19,1))*40),"")</f>
        <v>128</v>
      </c>
      <c r="Y20" s="101">
        <f>IF(SUM(V20,W20,X20)&gt;0,SUM(V20,W20,X20),"")</f>
        <v>437.03449551866424</v>
      </c>
      <c r="Z20" s="102">
        <f>IF(AE19&gt;34,(IF(OR(S20="",V20="",W20="",X20=""),"",SUM(S20,V20,W20,X20))*AI19),IF(OR(S20="",V20="",W20="",X20=""),"", SUM(S20,V20,W20,X20)))</f>
        <v>695.37507860752908</v>
      </c>
      <c r="AA20" s="102"/>
      <c r="AB20" s="103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2" t="s">
        <v>121</v>
      </c>
      <c r="C21" s="105" t="s">
        <v>322</v>
      </c>
      <c r="D21" s="211">
        <v>85.06</v>
      </c>
      <c r="E21" s="147" t="s">
        <v>125</v>
      </c>
      <c r="F21" s="148" t="s">
        <v>124</v>
      </c>
      <c r="G21" s="108">
        <v>40296</v>
      </c>
      <c r="H21" s="109">
        <v>7</v>
      </c>
      <c r="I21" s="110" t="s">
        <v>112</v>
      </c>
      <c r="J21" s="111" t="s">
        <v>65</v>
      </c>
      <c r="K21" s="112">
        <v>-82</v>
      </c>
      <c r="L21" s="113">
        <v>-82</v>
      </c>
      <c r="M21" s="113">
        <v>82</v>
      </c>
      <c r="N21" s="112">
        <v>95</v>
      </c>
      <c r="O21" s="113">
        <v>100</v>
      </c>
      <c r="P21" s="113">
        <v>103</v>
      </c>
      <c r="Q21" s="114">
        <f>IF(MAX(K21:M21)&gt;0,IF(MAX(K21:M21)&lt;0,0,TRUNC(MAX(K21:M21)/1)*1),"")</f>
        <v>82</v>
      </c>
      <c r="R21" s="115">
        <f>IF(MAX(N21:P21)&gt;0,IF(MAX(N21:P21)&lt;0,0,TRUNC(MAX(N21:P21)/1)*1),"")</f>
        <v>103</v>
      </c>
      <c r="S21" s="125">
        <f>IF(Q21="","",IF(R21="","",IF(SUM(Q21:R21)=0,"",SUM(Q21:R21))))</f>
        <v>185</v>
      </c>
      <c r="T21" s="11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228.76543857167169</v>
      </c>
      <c r="U21" s="117" t="str">
        <f>IF(AF21=1,T21*AI21,"")</f>
        <v/>
      </c>
      <c r="V21" s="118">
        <v>7.4</v>
      </c>
      <c r="W21" s="118">
        <v>9.8800000000000008</v>
      </c>
      <c r="X21" s="118">
        <v>7.1</v>
      </c>
      <c r="Y21" s="119"/>
      <c r="Z21" s="120"/>
      <c r="AA21" s="120" t="s">
        <v>307</v>
      </c>
      <c r="AB21" s="121"/>
      <c r="AC21" s="66">
        <f>U5</f>
        <v>45913</v>
      </c>
      <c r="AD21" s="69" t="str">
        <f>IF(ISNUMBER(FIND("M",E21)),"m",IF(ISNUMBER(FIND("K",E21)),"k"))</f>
        <v>m</v>
      </c>
      <c r="AE21" s="67">
        <f>IF(OR(G21="",AC21=""),0,(YEAR(AC21)-YEAR(G21)))</f>
        <v>15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6">
        <f>IF(D21="","",IF(D21&gt;193.609,1,IF(D21&lt;32,10^(0.722762521*LOG10(32/193.609)^2),10^(0.722762521*LOG10(D21/193.609)^2))))</f>
        <v>1.2365699382252524</v>
      </c>
    </row>
    <row r="22" spans="2:36" s="8" customFormat="1" ht="20" customHeight="1">
      <c r="B22" s="104"/>
      <c r="C22" s="94"/>
      <c r="D22" s="210"/>
      <c r="E22" s="94"/>
      <c r="F22" s="95"/>
      <c r="G22" s="96"/>
      <c r="H22" s="97"/>
      <c r="I22" s="98"/>
      <c r="J22" s="98"/>
      <c r="K22" s="215"/>
      <c r="L22" s="215"/>
      <c r="M22" s="215"/>
      <c r="N22" s="216"/>
      <c r="O22" s="216"/>
      <c r="P22" s="216"/>
      <c r="Q22" s="99"/>
      <c r="R22" s="94"/>
      <c r="S22" s="215">
        <f>IF(T21="","",T21*1.2)</f>
        <v>274.51852628600602</v>
      </c>
      <c r="T22" s="215"/>
      <c r="U22" s="94"/>
      <c r="V22" s="94">
        <f>IF(V21&gt;0,V21*20,"")</f>
        <v>148</v>
      </c>
      <c r="W22" s="94">
        <f>IF(W21="","",(W21*10)*AJ21)</f>
        <v>122.17310989665495</v>
      </c>
      <c r="X22" s="100">
        <f>IF(ROUNDUP(X21,1)&gt;0,IF((80+(8-ROUNDUP(X21,1))*40)&lt;0,0,80+(8-ROUNDUP(X21,1))*40),"")</f>
        <v>116.00000000000001</v>
      </c>
      <c r="Y22" s="101">
        <f>IF(SUM(V22,W22,X22)&gt;0,SUM(V22,W22,X22),"")</f>
        <v>386.17310989665498</v>
      </c>
      <c r="Z22" s="102">
        <f>IF(AE21&gt;34,(IF(OR(S22="",V22="",W22="",X22=""),"",SUM(S22,V22,W22,X22))*AI21),IF(OR(S22="",V22="",W22="",X22=""),"", SUM(S22,V22,W22,X22)))</f>
        <v>660.691636182661</v>
      </c>
      <c r="AA22" s="102"/>
      <c r="AB22" s="103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2" t="s">
        <v>122</v>
      </c>
      <c r="C23" s="105" t="s">
        <v>338</v>
      </c>
      <c r="D23" s="211">
        <v>60.57</v>
      </c>
      <c r="E23" s="147" t="s">
        <v>125</v>
      </c>
      <c r="F23" s="148" t="s">
        <v>124</v>
      </c>
      <c r="G23" s="108">
        <v>40536</v>
      </c>
      <c r="H23" s="109">
        <v>8</v>
      </c>
      <c r="I23" s="110" t="s">
        <v>113</v>
      </c>
      <c r="J23" s="111" t="s">
        <v>62</v>
      </c>
      <c r="K23" s="112">
        <v>48</v>
      </c>
      <c r="L23" s="113">
        <v>51</v>
      </c>
      <c r="M23" s="113">
        <v>53</v>
      </c>
      <c r="N23" s="112">
        <v>58</v>
      </c>
      <c r="O23" s="113">
        <v>61</v>
      </c>
      <c r="P23" s="113">
        <v>63</v>
      </c>
      <c r="Q23" s="114">
        <f>IF(MAX(K23:M23)&gt;0,IF(MAX(K23:M23)&lt;0,0,TRUNC(MAX(K23:M23)/1)*1),"")</f>
        <v>53</v>
      </c>
      <c r="R23" s="115">
        <f>IF(MAX(N23:P23)&gt;0,IF(MAX(N23:P23)&lt;0,0,TRUNC(MAX(N23:P23)/1)*1),"")</f>
        <v>63</v>
      </c>
      <c r="S23" s="125">
        <f>IF(Q23="","",IF(R23="","",IF(SUM(Q23:R23)=0,"",SUM(Q23:R23))))</f>
        <v>116</v>
      </c>
      <c r="T23" s="116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177.2303931374353</v>
      </c>
      <c r="U23" s="117" t="str">
        <f>IF(AF23=1,T23*AI23,"")</f>
        <v/>
      </c>
      <c r="V23" s="118">
        <v>6.43</v>
      </c>
      <c r="W23" s="118">
        <v>8.1</v>
      </c>
      <c r="X23" s="118">
        <v>7.4</v>
      </c>
      <c r="Y23" s="119"/>
      <c r="Z23" s="120"/>
      <c r="AA23" s="120" t="s">
        <v>308</v>
      </c>
      <c r="AB23" s="121"/>
      <c r="AC23" s="66">
        <f>U5</f>
        <v>45913</v>
      </c>
      <c r="AD23" s="69" t="str">
        <f>IF(ISNUMBER(FIND("M",E23)),"m",IF(ISNUMBER(FIND("K",E23)),"k"))</f>
        <v>m</v>
      </c>
      <c r="AE23" s="82">
        <f>IF(OR(G23="",AC23=""),0,(YEAR(AC23)-YEAR(G23)))</f>
        <v>15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6">
        <f>IF(D23="","",IF(D23&gt;193.609,1,IF(D23&lt;32,10^(0.722762521*LOG10(32/193.609)^2),10^(0.722762521*LOG10(D23/193.609)^2))))</f>
        <v>1.5278482167020284</v>
      </c>
    </row>
    <row r="24" spans="2:36" s="8" customFormat="1" ht="20" customHeight="1">
      <c r="B24" s="104"/>
      <c r="C24" s="94"/>
      <c r="D24" s="210"/>
      <c r="E24" s="94"/>
      <c r="F24" s="95"/>
      <c r="G24" s="96"/>
      <c r="H24" s="97"/>
      <c r="I24" s="98"/>
      <c r="J24" s="98"/>
      <c r="K24" s="215"/>
      <c r="L24" s="215"/>
      <c r="M24" s="215"/>
      <c r="N24" s="216"/>
      <c r="O24" s="216"/>
      <c r="P24" s="216"/>
      <c r="Q24" s="99"/>
      <c r="R24" s="94"/>
      <c r="S24" s="215">
        <f>IF(T23="","",T23*1.2)</f>
        <v>212.67647176492235</v>
      </c>
      <c r="T24" s="215"/>
      <c r="U24" s="94"/>
      <c r="V24" s="94">
        <f>IF(V23&gt;0,V23*20,"")</f>
        <v>128.6</v>
      </c>
      <c r="W24" s="94">
        <f>IF(W23="","",(W23*10)*AJ23)</f>
        <v>123.7557055528643</v>
      </c>
      <c r="X24" s="100">
        <f>IF(ROUNDUP(X23,1)&gt;0,IF((80+(8-ROUNDUP(X23,1))*40)&lt;0,0,80+(8-ROUNDUP(X23,1))*40),"")</f>
        <v>103.99999999999999</v>
      </c>
      <c r="Y24" s="101">
        <f>IF(SUM(V24,W24,X24)&gt;0,SUM(V24,W24,X24),"")</f>
        <v>356.35570555286426</v>
      </c>
      <c r="Z24" s="102">
        <f>IF(AE23&gt;34,(IF(OR(S24="",V24="",W24="",X24=""),"",SUM(S24,V24,W24,X24))*AI23),IF(OR(S24="",V24="",W24="",X24=""),"", SUM(S24,V24,W24,X24)))</f>
        <v>569.03217731778659</v>
      </c>
      <c r="AA24" s="102"/>
      <c r="AB24" s="103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2" t="s">
        <v>123</v>
      </c>
      <c r="C25" s="107" t="s">
        <v>339</v>
      </c>
      <c r="D25" s="211">
        <v>152.5</v>
      </c>
      <c r="E25" s="147" t="s">
        <v>125</v>
      </c>
      <c r="F25" s="148" t="s">
        <v>124</v>
      </c>
      <c r="G25" s="108">
        <v>40418</v>
      </c>
      <c r="H25" s="109">
        <v>9</v>
      </c>
      <c r="I25" s="110" t="s">
        <v>114</v>
      </c>
      <c r="J25" s="111" t="s">
        <v>69</v>
      </c>
      <c r="K25" s="112">
        <v>78</v>
      </c>
      <c r="L25" s="113">
        <v>-83</v>
      </c>
      <c r="M25" s="113">
        <v>83</v>
      </c>
      <c r="N25" s="112">
        <v>95</v>
      </c>
      <c r="O25" s="113">
        <v>100</v>
      </c>
      <c r="P25" s="113">
        <v>-105</v>
      </c>
      <c r="Q25" s="114">
        <f>IF(MAX(K25:L25)&gt;0,IF(MAX(K25:L25)&lt;0,0,TRUNC(MAX(K25:L25)/1)*1),"")</f>
        <v>78</v>
      </c>
      <c r="R25" s="115">
        <f>IF(MAX(N25:P25)&gt;0,IF(MAX(N25:P25)&lt;0,0,TRUNC(MAX(N25:P25)/1)*1),"")</f>
        <v>100</v>
      </c>
      <c r="S25" s="125">
        <f>IF(Q25="","",IF(R25="","",IF(SUM(Q25:R25)=0,"",SUM(Q25:R25))))</f>
        <v>178</v>
      </c>
      <c r="T25" s="116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181.21148815988664</v>
      </c>
      <c r="U25" s="117" t="str">
        <f>IF(AF25=1,T25*AI25,"")</f>
        <v/>
      </c>
      <c r="V25" s="118">
        <v>5.58</v>
      </c>
      <c r="W25" s="118">
        <v>12.95</v>
      </c>
      <c r="X25" s="118">
        <v>8.4</v>
      </c>
      <c r="Y25" s="119"/>
      <c r="Z25" s="120"/>
      <c r="AA25" s="120" t="s">
        <v>309</v>
      </c>
      <c r="AB25" s="121"/>
      <c r="AC25" s="66">
        <f>U5</f>
        <v>45913</v>
      </c>
      <c r="AD25" s="69" t="str">
        <f>IF(ISNUMBER(FIND("M",E25)),"m",IF(ISNUMBER(FIND("K",E25)),"k"))</f>
        <v>m</v>
      </c>
      <c r="AE25" s="82">
        <f>IF(OR(G25="",AC25=""),0,(YEAR(AC25)-YEAR(G25)))</f>
        <v>15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b">
        <f t="shared" ref="AI25" si="3">IF(AD25="m",AG25,IF(AD25="k",AH25,""))</f>
        <v>0</v>
      </c>
      <c r="AJ25" s="86">
        <f>IF(D25="","",IF(D25&gt;193.609,1,IF(D25&lt;32,10^(0.722762521*LOG10(32/193.609)^2),10^(0.722762521*LOG10(D25/193.609)^2))))</f>
        <v>1.0180420683139699</v>
      </c>
    </row>
    <row r="26" spans="2:36" s="8" customFormat="1" ht="20" customHeight="1">
      <c r="B26" s="104"/>
      <c r="C26" s="94"/>
      <c r="D26" s="94"/>
      <c r="E26" s="94"/>
      <c r="F26" s="95"/>
      <c r="G26" s="96"/>
      <c r="H26" s="97"/>
      <c r="I26" s="98"/>
      <c r="J26" s="98"/>
      <c r="K26" s="215"/>
      <c r="L26" s="215"/>
      <c r="M26" s="215"/>
      <c r="N26" s="216"/>
      <c r="O26" s="216"/>
      <c r="P26" s="216"/>
      <c r="Q26" s="99"/>
      <c r="R26" s="94"/>
      <c r="S26" s="215">
        <f>IF(T25="","",T25*1.2)</f>
        <v>217.45378579186396</v>
      </c>
      <c r="T26" s="215"/>
      <c r="U26" s="94"/>
      <c r="V26" s="94">
        <f>IF(V25&gt;0,V25*20,"")</f>
        <v>111.6</v>
      </c>
      <c r="W26" s="94">
        <f>IF(W25="","",(W25*10)*AJ25)</f>
        <v>131.8364478466591</v>
      </c>
      <c r="X26" s="100">
        <f>IF(ROUNDUP(X25,1)&gt;0,IF((80+(8-ROUNDUP(X25,1))*40)&lt;0,0,80+(8-ROUNDUP(X25,1))*40),"")</f>
        <v>63.999999999999986</v>
      </c>
      <c r="Y26" s="101">
        <f>IF(SUM(V26,W26,X26)&gt;0,SUM(V26,W26,X26),"")</f>
        <v>307.43644784665906</v>
      </c>
      <c r="Z26" s="102">
        <f>IF(AE25&gt;34,(IF(OR(S26="",V26="",W26="",X26=""),"",SUM(S26,V26,W26,X26))*AI25),IF(OR(S26="",V26="",W26="",X26=""),"", SUM(S26,V26,W26,X26)))</f>
        <v>524.890233638523</v>
      </c>
      <c r="AA26" s="102"/>
      <c r="AB26" s="103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2"/>
      <c r="C27" s="126"/>
      <c r="D27" s="106"/>
      <c r="E27" s="147"/>
      <c r="F27" s="148"/>
      <c r="G27" s="129"/>
      <c r="H27" s="105"/>
      <c r="I27" s="111"/>
      <c r="J27" s="111"/>
      <c r="K27" s="130"/>
      <c r="L27" s="131"/>
      <c r="M27" s="131"/>
      <c r="N27" s="131"/>
      <c r="O27" s="132"/>
      <c r="P27" s="132"/>
      <c r="Q27" s="114" t="str">
        <f>IF(MAX(K27:M27)&gt;0,IF(MAX(K27:M27)&lt;0,0,TRUNC(MAX(K27:M27)/1)*1),"")</f>
        <v/>
      </c>
      <c r="R27" s="115" t="str">
        <f>IF(MAX(N27:P27)&gt;0,IF(MAX(N27:P27)&lt;0,0,TRUNC(MAX(N27:P27)/1)*1),"")</f>
        <v/>
      </c>
      <c r="S27" s="125" t="str">
        <f>IF(Q27="","",IF(R27="","",IF(SUM(Q27:R27)=0,"",SUM(Q27:R27))))</f>
        <v/>
      </c>
      <c r="T27" s="116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7" t="str">
        <f>IF(AF27=1,T27*AI27,"")</f>
        <v/>
      </c>
      <c r="V27" s="133"/>
      <c r="W27" s="133"/>
      <c r="X27" s="134"/>
      <c r="Y27" s="119"/>
      <c r="Z27" s="120"/>
      <c r="AA27" s="120"/>
      <c r="AB27" s="121"/>
      <c r="AC27" s="66">
        <f>U5</f>
        <v>45913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4"/>
      <c r="C28" s="138"/>
      <c r="D28" s="94"/>
      <c r="E28" s="94"/>
      <c r="F28" s="95"/>
      <c r="G28" s="139"/>
      <c r="H28" s="96"/>
      <c r="I28" s="98" t="s">
        <v>13</v>
      </c>
      <c r="J28" s="98"/>
      <c r="K28" s="216"/>
      <c r="L28" s="216"/>
      <c r="M28" s="216"/>
      <c r="N28" s="216"/>
      <c r="O28" s="216"/>
      <c r="P28" s="216"/>
      <c r="Q28" s="99"/>
      <c r="R28" s="94"/>
      <c r="S28" s="215" t="str">
        <f>IF(T27="","",T27*1.2)</f>
        <v/>
      </c>
      <c r="T28" s="215"/>
      <c r="U28" s="94"/>
      <c r="V28" s="94" t="str">
        <f>IF(V27&gt;0,V27*20,"")</f>
        <v/>
      </c>
      <c r="W28" s="94" t="str">
        <f>IF(W27="","",(W27*10)*AJ27)</f>
        <v/>
      </c>
      <c r="X28" s="100" t="str">
        <f>IF(ROUNDUP(X27,1)&gt;0,IF((80+(8-ROUNDUP(X27,1))*40)&lt;0,0,80+(8-ROUNDUP(X27,1))*40),"")</f>
        <v/>
      </c>
      <c r="Y28" s="101" t="str">
        <f>IF(SUM(V28,W28,X28)&gt;0,SUM(V28,W28,X28),"")</f>
        <v/>
      </c>
      <c r="Z28" s="102" t="str">
        <f>IF(AE27&gt;34,(IF(OR(S28="",V28="",W28="",X28=""),"",SUM(S28,V28,W28,X28))*AI27),IF(OR(S28="",V28="",W28="",X28=""),"", SUM(S28,V28,W28,X28)))</f>
        <v/>
      </c>
      <c r="AA28" s="102"/>
      <c r="AB28" s="103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2"/>
      <c r="C29" s="126"/>
      <c r="D29" s="106"/>
      <c r="E29" s="127"/>
      <c r="F29" s="128"/>
      <c r="G29" s="129"/>
      <c r="H29" s="105"/>
      <c r="I29" s="111"/>
      <c r="J29" s="111"/>
      <c r="K29" s="130"/>
      <c r="L29" s="131"/>
      <c r="M29" s="131"/>
      <c r="N29" s="131"/>
      <c r="O29" s="132"/>
      <c r="P29" s="132"/>
      <c r="Q29" s="114" t="str">
        <f>IF(MAX(K29:M29)&gt;0,IF(MAX(K29:M29)&lt;0,0,TRUNC(MAX(K29:M29)/1)*1),"")</f>
        <v/>
      </c>
      <c r="R29" s="115" t="str">
        <f>IF(MAX(N29:P29)&gt;0,IF(MAX(N29:P29)&lt;0,0,TRUNC(MAX(N29:P29)/1)*1),"")</f>
        <v/>
      </c>
      <c r="S29" s="125" t="str">
        <f>IF(Q29="","",IF(R29="","",IF(SUM(Q29:R29)=0,"",SUM(Q29:R29))))</f>
        <v/>
      </c>
      <c r="T29" s="116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7" t="str">
        <f>IF(AF29=1,T29*AI29,"")</f>
        <v/>
      </c>
      <c r="V29" s="118"/>
      <c r="W29" s="118"/>
      <c r="X29" s="118"/>
      <c r="Y29" s="119"/>
      <c r="Z29" s="120"/>
      <c r="AA29" s="120"/>
      <c r="AB29" s="121"/>
      <c r="AC29" s="66">
        <f>U5</f>
        <v>45913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4"/>
      <c r="C30" s="138"/>
      <c r="D30" s="94"/>
      <c r="E30" s="95"/>
      <c r="F30" s="95"/>
      <c r="G30" s="139"/>
      <c r="H30" s="96"/>
      <c r="I30" s="98"/>
      <c r="J30" s="98"/>
      <c r="K30" s="216"/>
      <c r="L30" s="216"/>
      <c r="M30" s="216"/>
      <c r="N30" s="216"/>
      <c r="O30" s="216"/>
      <c r="P30" s="216"/>
      <c r="Q30" s="99"/>
      <c r="R30" s="94"/>
      <c r="S30" s="215" t="str">
        <f>IF(T29="","",T29*1.2)</f>
        <v/>
      </c>
      <c r="T30" s="215"/>
      <c r="U30" s="94"/>
      <c r="V30" s="94" t="str">
        <f>IF(V29&gt;0,V29*20,"")</f>
        <v/>
      </c>
      <c r="W30" s="94" t="str">
        <f>IF(W29="","",(W29*10)*AJ29)</f>
        <v/>
      </c>
      <c r="X30" s="100" t="str">
        <f>IF(ROUNDUP(X29,1)&gt;0,IF((80+(8-ROUNDUP(X29,1))*40)&lt;0,0,80+(8-ROUNDUP(X29,1))*40),"")</f>
        <v/>
      </c>
      <c r="Y30" s="101" t="str">
        <f>IF(SUM(V30,W30,X30)&gt;0,SUM(V30,W30,X30),"")</f>
        <v/>
      </c>
      <c r="Z30" s="102" t="str">
        <f>IF(AE29&gt;34,(IF(OR(S30="",V30="",W30="",X30=""),"",SUM(S30,V30,W30,X30))*AI29),IF(OR(S30="",V30="",W30="",X30=""),"", SUM(S30,V30,W30,X30)))</f>
        <v/>
      </c>
      <c r="AA30" s="102"/>
      <c r="AB30" s="103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2"/>
      <c r="C31" s="126"/>
      <c r="D31" s="106"/>
      <c r="E31" s="127"/>
      <c r="F31" s="128"/>
      <c r="G31" s="129"/>
      <c r="H31" s="105"/>
      <c r="I31" s="111" t="s">
        <v>13</v>
      </c>
      <c r="J31" s="111"/>
      <c r="K31" s="130"/>
      <c r="L31" s="131"/>
      <c r="M31" s="131"/>
      <c r="N31" s="131"/>
      <c r="O31" s="132"/>
      <c r="P31" s="132"/>
      <c r="Q31" s="114" t="str">
        <f>IF(MAX(K31:M31)&gt;0,IF(MAX(K31:M31)&lt;0,0,TRUNC(MAX(K31:M31)/1)*1),"")</f>
        <v/>
      </c>
      <c r="R31" s="115" t="str">
        <f>IF(MAX(N31:P31)&gt;0,IF(MAX(N31:P31)&lt;0,0,TRUNC(MAX(N31:P31)/1)*1),"")</f>
        <v/>
      </c>
      <c r="S31" s="125" t="str">
        <f>IF(Q31="","",IF(R31="","",IF(SUM(Q31:R31)=0,"",SUM(Q31:R31))))</f>
        <v/>
      </c>
      <c r="T31" s="116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7" t="str">
        <f>IF(AF31=1,T31*AI31,"")</f>
        <v/>
      </c>
      <c r="V31" s="133"/>
      <c r="W31" s="133"/>
      <c r="X31" s="134"/>
      <c r="Y31" s="119"/>
      <c r="Z31" s="120"/>
      <c r="AA31" s="120"/>
      <c r="AB31" s="121"/>
      <c r="AC31" s="66">
        <f>U5</f>
        <v>45913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4"/>
      <c r="C32" s="138"/>
      <c r="D32" s="94"/>
      <c r="E32" s="95"/>
      <c r="F32" s="95"/>
      <c r="G32" s="139"/>
      <c r="H32" s="96"/>
      <c r="I32" s="98"/>
      <c r="J32" s="98"/>
      <c r="K32" s="216"/>
      <c r="L32" s="216"/>
      <c r="M32" s="216"/>
      <c r="N32" s="216"/>
      <c r="O32" s="216"/>
      <c r="P32" s="216"/>
      <c r="Q32" s="99"/>
      <c r="R32" s="94"/>
      <c r="S32" s="215" t="str">
        <f>IF(T31="","",T31*1.2)</f>
        <v/>
      </c>
      <c r="T32" s="215"/>
      <c r="U32" s="94"/>
      <c r="V32" s="94" t="str">
        <f>IF(V31&gt;0,V31*20,"")</f>
        <v/>
      </c>
      <c r="W32" s="94" t="str">
        <f>IF(W31="","",(W31*10)*AJ31)</f>
        <v/>
      </c>
      <c r="X32" s="100" t="str">
        <f>IF(ROUNDUP(X31,1)&gt;0,IF((80+(8-ROUNDUP(X31,1))*40)&lt;0,0,80+(8-ROUNDUP(X31,1))*40),"")</f>
        <v/>
      </c>
      <c r="Y32" s="101" t="str">
        <f>IF(SUM(V32,W32,X32)&gt;0,SUM(V32,W32,X32),"")</f>
        <v/>
      </c>
      <c r="Z32" s="102" t="str">
        <f>IF(AE31&gt;34,(IF(OR(S32="",V32="",W32="",X32=""),"",SUM(S32,V32,W32,X32))*AI31),IF(OR(S32="",V32="",W32="",X32=""),"", SUM(S32,V32,W32,X32)))</f>
        <v/>
      </c>
      <c r="AA32" s="102"/>
      <c r="AB32" s="103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46" t="s">
        <v>34</v>
      </c>
      <c r="C35" s="248"/>
      <c r="D35" s="77" t="s">
        <v>33</v>
      </c>
      <c r="E35" s="246" t="s">
        <v>4</v>
      </c>
      <c r="F35" s="247"/>
      <c r="G35" s="247"/>
      <c r="H35" s="248"/>
      <c r="I35" s="50" t="s">
        <v>42</v>
      </c>
      <c r="J35" s="21"/>
      <c r="K35" s="246" t="s">
        <v>34</v>
      </c>
      <c r="L35" s="247"/>
      <c r="M35" s="248"/>
      <c r="N35" s="54" t="s">
        <v>33</v>
      </c>
      <c r="O35" s="244" t="s">
        <v>4</v>
      </c>
      <c r="P35" s="263"/>
      <c r="Q35" s="263"/>
      <c r="R35" s="245"/>
      <c r="S35" s="244" t="s">
        <v>42</v>
      </c>
      <c r="T35" s="2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49" t="s">
        <v>40</v>
      </c>
      <c r="C36" s="251"/>
      <c r="D36" s="78"/>
      <c r="E36" s="262" t="s">
        <v>281</v>
      </c>
      <c r="F36" s="250"/>
      <c r="G36" s="250"/>
      <c r="H36" s="251"/>
      <c r="I36" s="49"/>
      <c r="J36" s="4"/>
      <c r="K36" s="249" t="s">
        <v>35</v>
      </c>
      <c r="L36" s="250"/>
      <c r="M36" s="251"/>
      <c r="N36" s="51"/>
      <c r="O36" s="217" t="s">
        <v>189</v>
      </c>
      <c r="P36" s="264"/>
      <c r="Q36" s="264"/>
      <c r="R36" s="265"/>
      <c r="S36" s="217"/>
      <c r="T36" s="218"/>
      <c r="AF36" s="1"/>
      <c r="AH36" s="35"/>
      <c r="AI36" s="35"/>
    </row>
    <row r="37" spans="2:35" s="5" customFormat="1" ht="21" customHeight="1">
      <c r="B37" s="234" t="s">
        <v>36</v>
      </c>
      <c r="C37" s="222"/>
      <c r="D37" s="79"/>
      <c r="E37" s="220" t="s">
        <v>292</v>
      </c>
      <c r="F37" s="221"/>
      <c r="G37" s="221"/>
      <c r="H37" s="222"/>
      <c r="I37" s="47"/>
      <c r="J37" s="4"/>
      <c r="K37" s="234" t="s">
        <v>38</v>
      </c>
      <c r="L37" s="221"/>
      <c r="M37" s="222"/>
      <c r="N37" s="52"/>
      <c r="O37" s="228" t="s">
        <v>284</v>
      </c>
      <c r="P37" s="229"/>
      <c r="Q37" s="229"/>
      <c r="R37" s="230"/>
      <c r="S37" s="228"/>
      <c r="T37" s="231"/>
      <c r="AH37" s="35"/>
      <c r="AI37" s="35"/>
    </row>
    <row r="38" spans="2:35" s="5" customFormat="1" ht="19" customHeight="1">
      <c r="B38" s="234" t="s">
        <v>36</v>
      </c>
      <c r="C38" s="222"/>
      <c r="D38" s="79"/>
      <c r="E38" s="220" t="s">
        <v>281</v>
      </c>
      <c r="F38" s="221"/>
      <c r="G38" s="221"/>
      <c r="H38" s="222"/>
      <c r="I38" s="47"/>
      <c r="J38" s="4"/>
      <c r="K38" s="234" t="s">
        <v>37</v>
      </c>
      <c r="L38" s="221"/>
      <c r="M38" s="222"/>
      <c r="N38" s="52"/>
      <c r="O38" s="228" t="s">
        <v>288</v>
      </c>
      <c r="P38" s="229"/>
      <c r="Q38" s="229"/>
      <c r="R38" s="230"/>
      <c r="S38" s="228"/>
      <c r="T38" s="231"/>
      <c r="V38" s="5" t="s">
        <v>54</v>
      </c>
      <c r="AH38" s="35"/>
      <c r="AI38" s="35"/>
    </row>
    <row r="39" spans="2:35" s="5" customFormat="1" ht="21" customHeight="1">
      <c r="B39" s="234" t="s">
        <v>36</v>
      </c>
      <c r="C39" s="222"/>
      <c r="D39" s="79"/>
      <c r="E39" s="220" t="s">
        <v>287</v>
      </c>
      <c r="F39" s="221"/>
      <c r="G39" s="221"/>
      <c r="H39" s="222"/>
      <c r="I39" s="47"/>
      <c r="J39" s="4"/>
      <c r="K39" s="234" t="s">
        <v>55</v>
      </c>
      <c r="L39" s="221"/>
      <c r="M39" s="222"/>
      <c r="N39" s="52"/>
      <c r="O39" s="228" t="s">
        <v>283</v>
      </c>
      <c r="P39" s="229"/>
      <c r="Q39" s="229"/>
      <c r="R39" s="230"/>
      <c r="S39" s="228"/>
      <c r="T39" s="231"/>
      <c r="AD39" s="5" t="s">
        <v>13</v>
      </c>
      <c r="AH39" s="35"/>
      <c r="AI39" s="35"/>
    </row>
    <row r="40" spans="2:35" s="5" customFormat="1" ht="20" customHeight="1">
      <c r="B40" s="234" t="s">
        <v>36</v>
      </c>
      <c r="C40" s="222"/>
      <c r="D40" s="79"/>
      <c r="E40" s="220"/>
      <c r="F40" s="221"/>
      <c r="G40" s="221"/>
      <c r="H40" s="222"/>
      <c r="I40" s="47"/>
      <c r="J40" s="4"/>
      <c r="K40" s="234" t="s">
        <v>55</v>
      </c>
      <c r="L40" s="221"/>
      <c r="M40" s="222"/>
      <c r="N40" s="52"/>
      <c r="O40" s="228" t="s">
        <v>290</v>
      </c>
      <c r="P40" s="229"/>
      <c r="Q40" s="229"/>
      <c r="R40" s="230"/>
      <c r="S40" s="228"/>
      <c r="T40" s="231"/>
      <c r="AH40" s="35"/>
      <c r="AI40" s="35"/>
    </row>
    <row r="41" spans="2:35" ht="19" customHeight="1">
      <c r="B41" s="234" t="s">
        <v>36</v>
      </c>
      <c r="C41" s="222"/>
      <c r="D41" s="79"/>
      <c r="E41" s="220"/>
      <c r="F41" s="221"/>
      <c r="G41" s="221"/>
      <c r="H41" s="222"/>
      <c r="I41" s="47"/>
      <c r="J41" s="3"/>
      <c r="K41" s="234"/>
      <c r="L41" s="221"/>
      <c r="M41" s="222"/>
      <c r="N41" s="52"/>
      <c r="O41" s="228"/>
      <c r="P41" s="229"/>
      <c r="Q41" s="229"/>
      <c r="R41" s="230"/>
      <c r="S41" s="228"/>
      <c r="T41" s="231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234" t="s">
        <v>39</v>
      </c>
      <c r="C42" s="222"/>
      <c r="D42" s="79"/>
      <c r="E42" s="220" t="s">
        <v>289</v>
      </c>
      <c r="F42" s="221"/>
      <c r="G42" s="221"/>
      <c r="H42" s="222"/>
      <c r="I42" s="47"/>
      <c r="J42" s="3"/>
      <c r="K42" s="234"/>
      <c r="L42" s="221"/>
      <c r="M42" s="222"/>
      <c r="N42" s="52"/>
      <c r="O42" s="228"/>
      <c r="P42" s="229"/>
      <c r="Q42" s="229"/>
      <c r="R42" s="230"/>
      <c r="S42" s="228"/>
      <c r="T42" s="231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226"/>
      <c r="C43" s="225"/>
      <c r="D43" s="80"/>
      <c r="E43" s="223"/>
      <c r="F43" s="224"/>
      <c r="G43" s="224"/>
      <c r="H43" s="225"/>
      <c r="I43" s="48"/>
      <c r="J43" s="3"/>
      <c r="K43" s="226"/>
      <c r="L43" s="224"/>
      <c r="M43" s="225"/>
      <c r="N43" s="53"/>
      <c r="O43" s="240"/>
      <c r="P43" s="241"/>
      <c r="Q43" s="241"/>
      <c r="R43" s="242"/>
      <c r="S43" s="240"/>
      <c r="T43" s="24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33"/>
      <c r="C44" s="233"/>
      <c r="D44" s="232"/>
      <c r="E44" s="232"/>
      <c r="F44" s="56"/>
      <c r="G44" s="232"/>
      <c r="H44" s="232"/>
      <c r="I44" s="232"/>
      <c r="J44" s="3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37" t="s">
        <v>41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226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9"/>
      <c r="F50" s="219"/>
      <c r="G50" s="219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209" priority="25" stopIfTrue="1" operator="between">
      <formula>1</formula>
      <formula>300</formula>
    </cfRule>
    <cfRule type="cellIs" dxfId="208" priority="26" stopIfTrue="1" operator="lessThanOrEqual">
      <formula>0</formula>
    </cfRule>
  </conditionalFormatting>
  <conditionalFormatting sqref="K29">
    <cfRule type="cellIs" dxfId="207" priority="23" stopIfTrue="1" operator="between">
      <formula>1</formula>
      <formula>300</formula>
    </cfRule>
    <cfRule type="cellIs" dxfId="206" priority="24" stopIfTrue="1" operator="lessThanOrEqual">
      <formula>0</formula>
    </cfRule>
  </conditionalFormatting>
  <conditionalFormatting sqref="K31">
    <cfRule type="cellIs" dxfId="205" priority="21" stopIfTrue="1" operator="between">
      <formula>1</formula>
      <formula>300</formula>
    </cfRule>
    <cfRule type="cellIs" dxfId="204" priority="22" stopIfTrue="1" operator="lessThanOrEqual">
      <formula>0</formula>
    </cfRule>
  </conditionalFormatting>
  <conditionalFormatting sqref="K9:P9">
    <cfRule type="cellIs" dxfId="203" priority="15" stopIfTrue="1" operator="between">
      <formula>1</formula>
      <formula>300</formula>
    </cfRule>
    <cfRule type="cellIs" dxfId="202" priority="16" stopIfTrue="1" operator="lessThanOrEqual">
      <formula>0</formula>
    </cfRule>
  </conditionalFormatting>
  <conditionalFormatting sqref="K11:P11">
    <cfRule type="cellIs" dxfId="201" priority="13" stopIfTrue="1" operator="between">
      <formula>1</formula>
      <formula>300</formula>
    </cfRule>
    <cfRule type="cellIs" dxfId="200" priority="14" stopIfTrue="1" operator="lessThanOrEqual">
      <formula>0</formula>
    </cfRule>
  </conditionalFormatting>
  <conditionalFormatting sqref="K13:P13">
    <cfRule type="cellIs" dxfId="199" priority="9" stopIfTrue="1" operator="between">
      <formula>1</formula>
      <formula>300</formula>
    </cfRule>
    <cfRule type="cellIs" dxfId="198" priority="10" stopIfTrue="1" operator="lessThanOrEqual">
      <formula>0</formula>
    </cfRule>
  </conditionalFormatting>
  <conditionalFormatting sqref="K15:P15">
    <cfRule type="cellIs" dxfId="197" priority="11" stopIfTrue="1" operator="between">
      <formula>1</formula>
      <formula>300</formula>
    </cfRule>
    <cfRule type="cellIs" dxfId="196" priority="12" stopIfTrue="1" operator="lessThanOrEqual">
      <formula>0</formula>
    </cfRule>
  </conditionalFormatting>
  <conditionalFormatting sqref="K17:P17">
    <cfRule type="cellIs" dxfId="195" priority="17" stopIfTrue="1" operator="between">
      <formula>1</formula>
      <formula>300</formula>
    </cfRule>
    <cfRule type="cellIs" dxfId="194" priority="18" stopIfTrue="1" operator="lessThanOrEqual">
      <formula>0</formula>
    </cfRule>
  </conditionalFormatting>
  <conditionalFormatting sqref="K19:P19">
    <cfRule type="cellIs" dxfId="193" priority="3" stopIfTrue="1" operator="between">
      <formula>1</formula>
      <formula>300</formula>
    </cfRule>
    <cfRule type="cellIs" dxfId="192" priority="4" stopIfTrue="1" operator="lessThanOrEqual">
      <formula>0</formula>
    </cfRule>
  </conditionalFormatting>
  <conditionalFormatting sqref="K21:P21">
    <cfRule type="cellIs" dxfId="191" priority="5" stopIfTrue="1" operator="between">
      <formula>1</formula>
      <formula>300</formula>
    </cfRule>
    <cfRule type="cellIs" dxfId="190" priority="6" stopIfTrue="1" operator="lessThanOrEqual">
      <formula>0</formula>
    </cfRule>
  </conditionalFormatting>
  <conditionalFormatting sqref="K23:P23">
    <cfRule type="cellIs" dxfId="189" priority="7" stopIfTrue="1" operator="between">
      <formula>1</formula>
      <formula>300</formula>
    </cfRule>
    <cfRule type="cellIs" dxfId="188" priority="8" stopIfTrue="1" operator="lessThanOrEqual">
      <formula>0</formula>
    </cfRule>
  </conditionalFormatting>
  <conditionalFormatting sqref="K25:P25">
    <cfRule type="cellIs" dxfId="187" priority="1" stopIfTrue="1" operator="between">
      <formula>1</formula>
      <formula>300</formula>
    </cfRule>
    <cfRule type="cellIs" dxfId="186" priority="2" stopIfTrue="1" operator="lessThanOrEqual">
      <formula>0</formula>
    </cfRule>
  </conditionalFormatting>
  <conditionalFormatting sqref="L27:N27">
    <cfRule type="cellIs" dxfId="185" priority="31" stopIfTrue="1" operator="between">
      <formula>1</formula>
      <formula>300</formula>
    </cfRule>
    <cfRule type="cellIs" dxfId="184" priority="32" stopIfTrue="1" operator="lessThanOrEqual">
      <formula>0</formula>
    </cfRule>
  </conditionalFormatting>
  <conditionalFormatting sqref="L29:N29">
    <cfRule type="cellIs" dxfId="183" priority="29" stopIfTrue="1" operator="between">
      <formula>1</formula>
      <formula>300</formula>
    </cfRule>
    <cfRule type="cellIs" dxfId="182" priority="30" stopIfTrue="1" operator="lessThanOrEqual">
      <formula>0</formula>
    </cfRule>
  </conditionalFormatting>
  <conditionalFormatting sqref="L31:N31">
    <cfRule type="cellIs" dxfId="181" priority="27" stopIfTrue="1" operator="between">
      <formula>1</formula>
      <formula>300</formula>
    </cfRule>
    <cfRule type="cellIs" dxfId="180" priority="28" stopIfTrue="1" operator="lessThanOrEqual">
      <formula>0</formula>
    </cfRule>
  </conditionalFormatting>
  <dataValidations count="6">
    <dataValidation type="list" allowBlank="1" showInputMessage="1" showErrorMessage="1" sqref="B36:C43 K36:M43" xr:uid="{6A42E1D8-1A04-420F-BF2D-3B92AF0D28DE}">
      <formula1>"Dommer,Stevnets leder,Jury,Sekretær,Speaker,Teknisk kontrollør, Chief Marshall,Tidtaker"</formula1>
    </dataValidation>
    <dataValidation type="list" allowBlank="1" showInputMessage="1" showErrorMessage="1" sqref="D5:I5" xr:uid="{83F256C4-ACD5-4C78-B812-10A12BC603AD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13 C15 C17 C19 C21 C23 C25 C27 C29 C31" xr:uid="{6866DA35-7105-4571-B942-590D5566E904}">
      <formula1>"44,48,53,56,58,60,63,65,69,71,77,'+77,79,86,'+86,88,94,'+94,110,'+110"</formula1>
    </dataValidation>
    <dataValidation type="list" allowBlank="1" showInputMessage="1" showErrorMessage="1" sqref="E9 E31 E29 E11 E13 E15 E17 E19 E21 E23 E25 E27" xr:uid="{8D6AE446-0BEE-4BED-A9CC-607263A68210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037C4046-6A62-407A-A812-B1BB603592E6}">
      <formula1>"11-12,13-14,15-16,17-18,19-23,24-34,+35,35+"</formula1>
    </dataValidation>
    <dataValidation type="list" allowBlank="1" showInputMessage="1" showErrorMessage="1" sqref="F9 F31 F29 F11 F13 F15 F17 F19 F21 F23 F25 F27" xr:uid="{FA184C87-2C06-4BA7-9F27-3DCB1A074A0E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4E1C4-BA1E-4C76-9A06-09411A97718C}">
  <sheetPr>
    <pageSetUpPr autoPageBreaks="0" fitToPage="1"/>
  </sheetPr>
  <dimension ref="A1:AJ50"/>
  <sheetViews>
    <sheetView showGridLines="0" showZeros="0" showOutlineSymbols="0" zoomScaleNormal="100" zoomScaleSheetLayoutView="75" zoomScalePageLayoutView="120" workbookViewId="0">
      <selection activeCell="G1" sqref="G1:G1048576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hidden="1" customWidth="1"/>
    <col min="5" max="6" width="6.3984375" style="16" customWidth="1"/>
    <col min="7" max="7" width="10.59765625" style="1" hidden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35" t="s">
        <v>57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83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36" t="s">
        <v>21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85" t="s">
        <v>59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55" t="s">
        <v>61</v>
      </c>
      <c r="E5" s="255"/>
      <c r="F5" s="255"/>
      <c r="G5" s="255"/>
      <c r="H5" s="255"/>
      <c r="I5" s="255"/>
      <c r="J5" s="24" t="s">
        <v>0</v>
      </c>
      <c r="K5" s="255" t="s">
        <v>62</v>
      </c>
      <c r="L5" s="255"/>
      <c r="M5" s="255"/>
      <c r="N5" s="255"/>
      <c r="O5" s="24" t="s">
        <v>1</v>
      </c>
      <c r="P5" s="254" t="s">
        <v>63</v>
      </c>
      <c r="Q5" s="254"/>
      <c r="R5" s="254"/>
      <c r="S5" s="254"/>
      <c r="T5" s="24" t="s">
        <v>2</v>
      </c>
      <c r="U5" s="266">
        <v>45913</v>
      </c>
      <c r="V5" s="266"/>
      <c r="W5" s="55"/>
      <c r="X5" s="55"/>
      <c r="Y5" s="55"/>
      <c r="Z5" s="25" t="s">
        <v>15</v>
      </c>
      <c r="AA5" s="25"/>
      <c r="AB5" s="26">
        <v>4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4" t="s">
        <v>56</v>
      </c>
    </row>
    <row r="7" spans="1:36" s="1" customFormat="1">
      <c r="B7" s="252" t="s">
        <v>33</v>
      </c>
      <c r="C7" s="256" t="s">
        <v>52</v>
      </c>
      <c r="D7" s="256" t="s">
        <v>51</v>
      </c>
      <c r="E7" s="258" t="s">
        <v>53</v>
      </c>
      <c r="F7" s="260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4"/>
    </row>
    <row r="8" spans="1:36" s="1" customFormat="1">
      <c r="B8" s="253"/>
      <c r="C8" s="257"/>
      <c r="D8" s="257"/>
      <c r="E8" s="259"/>
      <c r="F8" s="261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206" t="s">
        <v>138</v>
      </c>
      <c r="C9" s="148" t="s">
        <v>322</v>
      </c>
      <c r="D9" s="212">
        <v>82.39</v>
      </c>
      <c r="E9" s="147" t="s">
        <v>125</v>
      </c>
      <c r="F9" s="148" t="s">
        <v>147</v>
      </c>
      <c r="G9" s="149">
        <v>39679</v>
      </c>
      <c r="H9" s="150">
        <v>1</v>
      </c>
      <c r="I9" s="151" t="s">
        <v>127</v>
      </c>
      <c r="J9" s="152" t="s">
        <v>69</v>
      </c>
      <c r="K9" s="153">
        <v>-90</v>
      </c>
      <c r="L9" s="154">
        <v>-93</v>
      </c>
      <c r="M9" s="154">
        <v>-93</v>
      </c>
      <c r="N9" s="153">
        <v>-110</v>
      </c>
      <c r="O9" s="154" t="s">
        <v>280</v>
      </c>
      <c r="P9" s="154" t="s">
        <v>280</v>
      </c>
      <c r="Q9" s="155" t="str">
        <f>IF(MAX(K9:M9)&gt;0,IF(MAX(K9:M9)&lt;0,0,TRUNC(MAX(K9:M9)/1)*1),"")</f>
        <v/>
      </c>
      <c r="R9" s="156" t="str">
        <f>IF(MAX(N9:P9)&gt;0,IF(MAX(N9:P9)&lt;0,0,TRUNC(MAX(N9:P9)/1)*1),"")</f>
        <v/>
      </c>
      <c r="S9" s="156" t="str">
        <f>IF(Q9="","",IF(R9="","",IF(SUM(Q9:R9)=0,"",SUM(Q9:R9))))</f>
        <v/>
      </c>
      <c r="T9" s="157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58" t="str">
        <f>IF(AF9=1,T9*AI9,"")</f>
        <v/>
      </c>
      <c r="V9" s="159"/>
      <c r="W9" s="159"/>
      <c r="X9" s="159"/>
      <c r="Y9" s="157"/>
      <c r="Z9" s="160"/>
      <c r="AA9" s="160"/>
      <c r="AB9" s="161"/>
      <c r="AC9" s="68">
        <f>U5</f>
        <v>45913</v>
      </c>
      <c r="AD9" s="69" t="str">
        <f>IF(ISNUMBER(FIND("M",E9)),"m",IF(ISNUMBER(FIND("K",E9)),"k"))</f>
        <v>m</v>
      </c>
      <c r="AE9" s="67">
        <f>IF(OR(G9="",AC9=""),0,(YEAR(AC9)-YEAR(G9)))</f>
        <v>17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1.2575032892302407</v>
      </c>
    </row>
    <row r="10" spans="1:36" s="8" customFormat="1" ht="20" customHeight="1">
      <c r="B10" s="207"/>
      <c r="C10" s="94"/>
      <c r="D10" s="210"/>
      <c r="E10" s="94"/>
      <c r="F10" s="95"/>
      <c r="G10" s="96"/>
      <c r="H10" s="97"/>
      <c r="I10" s="98"/>
      <c r="J10" s="98"/>
      <c r="K10" s="215"/>
      <c r="L10" s="215"/>
      <c r="M10" s="215"/>
      <c r="N10" s="216"/>
      <c r="O10" s="216"/>
      <c r="P10" s="216"/>
      <c r="Q10" s="99"/>
      <c r="R10" s="94"/>
      <c r="S10" s="215" t="str">
        <f>IF(T9="","",T9*1.2)</f>
        <v/>
      </c>
      <c r="T10" s="215"/>
      <c r="U10" s="94"/>
      <c r="V10" s="94" t="str">
        <f>IF(V9&gt;0,V9*20,"")</f>
        <v/>
      </c>
      <c r="W10" s="94" t="str">
        <f>IF(W9="","",(W9*10)*AJ9)</f>
        <v/>
      </c>
      <c r="X10" s="100" t="str">
        <f>IF(ROUNDUP(X9,1)&gt;0,IF((80+(8-ROUNDUP(X9,1))*40)&lt;0,0,80+(8-ROUNDUP(X9,1))*40),"")</f>
        <v/>
      </c>
      <c r="Y10" s="101" t="str">
        <f>IF(SUM(V10,W10,X10)&gt;0,SUM(V10,W10,X10),"")</f>
        <v/>
      </c>
      <c r="Z10" s="102" t="str">
        <f>IF(AE9&gt;34,(IF(OR(S10="",V10="",W10="",X10=""),"",SUM(S10,V10,W10,X10))*AI9),IF(OR(S10="",V10="",W10="",X10=""),"", SUM(S10,V10,W10,X10)))</f>
        <v/>
      </c>
      <c r="AA10" s="102"/>
      <c r="AB10" s="103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208" t="s">
        <v>139</v>
      </c>
      <c r="C11" s="107" t="s">
        <v>322</v>
      </c>
      <c r="D11" s="211">
        <v>84.58</v>
      </c>
      <c r="E11" s="147" t="s">
        <v>125</v>
      </c>
      <c r="F11" s="148" t="s">
        <v>147</v>
      </c>
      <c r="G11" s="108">
        <v>39196</v>
      </c>
      <c r="H11" s="109">
        <v>2</v>
      </c>
      <c r="I11" s="110" t="s">
        <v>128</v>
      </c>
      <c r="J11" s="111" t="s">
        <v>129</v>
      </c>
      <c r="K11" s="112">
        <v>96</v>
      </c>
      <c r="L11" s="113">
        <v>-101</v>
      </c>
      <c r="M11" s="113">
        <v>-102</v>
      </c>
      <c r="N11" s="112">
        <v>-115</v>
      </c>
      <c r="O11" s="113">
        <v>115</v>
      </c>
      <c r="P11" s="113">
        <v>-117</v>
      </c>
      <c r="Q11" s="114">
        <f>IF(MAX(K11:M11)&gt;0,IF(MAX(K11:M11)&lt;0,0,TRUNC(MAX(K11:M11)/1)*1),"")</f>
        <v>96</v>
      </c>
      <c r="R11" s="115">
        <f>IF(MAX(N11:P11)&gt;0,IF(MAX(N11:P11)&lt;0,0,TRUNC(MAX(N11:P11)/1)*1),"")</f>
        <v>115</v>
      </c>
      <c r="S11" s="115">
        <f>IF(Q11="","",IF(R11="","",IF(SUM(Q11:R11)=0,"",SUM(Q11:R11))))</f>
        <v>211</v>
      </c>
      <c r="T11" s="116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261.68240181685889</v>
      </c>
      <c r="U11" s="117" t="str">
        <f>IF(AF11=1,T11*AI11,"")</f>
        <v/>
      </c>
      <c r="V11" s="118">
        <v>8.24</v>
      </c>
      <c r="W11" s="118">
        <v>8.75</v>
      </c>
      <c r="X11" s="118">
        <v>6.7</v>
      </c>
      <c r="Y11" s="119"/>
      <c r="Z11" s="120"/>
      <c r="AA11" s="120" t="s">
        <v>308</v>
      </c>
      <c r="AB11" s="121"/>
      <c r="AC11" s="66">
        <f>U5</f>
        <v>45913</v>
      </c>
      <c r="AD11" s="69" t="str">
        <f>IF(ISNUMBER(FIND("M",E11)),"m",IF(ISNUMBER(FIND("K",E11)),"k"))</f>
        <v>m</v>
      </c>
      <c r="AE11" s="67">
        <f>IF(OR(G11="",AC11=""),0,(YEAR(AC11)-YEAR(G11)))</f>
        <v>18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1.2402009564780041</v>
      </c>
    </row>
    <row r="12" spans="1:36" s="8" customFormat="1" ht="20" customHeight="1">
      <c r="B12" s="104"/>
      <c r="C12" s="94"/>
      <c r="D12" s="210"/>
      <c r="E12" s="94"/>
      <c r="F12" s="95"/>
      <c r="G12" s="96"/>
      <c r="H12" s="97"/>
      <c r="I12" s="98"/>
      <c r="J12" s="98"/>
      <c r="K12" s="215"/>
      <c r="L12" s="215"/>
      <c r="M12" s="215"/>
      <c r="N12" s="216"/>
      <c r="O12" s="216"/>
      <c r="P12" s="216"/>
      <c r="Q12" s="99"/>
      <c r="R12" s="94"/>
      <c r="S12" s="215">
        <f>IF(T11="","",T11*1.2)</f>
        <v>314.01888218023066</v>
      </c>
      <c r="T12" s="215"/>
      <c r="U12" s="102"/>
      <c r="V12" s="94">
        <f>IF(V11&gt;0,V11*20,"")</f>
        <v>164.8</v>
      </c>
      <c r="W12" s="94">
        <f>IF(W11="","",(W11*10)*AJ11)</f>
        <v>108.51758369182537</v>
      </c>
      <c r="X12" s="100">
        <f>IF(ROUNDUP(X11,1)&gt;0,IF((80+(8-ROUNDUP(X11,1))*40)&lt;0,0,80+(8-ROUNDUP(X11,1))*40),"")</f>
        <v>132</v>
      </c>
      <c r="Y12" s="101">
        <f>IF(SUM(V12,W12,X12)&gt;0,SUM(V12,W12,X12),"")</f>
        <v>405.31758369182535</v>
      </c>
      <c r="Z12" s="102">
        <f>IF(AE11&gt;34,(IF(OR(S12="",V12="",W12="",X12=""),"",SUM(S12,V12,W12,X12))*AI11),IF(OR(S12="",V12="",W12="",X12=""),"", SUM(S12,V12,W12,X12)))</f>
        <v>719.33646587205601</v>
      </c>
      <c r="AA12" s="102"/>
      <c r="AB12" s="103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2" t="s">
        <v>140</v>
      </c>
      <c r="C13" s="105" t="s">
        <v>333</v>
      </c>
      <c r="D13" s="211">
        <v>73.69</v>
      </c>
      <c r="E13" s="147" t="s">
        <v>125</v>
      </c>
      <c r="F13" s="148" t="s">
        <v>147</v>
      </c>
      <c r="G13" s="108">
        <v>39199</v>
      </c>
      <c r="H13" s="109">
        <v>3</v>
      </c>
      <c r="I13" s="110" t="s">
        <v>130</v>
      </c>
      <c r="J13" s="111" t="s">
        <v>92</v>
      </c>
      <c r="K13" s="112">
        <v>82</v>
      </c>
      <c r="L13" s="113">
        <v>86</v>
      </c>
      <c r="M13" s="113">
        <v>-90</v>
      </c>
      <c r="N13" s="112">
        <v>112</v>
      </c>
      <c r="O13" s="113">
        <v>115</v>
      </c>
      <c r="P13" s="113">
        <v>118</v>
      </c>
      <c r="Q13" s="114">
        <f>IF(MAX(K13:M13)&gt;0,IF(MAX(K13:M13)&lt;0,0,TRUNC(MAX(K13:M13)/1)*1),"")</f>
        <v>86</v>
      </c>
      <c r="R13" s="115">
        <f>IF(MAX(N13:P13)&gt;0,IF(MAX(N13:P13)&lt;0,0,TRUNC(MAX(N13:P13)/1)*1),"")</f>
        <v>118</v>
      </c>
      <c r="S13" s="115">
        <f>IF(Q13="","",IF(R13="","",IF(SUM(Q13:R13)=0,"",SUM(Q13:R13))))</f>
        <v>204</v>
      </c>
      <c r="T13" s="11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273.42133321573704</v>
      </c>
      <c r="U13" s="117" t="str">
        <f>IF(AF13=1,T13*AI13,"")</f>
        <v/>
      </c>
      <c r="V13" s="118">
        <v>9.25</v>
      </c>
      <c r="W13" s="118">
        <v>13.03</v>
      </c>
      <c r="X13" s="118">
        <v>6.3</v>
      </c>
      <c r="Y13" s="123"/>
      <c r="Z13" s="120"/>
      <c r="AA13" s="120" t="s">
        <v>304</v>
      </c>
      <c r="AB13" s="121"/>
      <c r="AC13" s="66">
        <f>U5</f>
        <v>45913</v>
      </c>
      <c r="AD13" s="69" t="str">
        <f>IF(ISNUMBER(FIND("M",E13)),"m",IF(ISNUMBER(FIND("K",E13)),"k"))</f>
        <v>m</v>
      </c>
      <c r="AE13" s="67">
        <f>IF(OR(G13="",AC13=""),0,(YEAR(AC13)-YEAR(G13)))</f>
        <v>18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1.3403006530183188</v>
      </c>
    </row>
    <row r="14" spans="1:36" s="8" customFormat="1" ht="20" customHeight="1">
      <c r="B14" s="104"/>
      <c r="C14" s="94"/>
      <c r="D14" s="210"/>
      <c r="E14" s="94"/>
      <c r="F14" s="95"/>
      <c r="G14" s="96"/>
      <c r="H14" s="97"/>
      <c r="I14" s="98"/>
      <c r="J14" s="98"/>
      <c r="K14" s="215"/>
      <c r="L14" s="215"/>
      <c r="M14" s="215"/>
      <c r="N14" s="216"/>
      <c r="O14" s="216"/>
      <c r="P14" s="216"/>
      <c r="Q14" s="99"/>
      <c r="R14" s="94"/>
      <c r="S14" s="215">
        <f>IF(T13="","",T13*1.2)</f>
        <v>328.10559985888443</v>
      </c>
      <c r="T14" s="215"/>
      <c r="U14" s="94"/>
      <c r="V14" s="94">
        <f>IF(V13&gt;0,V13*20,"")</f>
        <v>185</v>
      </c>
      <c r="W14" s="94">
        <f>IF(W13="","",(W13*10)*AJ13)</f>
        <v>174.64117508828693</v>
      </c>
      <c r="X14" s="100">
        <f>IF(ROUNDUP(X13,1)&gt;0,IF((80+(8-ROUNDUP(X13,1))*40)&lt;0,0,80+(8-ROUNDUP(X13,1))*40),"")</f>
        <v>148</v>
      </c>
      <c r="Y14" s="101">
        <f>IF(SUM(V14,W14,X14)&gt;0,SUM(V14,W14,X14),"")</f>
        <v>507.6411750882869</v>
      </c>
      <c r="Z14" s="102">
        <f>IF(AE13&gt;34,(IF(OR(S14="",V14="",W14="",X14=""),"",SUM(S14,V14,W14,X14))*AI13),IF(OR(S14="",V14="",W14="",X14=""),"", SUM(S14,V14,W14,X14)))</f>
        <v>835.74677494717139</v>
      </c>
      <c r="AA14" s="102"/>
      <c r="AB14" s="103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2" t="s">
        <v>141</v>
      </c>
      <c r="C15" s="105" t="s">
        <v>322</v>
      </c>
      <c r="D15" s="211">
        <v>79.22</v>
      </c>
      <c r="E15" s="147" t="s">
        <v>125</v>
      </c>
      <c r="F15" s="148" t="s">
        <v>147</v>
      </c>
      <c r="G15" s="108">
        <v>39541</v>
      </c>
      <c r="H15" s="109">
        <v>4</v>
      </c>
      <c r="I15" s="110" t="s">
        <v>131</v>
      </c>
      <c r="J15" s="111" t="s">
        <v>69</v>
      </c>
      <c r="K15" s="112">
        <v>82</v>
      </c>
      <c r="L15" s="113">
        <v>87</v>
      </c>
      <c r="M15" s="113">
        <v>-91</v>
      </c>
      <c r="N15" s="112">
        <v>90</v>
      </c>
      <c r="O15" s="113">
        <v>-95</v>
      </c>
      <c r="P15" s="113">
        <v>-95</v>
      </c>
      <c r="Q15" s="114">
        <f>IF(MAX(K15:M15)&gt;0,IF(MAX(K15:M15)&lt;0,0,TRUNC(MAX(K15:M15)/1)*1),"")</f>
        <v>87</v>
      </c>
      <c r="R15" s="115">
        <f>IF(MAX(N15:P15)&gt;0,IF(MAX(N15:P15)&lt;0,0,TRUNC(MAX(N15:P15)/1)*1),"")</f>
        <v>90</v>
      </c>
      <c r="S15" s="115">
        <f>IF(Q15="","",IF(R15="","",IF(SUM(Q15:R15)=0,"",SUM(Q15:R15))))</f>
        <v>177</v>
      </c>
      <c r="T15" s="11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227.42159741824847</v>
      </c>
      <c r="U15" s="117" t="str">
        <f>IF(AF15=1,T15*AI15,"")</f>
        <v/>
      </c>
      <c r="V15" s="118">
        <v>7.16</v>
      </c>
      <c r="W15" s="118">
        <v>9.36</v>
      </c>
      <c r="X15" s="118">
        <v>6.5</v>
      </c>
      <c r="Y15" s="119"/>
      <c r="Z15" s="120"/>
      <c r="AA15" s="120" t="s">
        <v>309</v>
      </c>
      <c r="AB15" s="121"/>
      <c r="AC15" s="66">
        <f>U5</f>
        <v>45913</v>
      </c>
      <c r="AD15" s="69" t="str">
        <f>IF(ISNUMBER(FIND("M",E15)),"m",IF(ISNUMBER(FIND("K",E15)),"k"))</f>
        <v>m</v>
      </c>
      <c r="AE15" s="67">
        <f>IF(OR(G15="",AC15=""),0,(YEAR(AC15)-YEAR(G15)))</f>
        <v>17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1.2848677820240026</v>
      </c>
    </row>
    <row r="16" spans="1:36" s="8" customFormat="1" ht="20" customHeight="1">
      <c r="B16" s="104"/>
      <c r="C16" s="94"/>
      <c r="D16" s="210"/>
      <c r="E16" s="94"/>
      <c r="F16" s="95"/>
      <c r="G16" s="96"/>
      <c r="H16" s="97"/>
      <c r="I16" s="98"/>
      <c r="J16" s="98"/>
      <c r="K16" s="215"/>
      <c r="L16" s="215"/>
      <c r="M16" s="215"/>
      <c r="N16" s="216"/>
      <c r="O16" s="216"/>
      <c r="P16" s="216"/>
      <c r="Q16" s="136"/>
      <c r="R16" s="137"/>
      <c r="S16" s="215">
        <f>IF(T15="","",T15*1.2)</f>
        <v>272.90591690189814</v>
      </c>
      <c r="T16" s="215"/>
      <c r="U16" s="94"/>
      <c r="V16" s="94">
        <f>IF(V15&gt;0,V15*20,"")</f>
        <v>143.19999999999999</v>
      </c>
      <c r="W16" s="94">
        <f>IF(W15="","",(W15*10)*AJ15)</f>
        <v>120.26362439744663</v>
      </c>
      <c r="X16" s="100">
        <f>IF(ROUNDUP(X15,1)&gt;0,IF((80+(8-ROUNDUP(X15,1))*40)&lt;0,0,80+(8-ROUNDUP(X15,1))*40),"")</f>
        <v>140</v>
      </c>
      <c r="Y16" s="101">
        <f>IF(SUM(V16,W16,X16)&gt;0,SUM(V16,W16,X16),"")</f>
        <v>403.46362439744661</v>
      </c>
      <c r="Z16" s="102">
        <f>IF(AE15&gt;34,(IF(OR(S16="",V16="",W16="",X16=""),"",SUM(S16,V16,W16,X16))*AI15),IF(OR(S16="",V16="",W16="",X16=""),"", SUM(S16,V16,W16,X16)))</f>
        <v>676.36954129934475</v>
      </c>
      <c r="AA16" s="102"/>
      <c r="AB16" s="103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2" t="s">
        <v>142</v>
      </c>
      <c r="C17" s="105" t="s">
        <v>334</v>
      </c>
      <c r="D17" s="211">
        <v>68.489999999999995</v>
      </c>
      <c r="E17" s="147" t="s">
        <v>125</v>
      </c>
      <c r="F17" s="148" t="s">
        <v>147</v>
      </c>
      <c r="G17" s="108">
        <v>39342</v>
      </c>
      <c r="H17" s="109">
        <v>5</v>
      </c>
      <c r="I17" s="124" t="s">
        <v>132</v>
      </c>
      <c r="J17" s="111" t="s">
        <v>69</v>
      </c>
      <c r="K17" s="112">
        <v>-78</v>
      </c>
      <c r="L17" s="113">
        <v>78</v>
      </c>
      <c r="M17" s="113">
        <v>82</v>
      </c>
      <c r="N17" s="112">
        <v>88</v>
      </c>
      <c r="O17" s="113">
        <v>93</v>
      </c>
      <c r="P17" s="113">
        <v>95</v>
      </c>
      <c r="Q17" s="114">
        <f>IF(MAX(K17:M17)&gt;0,IF(MAX(K17:M17)&lt;0,0,TRUNC(MAX(K17:M17)/1)*1),"")</f>
        <v>82</v>
      </c>
      <c r="R17" s="115">
        <f>IF(MAX(N17:P17)&gt;0,IF(MAX(N17:P17)&lt;0,0,TRUNC(MAX(N17:P17)/1)*1),"")</f>
        <v>95</v>
      </c>
      <c r="S17" s="125">
        <f>IF(Q17="","",IF(R17="","",IF(SUM(Q17:R17)=0,"",SUM(Q17:R17))))</f>
        <v>177</v>
      </c>
      <c r="T17" s="11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248.41537440579896</v>
      </c>
      <c r="U17" s="117" t="str">
        <f>IF(AF17=1,T17*AI17,"")</f>
        <v/>
      </c>
      <c r="V17" s="118">
        <v>8.24</v>
      </c>
      <c r="W17" s="118">
        <v>10.59</v>
      </c>
      <c r="X17" s="118">
        <v>6.9</v>
      </c>
      <c r="Y17" s="119"/>
      <c r="Z17" s="120"/>
      <c r="AA17" s="120" t="s">
        <v>307</v>
      </c>
      <c r="AB17" s="121"/>
      <c r="AC17" s="66">
        <f>U5</f>
        <v>45913</v>
      </c>
      <c r="AD17" s="69" t="str">
        <f>IF(ISNUMBER(FIND("M",E17)),"m",IF(ISNUMBER(FIND("K",E17)),"k"))</f>
        <v>m</v>
      </c>
      <c r="AE17" s="67">
        <f>IF(OR(G17="",AC17=""),0,(YEAR(AC17)-YEAR(G17)))</f>
        <v>18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1.4034766915581862</v>
      </c>
    </row>
    <row r="18" spans="2:36" s="8" customFormat="1" ht="20" customHeight="1">
      <c r="B18" s="104"/>
      <c r="C18" s="94"/>
      <c r="D18" s="210"/>
      <c r="E18" s="94"/>
      <c r="F18" s="95"/>
      <c r="G18" s="96"/>
      <c r="H18" s="97"/>
      <c r="I18" s="98"/>
      <c r="J18" s="98"/>
      <c r="K18" s="215"/>
      <c r="L18" s="215"/>
      <c r="M18" s="215"/>
      <c r="N18" s="216"/>
      <c r="O18" s="216"/>
      <c r="P18" s="216"/>
      <c r="Q18" s="99"/>
      <c r="R18" s="94"/>
      <c r="S18" s="215">
        <f>IF(T17="","",T17*1.2)</f>
        <v>298.09844928695873</v>
      </c>
      <c r="T18" s="215"/>
      <c r="U18" s="94"/>
      <c r="V18" s="94">
        <f>IF(V17&gt;0,V17*20,"")</f>
        <v>164.8</v>
      </c>
      <c r="W18" s="94">
        <f>IF(W17="","",(W17*10)*AJ17)</f>
        <v>148.62818163601193</v>
      </c>
      <c r="X18" s="100">
        <f>IF(ROUNDUP(X17,1)&gt;0,IF((80+(8-ROUNDUP(X17,1))*40)&lt;0,0,80+(8-ROUNDUP(X17,1))*40),"")</f>
        <v>123.99999999999999</v>
      </c>
      <c r="Y18" s="101">
        <f>IF(SUM(V18,W18,X18)&gt;0,SUM(V18,W18,X18),"")</f>
        <v>437.42818163601191</v>
      </c>
      <c r="Z18" s="102">
        <f>IF(AE17&gt;34,(IF(OR(S18="",V18="",W18="",X18=""),"",SUM(S18,V18,W18,X18))*AI17),IF(OR(S18="",V18="",W18="",X18=""),"", SUM(S18,V18,W18,X18)))</f>
        <v>735.52663092297064</v>
      </c>
      <c r="AA18" s="102"/>
      <c r="AB18" s="103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2" t="s">
        <v>143</v>
      </c>
      <c r="C19" s="105" t="s">
        <v>321</v>
      </c>
      <c r="D19" s="211">
        <v>93.63</v>
      </c>
      <c r="E19" s="147" t="s">
        <v>125</v>
      </c>
      <c r="F19" s="148" t="s">
        <v>147</v>
      </c>
      <c r="G19" s="108">
        <v>39760</v>
      </c>
      <c r="H19" s="109">
        <v>6</v>
      </c>
      <c r="I19" s="124" t="s">
        <v>133</v>
      </c>
      <c r="J19" s="111" t="s">
        <v>134</v>
      </c>
      <c r="K19" s="112">
        <v>110</v>
      </c>
      <c r="L19" s="113">
        <v>-115</v>
      </c>
      <c r="M19" s="113">
        <v>115</v>
      </c>
      <c r="N19" s="112">
        <v>135</v>
      </c>
      <c r="O19" s="113">
        <v>139</v>
      </c>
      <c r="P19" s="113">
        <v>144</v>
      </c>
      <c r="Q19" s="114">
        <f>IF(MAX(K19:M19)&gt;0,IF(MAX(K19:M19)&lt;0,0,TRUNC(MAX(K19:M19)/1)*1),"")</f>
        <v>115</v>
      </c>
      <c r="R19" s="115">
        <f>IF(MAX(N19:P19)&gt;0,IF(MAX(N19:P19)&lt;0,0,TRUNC(MAX(N19:P19)/1)*1),"")</f>
        <v>144</v>
      </c>
      <c r="S19" s="125">
        <f>IF(Q19="","",IF(R19="","",IF(SUM(Q19:R19)=0,"",SUM(Q19:R19))))</f>
        <v>259</v>
      </c>
      <c r="T19" s="116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305.66697797437592</v>
      </c>
      <c r="U19" s="117" t="str">
        <f>IF(AF19=1,T19*AI19,"")</f>
        <v/>
      </c>
      <c r="V19" s="118">
        <v>7.47</v>
      </c>
      <c r="W19" s="118">
        <v>10.16</v>
      </c>
      <c r="X19" s="118">
        <v>6.7</v>
      </c>
      <c r="Y19" s="119"/>
      <c r="Z19" s="120"/>
      <c r="AA19" s="120" t="s">
        <v>303</v>
      </c>
      <c r="AB19" s="121"/>
      <c r="AC19" s="66">
        <f>U5</f>
        <v>45913</v>
      </c>
      <c r="AD19" s="69" t="str">
        <f>IF(ISNUMBER(FIND("M",E19)),"m",IF(ISNUMBER(FIND("K",E19)),"k"))</f>
        <v>m</v>
      </c>
      <c r="AE19" s="67">
        <f>IF(OR(G19="",AC19=""),0,(YEAR(AC19)-YEAR(G19)))</f>
        <v>17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6">
        <f>IF(D19="","",IF(D19&gt;193.609,1,IF(D19&lt;32,10^(0.722762521*LOG10(32/193.609)^2),10^(0.722762521*LOG10(D19/193.609)^2))))</f>
        <v>1.1801813821404477</v>
      </c>
    </row>
    <row r="20" spans="2:36" s="8" customFormat="1" ht="20" customHeight="1">
      <c r="B20" s="104"/>
      <c r="C20" s="94"/>
      <c r="D20" s="210"/>
      <c r="E20" s="94"/>
      <c r="F20" s="95"/>
      <c r="G20" s="96"/>
      <c r="H20" s="97"/>
      <c r="I20" s="98"/>
      <c r="J20" s="98"/>
      <c r="K20" s="215"/>
      <c r="L20" s="215"/>
      <c r="M20" s="215"/>
      <c r="N20" s="216"/>
      <c r="O20" s="216"/>
      <c r="P20" s="216"/>
      <c r="Q20" s="99"/>
      <c r="R20" s="94"/>
      <c r="S20" s="215">
        <f>IF(T19="","",T19*1.2)</f>
        <v>366.80037356925112</v>
      </c>
      <c r="T20" s="215"/>
      <c r="U20" s="94"/>
      <c r="V20" s="94">
        <f>IF(V19&gt;0,V19*20,"")</f>
        <v>149.4</v>
      </c>
      <c r="W20" s="94">
        <f>IF(W19="","",(W19*10)*AJ19)</f>
        <v>119.90642842546947</v>
      </c>
      <c r="X20" s="100">
        <f>IF(ROUNDUP(X19,1)&gt;0,IF((80+(8-ROUNDUP(X19,1))*40)&lt;0,0,80+(8-ROUNDUP(X19,1))*40),"")</f>
        <v>132</v>
      </c>
      <c r="Y20" s="101">
        <f>IF(SUM(V20,W20,X20)&gt;0,SUM(V20,W20,X20),"")</f>
        <v>401.30642842546945</v>
      </c>
      <c r="Z20" s="102">
        <f>IF(AE19&gt;34,(IF(OR(S20="",V20="",W20="",X20=""),"",SUM(S20,V20,W20,X20))*AI19),IF(OR(S20="",V20="",W20="",X20=""),"", SUM(S20,V20,W20,X20)))</f>
        <v>768.10680199472063</v>
      </c>
      <c r="AA20" s="102"/>
      <c r="AB20" s="103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2" t="s">
        <v>144</v>
      </c>
      <c r="C21" s="105" t="s">
        <v>278</v>
      </c>
      <c r="D21" s="211">
        <v>99.23</v>
      </c>
      <c r="E21" s="147" t="s">
        <v>125</v>
      </c>
      <c r="F21" s="148" t="s">
        <v>147</v>
      </c>
      <c r="G21" s="108">
        <v>39709</v>
      </c>
      <c r="H21" s="109">
        <v>7</v>
      </c>
      <c r="I21" s="110" t="s">
        <v>135</v>
      </c>
      <c r="J21" s="111" t="s">
        <v>69</v>
      </c>
      <c r="K21" s="112">
        <v>-65</v>
      </c>
      <c r="L21" s="113">
        <v>65</v>
      </c>
      <c r="M21" s="113">
        <v>70</v>
      </c>
      <c r="N21" s="112">
        <v>75</v>
      </c>
      <c r="O21" s="113" t="s">
        <v>280</v>
      </c>
      <c r="P21" s="113" t="s">
        <v>280</v>
      </c>
      <c r="Q21" s="114">
        <f>IF(MAX(K21:M21)&gt;0,IF(MAX(K21:M21)&lt;0,0,TRUNC(MAX(K21:M21)/1)*1),"")</f>
        <v>70</v>
      </c>
      <c r="R21" s="115">
        <f>IF(MAX(N21:P21)&gt;0,IF(MAX(N21:P21)&lt;0,0,TRUNC(MAX(N21:P21)/1)*1),"")</f>
        <v>75</v>
      </c>
      <c r="S21" s="125">
        <f>IF(Q21="","",IF(R21="","",IF(SUM(Q21:R21)=0,"",SUM(Q21:R21))))</f>
        <v>145</v>
      </c>
      <c r="T21" s="11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166.82872617534079</v>
      </c>
      <c r="U21" s="117" t="str">
        <f>IF(AF21=1,T21*AI21,"")</f>
        <v/>
      </c>
      <c r="V21" s="118">
        <v>7.7</v>
      </c>
      <c r="W21" s="118">
        <v>12.99</v>
      </c>
      <c r="X21" s="118">
        <v>7</v>
      </c>
      <c r="Y21" s="119"/>
      <c r="Z21" s="120"/>
      <c r="AA21" s="120" t="s">
        <v>336</v>
      </c>
      <c r="AB21" s="121"/>
      <c r="AC21" s="66">
        <f>U5</f>
        <v>45913</v>
      </c>
      <c r="AD21" s="69" t="str">
        <f>IF(ISNUMBER(FIND("M",E21)),"m",IF(ISNUMBER(FIND("K",E21)),"k"))</f>
        <v>m</v>
      </c>
      <c r="AE21" s="67">
        <f>IF(OR(G21="",AC21=""),0,(YEAR(AC21)-YEAR(G21)))</f>
        <v>17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6">
        <f>IF(D21="","",IF(D21&gt;193.609,1,IF(D21&lt;32,10^(0.722762521*LOG10(32/193.609)^2),10^(0.722762521*LOG10(D21/193.609)^2))))</f>
        <v>1.1505429391402813</v>
      </c>
    </row>
    <row r="22" spans="2:36" s="8" customFormat="1" ht="20" customHeight="1">
      <c r="B22" s="104"/>
      <c r="C22" s="94"/>
      <c r="D22" s="210"/>
      <c r="E22" s="94"/>
      <c r="F22" s="95"/>
      <c r="G22" s="96"/>
      <c r="H22" s="97"/>
      <c r="I22" s="98"/>
      <c r="J22" s="98"/>
      <c r="K22" s="215"/>
      <c r="L22" s="215"/>
      <c r="M22" s="215"/>
      <c r="N22" s="216"/>
      <c r="O22" s="216"/>
      <c r="P22" s="216"/>
      <c r="Q22" s="99"/>
      <c r="R22" s="94"/>
      <c r="S22" s="215">
        <f>IF(T21="","",T21*1.2)</f>
        <v>200.19447141040894</v>
      </c>
      <c r="T22" s="215"/>
      <c r="U22" s="94"/>
      <c r="V22" s="94">
        <f>IF(V21&gt;0,V21*20,"")</f>
        <v>154</v>
      </c>
      <c r="W22" s="94">
        <f>IF(W21="","",(W21*10)*AJ21)</f>
        <v>149.45552779432253</v>
      </c>
      <c r="X22" s="100">
        <f>IF(ROUNDUP(X21,1)&gt;0,IF((80+(8-ROUNDUP(X21,1))*40)&lt;0,0,80+(8-ROUNDUP(X21,1))*40),"")</f>
        <v>120</v>
      </c>
      <c r="Y22" s="101">
        <f>IF(SUM(V22,W22,X22)&gt;0,SUM(V22,W22,X22),"")</f>
        <v>423.45552779432251</v>
      </c>
      <c r="Z22" s="102">
        <f>IF(AE21&gt;34,(IF(OR(S22="",V22="",W22="",X22=""),"",SUM(S22,V22,W22,X22))*AI21),IF(OR(S22="",V22="",W22="",X22=""),"", SUM(S22,V22,W22,X22)))</f>
        <v>623.64999920473144</v>
      </c>
      <c r="AA22" s="102"/>
      <c r="AB22" s="103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2" t="s">
        <v>145</v>
      </c>
      <c r="C23" s="105" t="s">
        <v>335</v>
      </c>
      <c r="D23" s="211">
        <v>52.96</v>
      </c>
      <c r="E23" s="147" t="s">
        <v>125</v>
      </c>
      <c r="F23" s="148" t="s">
        <v>147</v>
      </c>
      <c r="G23" s="108">
        <v>39674</v>
      </c>
      <c r="H23" s="109">
        <v>8</v>
      </c>
      <c r="I23" s="110" t="s">
        <v>136</v>
      </c>
      <c r="J23" s="111" t="s">
        <v>92</v>
      </c>
      <c r="K23" s="112">
        <v>55</v>
      </c>
      <c r="L23" s="113">
        <v>59</v>
      </c>
      <c r="M23" s="113">
        <v>-63</v>
      </c>
      <c r="N23" s="112">
        <v>74</v>
      </c>
      <c r="O23" s="113">
        <v>77</v>
      </c>
      <c r="P23" s="113">
        <v>-80</v>
      </c>
      <c r="Q23" s="114">
        <f>IF(MAX(K23:M23)&gt;0,IF(MAX(K23:M23)&lt;0,0,TRUNC(MAX(K23:M23)/1)*1),"")</f>
        <v>59</v>
      </c>
      <c r="R23" s="115">
        <f>IF(MAX(N23:P23)&gt;0,IF(MAX(N23:P23)&lt;0,0,TRUNC(MAX(N23:P23)/1)*1),"")</f>
        <v>77</v>
      </c>
      <c r="S23" s="125">
        <f>IF(Q23="","",IF(R23="","",IF(SUM(Q23:R23)=0,"",SUM(Q23:R23))))</f>
        <v>136</v>
      </c>
      <c r="T23" s="116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230.4697678046538</v>
      </c>
      <c r="U23" s="117" t="str">
        <f>IF(AF23=1,T23*AI23,"")</f>
        <v/>
      </c>
      <c r="V23" s="118">
        <v>8.34</v>
      </c>
      <c r="W23" s="118">
        <v>8.93</v>
      </c>
      <c r="X23" s="118">
        <v>6.2</v>
      </c>
      <c r="Y23" s="119"/>
      <c r="Z23" s="120"/>
      <c r="AA23" s="120" t="s">
        <v>305</v>
      </c>
      <c r="AB23" s="121"/>
      <c r="AC23" s="66">
        <f>U5</f>
        <v>45913</v>
      </c>
      <c r="AD23" s="69" t="str">
        <f>IF(ISNUMBER(FIND("M",E23)),"m",IF(ISNUMBER(FIND("K",E23)),"k"))</f>
        <v>m</v>
      </c>
      <c r="AE23" s="82">
        <f>IF(OR(G23="",AC23=""),0,(YEAR(AC23)-YEAR(G23)))</f>
        <v>17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6">
        <f>IF(D23="","",IF(D23&gt;193.609,1,IF(D23&lt;32,10^(0.722762521*LOG10(32/193.609)^2),10^(0.722762521*LOG10(D23/193.609)^2))))</f>
        <v>1.6946306456224545</v>
      </c>
    </row>
    <row r="24" spans="2:36" s="8" customFormat="1" ht="20" customHeight="1">
      <c r="B24" s="104"/>
      <c r="C24" s="94"/>
      <c r="D24" s="210"/>
      <c r="E24" s="94"/>
      <c r="F24" s="95"/>
      <c r="G24" s="96"/>
      <c r="H24" s="97"/>
      <c r="I24" s="98"/>
      <c r="J24" s="98"/>
      <c r="K24" s="215"/>
      <c r="L24" s="215"/>
      <c r="M24" s="215"/>
      <c r="N24" s="216"/>
      <c r="O24" s="216"/>
      <c r="P24" s="216"/>
      <c r="Q24" s="99"/>
      <c r="R24" s="94"/>
      <c r="S24" s="215">
        <f>IF(T23="","",T23*1.2)</f>
        <v>276.56372136558457</v>
      </c>
      <c r="T24" s="215"/>
      <c r="U24" s="94"/>
      <c r="V24" s="94">
        <f>IF(V23&gt;0,V23*20,"")</f>
        <v>166.8</v>
      </c>
      <c r="W24" s="94">
        <f>IF(W23="","",(W23*10)*AJ23)</f>
        <v>151.33051665408519</v>
      </c>
      <c r="X24" s="100">
        <f>IF(ROUNDUP(X23,1)&gt;0,IF((80+(8-ROUNDUP(X23,1))*40)&lt;0,0,80+(8-ROUNDUP(X23,1))*40),"")</f>
        <v>152</v>
      </c>
      <c r="Y24" s="101">
        <f>IF(SUM(V24,W24,X24)&gt;0,SUM(V24,W24,X24),"")</f>
        <v>470.13051665408523</v>
      </c>
      <c r="Z24" s="102">
        <f>IF(AE23&gt;34,(IF(OR(S24="",V24="",W24="",X24=""),"",SUM(S24,V24,W24,X24))*AI23),IF(OR(S24="",V24="",W24="",X24=""),"", SUM(S24,V24,W24,X24)))</f>
        <v>746.6942380196698</v>
      </c>
      <c r="AA24" s="102"/>
      <c r="AB24" s="103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2" t="s">
        <v>146</v>
      </c>
      <c r="C25" s="105" t="s">
        <v>333</v>
      </c>
      <c r="D25" s="211">
        <v>78.09</v>
      </c>
      <c r="E25" s="147" t="s">
        <v>125</v>
      </c>
      <c r="F25" s="148" t="s">
        <v>147</v>
      </c>
      <c r="G25" s="108">
        <v>39126</v>
      </c>
      <c r="H25" s="109">
        <v>9</v>
      </c>
      <c r="I25" s="110" t="s">
        <v>137</v>
      </c>
      <c r="J25" s="111" t="s">
        <v>92</v>
      </c>
      <c r="K25" s="112">
        <v>86</v>
      </c>
      <c r="L25" s="113">
        <v>-89</v>
      </c>
      <c r="M25" s="113">
        <v>-90</v>
      </c>
      <c r="N25" s="112">
        <v>108</v>
      </c>
      <c r="O25" s="113">
        <v>111</v>
      </c>
      <c r="P25" s="113" t="s">
        <v>280</v>
      </c>
      <c r="Q25" s="114">
        <f>IF(MAX(K25:M25)&gt;0,IF(MAX(K25:M25)&lt;0,0,TRUNC(MAX(K25:M25)/1)*1),"")</f>
        <v>86</v>
      </c>
      <c r="R25" s="115">
        <f>IF(MAX(N25:P25)&gt;0,IF(MAX(N25:P25)&lt;0,0,TRUNC(MAX(N25:P25)/1)*1),"")</f>
        <v>111</v>
      </c>
      <c r="S25" s="125">
        <f>IF(Q25="","",IF(R25="","",IF(SUM(Q25:R25)=0,"",SUM(Q25:R25))))</f>
        <v>197</v>
      </c>
      <c r="T25" s="116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255.18378956751218</v>
      </c>
      <c r="U25" s="117" t="str">
        <f>IF(AF25=1,T25*AI25,"")</f>
        <v/>
      </c>
      <c r="V25" s="118">
        <v>8.43</v>
      </c>
      <c r="W25" s="118">
        <v>11</v>
      </c>
      <c r="X25" s="118">
        <v>6.8</v>
      </c>
      <c r="Y25" s="119"/>
      <c r="Z25" s="120"/>
      <c r="AA25" s="120" t="s">
        <v>306</v>
      </c>
      <c r="AB25" s="121"/>
      <c r="AC25" s="66">
        <f>U5</f>
        <v>45913</v>
      </c>
      <c r="AD25" s="69" t="str">
        <f>IF(ISNUMBER(FIND("M",E25)),"m",IF(ISNUMBER(FIND("K",E25)),"k"))</f>
        <v>m</v>
      </c>
      <c r="AE25" s="82">
        <f>IF(OR(G25="",AC25=""),0,(YEAR(AC25)-YEAR(G25)))</f>
        <v>18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b">
        <f t="shared" ref="AI25" si="3">IF(AD25="m",AG25,IF(AD25="k",AH25,""))</f>
        <v>0</v>
      </c>
      <c r="AJ25" s="86">
        <f>IF(D25="","",IF(D25&gt;193.609,1,IF(D25&lt;32,10^(0.722762521*LOG10(32/193.609)^2),10^(0.722762521*LOG10(D25/193.609)^2))))</f>
        <v>1.2953491856218893</v>
      </c>
    </row>
    <row r="26" spans="2:36" s="8" customFormat="1" ht="20" customHeight="1">
      <c r="B26" s="104"/>
      <c r="C26" s="94"/>
      <c r="D26" s="94"/>
      <c r="E26" s="94"/>
      <c r="F26" s="95"/>
      <c r="G26" s="96"/>
      <c r="H26" s="97"/>
      <c r="I26" s="98"/>
      <c r="J26" s="98"/>
      <c r="K26" s="215"/>
      <c r="L26" s="215"/>
      <c r="M26" s="215"/>
      <c r="N26" s="216"/>
      <c r="O26" s="216"/>
      <c r="P26" s="216"/>
      <c r="Q26" s="99"/>
      <c r="R26" s="94"/>
      <c r="S26" s="215">
        <f>IF(T25="","",T25*1.2)</f>
        <v>306.22054748101459</v>
      </c>
      <c r="T26" s="215"/>
      <c r="U26" s="94"/>
      <c r="V26" s="94">
        <f>IF(V25&gt;0,V25*20,"")</f>
        <v>168.6</v>
      </c>
      <c r="W26" s="94">
        <f>IF(W25="","",(W25*10)*AJ25)</f>
        <v>142.48841041840782</v>
      </c>
      <c r="X26" s="100">
        <f>IF(ROUNDUP(X25,1)&gt;0,IF((80+(8-ROUNDUP(X25,1))*40)&lt;0,0,80+(8-ROUNDUP(X25,1))*40),"")</f>
        <v>128</v>
      </c>
      <c r="Y26" s="101">
        <f>IF(SUM(V26,W26,X26)&gt;0,SUM(V26,W26,X26),"")</f>
        <v>439.08841041840782</v>
      </c>
      <c r="Z26" s="102">
        <f>IF(AE25&gt;34,(IF(OR(S26="",V26="",W26="",X26=""),"",SUM(S26,V26,W26,X26))*AI25),IF(OR(S26="",V26="",W26="",X26=""),"", SUM(S26,V26,W26,X26)))</f>
        <v>745.30895789942247</v>
      </c>
      <c r="AA26" s="102"/>
      <c r="AB26" s="103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2"/>
      <c r="C27" s="126"/>
      <c r="D27" s="106"/>
      <c r="E27" s="127"/>
      <c r="F27" s="128"/>
      <c r="G27" s="129"/>
      <c r="H27" s="105"/>
      <c r="I27" s="111"/>
      <c r="J27" s="111"/>
      <c r="K27" s="130"/>
      <c r="L27" s="131"/>
      <c r="M27" s="131"/>
      <c r="N27" s="131"/>
      <c r="O27" s="132"/>
      <c r="P27" s="132"/>
      <c r="Q27" s="114" t="str">
        <f>IF(MAX(K27:M27)&gt;0,IF(MAX(K27:M27)&lt;0,0,TRUNC(MAX(K27:M27)/1)*1),"")</f>
        <v/>
      </c>
      <c r="R27" s="115" t="str">
        <f>IF(MAX(N27:P27)&gt;0,IF(MAX(N27:P27)&lt;0,0,TRUNC(MAX(N27:P27)/1)*1),"")</f>
        <v/>
      </c>
      <c r="S27" s="125" t="str">
        <f>IF(Q27="","",IF(R27="","",IF(SUM(Q27:R27)=0,"",SUM(Q27:R27))))</f>
        <v/>
      </c>
      <c r="T27" s="116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7" t="str">
        <f>IF(AF27=1,T27*AI27,"")</f>
        <v/>
      </c>
      <c r="V27" s="133"/>
      <c r="W27" s="133"/>
      <c r="X27" s="134"/>
      <c r="Y27" s="119"/>
      <c r="Z27" s="120"/>
      <c r="AA27" s="120"/>
      <c r="AB27" s="121"/>
      <c r="AC27" s="66">
        <f>U5</f>
        <v>45913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4"/>
      <c r="C28" s="138"/>
      <c r="D28" s="94"/>
      <c r="E28" s="95"/>
      <c r="F28" s="95"/>
      <c r="G28" s="139"/>
      <c r="H28" s="96"/>
      <c r="I28" s="98" t="s">
        <v>13</v>
      </c>
      <c r="J28" s="98"/>
      <c r="K28" s="216"/>
      <c r="L28" s="216"/>
      <c r="M28" s="216"/>
      <c r="N28" s="216"/>
      <c r="O28" s="216"/>
      <c r="P28" s="216"/>
      <c r="Q28" s="99"/>
      <c r="R28" s="94"/>
      <c r="S28" s="215" t="str">
        <f>IF(T27="","",T27*1.2)</f>
        <v/>
      </c>
      <c r="T28" s="215"/>
      <c r="U28" s="94"/>
      <c r="V28" s="94" t="str">
        <f>IF(V27&gt;0,V27*20,"")</f>
        <v/>
      </c>
      <c r="W28" s="94" t="str">
        <f>IF(W27="","",(W27*10)*AJ27)</f>
        <v/>
      </c>
      <c r="X28" s="100" t="str">
        <f>IF(ROUNDUP(X27,1)&gt;0,IF((80+(8-ROUNDUP(X27,1))*40)&lt;0,0,80+(8-ROUNDUP(X27,1))*40),"")</f>
        <v/>
      </c>
      <c r="Y28" s="101" t="str">
        <f>IF(SUM(V28,W28,X28)&gt;0,SUM(V28,W28,X28),"")</f>
        <v/>
      </c>
      <c r="Z28" s="102" t="str">
        <f>IF(AE27&gt;34,(IF(OR(S28="",V28="",W28="",X28=""),"",SUM(S28,V28,W28,X28))*AI27),IF(OR(S28="",V28="",W28="",X28=""),"", SUM(S28,V28,W28,X28)))</f>
        <v/>
      </c>
      <c r="AA28" s="102"/>
      <c r="AB28" s="103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2"/>
      <c r="C29" s="126"/>
      <c r="D29" s="106"/>
      <c r="E29" s="127"/>
      <c r="F29" s="128"/>
      <c r="G29" s="129"/>
      <c r="H29" s="105"/>
      <c r="I29" s="111"/>
      <c r="J29" s="111"/>
      <c r="K29" s="130"/>
      <c r="L29" s="131"/>
      <c r="M29" s="131"/>
      <c r="N29" s="131"/>
      <c r="O29" s="132"/>
      <c r="P29" s="132"/>
      <c r="Q29" s="114" t="str">
        <f>IF(MAX(K29:M29)&gt;0,IF(MAX(K29:M29)&lt;0,0,TRUNC(MAX(K29:M29)/1)*1),"")</f>
        <v/>
      </c>
      <c r="R29" s="115" t="str">
        <f>IF(MAX(N29:P29)&gt;0,IF(MAX(N29:P29)&lt;0,0,TRUNC(MAX(N29:P29)/1)*1),"")</f>
        <v/>
      </c>
      <c r="S29" s="125" t="str">
        <f>IF(Q29="","",IF(R29="","",IF(SUM(Q29:R29)=0,"",SUM(Q29:R29))))</f>
        <v/>
      </c>
      <c r="T29" s="116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7" t="str">
        <f>IF(AF29=1,T29*AI29,"")</f>
        <v/>
      </c>
      <c r="V29" s="118"/>
      <c r="W29" s="118"/>
      <c r="X29" s="118"/>
      <c r="Y29" s="119"/>
      <c r="Z29" s="120"/>
      <c r="AA29" s="120"/>
      <c r="AB29" s="121"/>
      <c r="AC29" s="66">
        <f>U5</f>
        <v>45913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4"/>
      <c r="C30" s="138"/>
      <c r="D30" s="94"/>
      <c r="E30" s="95"/>
      <c r="F30" s="95"/>
      <c r="G30" s="139"/>
      <c r="H30" s="96"/>
      <c r="I30" s="98"/>
      <c r="J30" s="98"/>
      <c r="K30" s="216"/>
      <c r="L30" s="216"/>
      <c r="M30" s="216"/>
      <c r="N30" s="216"/>
      <c r="O30" s="216"/>
      <c r="P30" s="216"/>
      <c r="Q30" s="99"/>
      <c r="R30" s="94"/>
      <c r="S30" s="215" t="str">
        <f>IF(T29="","",T29*1.2)</f>
        <v/>
      </c>
      <c r="T30" s="215"/>
      <c r="U30" s="94"/>
      <c r="V30" s="94" t="str">
        <f>IF(V29&gt;0,V29*20,"")</f>
        <v/>
      </c>
      <c r="W30" s="94" t="str">
        <f>IF(W29="","",(W29*10)*AJ29)</f>
        <v/>
      </c>
      <c r="X30" s="100" t="str">
        <f>IF(ROUNDUP(X29,1)&gt;0,IF((80+(8-ROUNDUP(X29,1))*40)&lt;0,0,80+(8-ROUNDUP(X29,1))*40),"")</f>
        <v/>
      </c>
      <c r="Y30" s="101" t="str">
        <f>IF(SUM(V30,W30,X30)&gt;0,SUM(V30,W30,X30),"")</f>
        <v/>
      </c>
      <c r="Z30" s="102" t="str">
        <f>IF(AE29&gt;34,(IF(OR(S30="",V30="",W30="",X30=""),"",SUM(S30,V30,W30,X30))*AI29),IF(OR(S30="",V30="",W30="",X30=""),"", SUM(S30,V30,W30,X30)))</f>
        <v/>
      </c>
      <c r="AA30" s="102"/>
      <c r="AB30" s="103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2"/>
      <c r="C31" s="126"/>
      <c r="D31" s="106"/>
      <c r="E31" s="127"/>
      <c r="F31" s="128"/>
      <c r="G31" s="129"/>
      <c r="H31" s="105"/>
      <c r="I31" s="111" t="s">
        <v>13</v>
      </c>
      <c r="J31" s="111"/>
      <c r="K31" s="130"/>
      <c r="L31" s="131"/>
      <c r="M31" s="131"/>
      <c r="N31" s="131"/>
      <c r="O31" s="132"/>
      <c r="P31" s="132"/>
      <c r="Q31" s="114" t="str">
        <f>IF(MAX(K31:M31)&gt;0,IF(MAX(K31:M31)&lt;0,0,TRUNC(MAX(K31:M31)/1)*1),"")</f>
        <v/>
      </c>
      <c r="R31" s="115" t="str">
        <f>IF(MAX(N31:P31)&gt;0,IF(MAX(N31:P31)&lt;0,0,TRUNC(MAX(N31:P31)/1)*1),"")</f>
        <v/>
      </c>
      <c r="S31" s="125" t="str">
        <f>IF(Q31="","",IF(R31="","",IF(SUM(Q31:R31)=0,"",SUM(Q31:R31))))</f>
        <v/>
      </c>
      <c r="T31" s="116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7" t="str">
        <f>IF(AF31=1,T31*AI31,"")</f>
        <v/>
      </c>
      <c r="V31" s="133"/>
      <c r="W31" s="133"/>
      <c r="X31" s="134"/>
      <c r="Y31" s="119"/>
      <c r="Z31" s="120"/>
      <c r="AA31" s="120"/>
      <c r="AB31" s="121"/>
      <c r="AC31" s="66">
        <f>U5</f>
        <v>45913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4"/>
      <c r="C32" s="138"/>
      <c r="D32" s="94"/>
      <c r="E32" s="95"/>
      <c r="F32" s="95"/>
      <c r="G32" s="139"/>
      <c r="H32" s="96"/>
      <c r="I32" s="98"/>
      <c r="J32" s="98"/>
      <c r="K32" s="216"/>
      <c r="L32" s="216"/>
      <c r="M32" s="216"/>
      <c r="N32" s="216"/>
      <c r="O32" s="216"/>
      <c r="P32" s="216"/>
      <c r="Q32" s="99"/>
      <c r="R32" s="94"/>
      <c r="S32" s="215" t="str">
        <f>IF(T31="","",T31*1.2)</f>
        <v/>
      </c>
      <c r="T32" s="215"/>
      <c r="U32" s="94"/>
      <c r="V32" s="94" t="str">
        <f>IF(V31&gt;0,V31*20,"")</f>
        <v/>
      </c>
      <c r="W32" s="94" t="str">
        <f>IF(W31="","",(W31*10)*AJ31)</f>
        <v/>
      </c>
      <c r="X32" s="100" t="str">
        <f>IF(ROUNDUP(X31,1)&gt;0,IF((80+(8-ROUNDUP(X31,1))*40)&lt;0,0,80+(8-ROUNDUP(X31,1))*40),"")</f>
        <v/>
      </c>
      <c r="Y32" s="101" t="str">
        <f>IF(SUM(V32,W32,X32)&gt;0,SUM(V32,W32,X32),"")</f>
        <v/>
      </c>
      <c r="Z32" s="102" t="str">
        <f>IF(AE31&gt;34,(IF(OR(S32="",V32="",W32="",X32=""),"",SUM(S32,V32,W32,X32))*AI31),IF(OR(S32="",V32="",W32="",X32=""),"", SUM(S32,V32,W32,X32)))</f>
        <v/>
      </c>
      <c r="AA32" s="102"/>
      <c r="AB32" s="103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46" t="s">
        <v>34</v>
      </c>
      <c r="C35" s="248"/>
      <c r="D35" s="77" t="s">
        <v>33</v>
      </c>
      <c r="E35" s="246" t="s">
        <v>4</v>
      </c>
      <c r="F35" s="247"/>
      <c r="G35" s="247"/>
      <c r="H35" s="248"/>
      <c r="I35" s="50" t="s">
        <v>42</v>
      </c>
      <c r="J35" s="21"/>
      <c r="K35" s="246" t="s">
        <v>34</v>
      </c>
      <c r="L35" s="247"/>
      <c r="M35" s="248"/>
      <c r="N35" s="54" t="s">
        <v>33</v>
      </c>
      <c r="O35" s="244" t="s">
        <v>4</v>
      </c>
      <c r="P35" s="263"/>
      <c r="Q35" s="263"/>
      <c r="R35" s="245"/>
      <c r="S35" s="244" t="s">
        <v>42</v>
      </c>
      <c r="T35" s="2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49" t="s">
        <v>40</v>
      </c>
      <c r="C36" s="251"/>
      <c r="D36" s="78"/>
      <c r="E36" s="262" t="s">
        <v>281</v>
      </c>
      <c r="F36" s="250"/>
      <c r="G36" s="250"/>
      <c r="H36" s="251"/>
      <c r="I36" s="49"/>
      <c r="J36" s="4"/>
      <c r="K36" s="249" t="s">
        <v>35</v>
      </c>
      <c r="L36" s="250"/>
      <c r="M36" s="251"/>
      <c r="N36" s="51"/>
      <c r="O36" s="217" t="s">
        <v>282</v>
      </c>
      <c r="P36" s="264"/>
      <c r="Q36" s="264"/>
      <c r="R36" s="265"/>
      <c r="S36" s="217"/>
      <c r="T36" s="218"/>
      <c r="AF36" s="1"/>
      <c r="AH36" s="35"/>
      <c r="AI36" s="35"/>
    </row>
    <row r="37" spans="2:35" s="5" customFormat="1" ht="21" customHeight="1">
      <c r="B37" s="234" t="s">
        <v>36</v>
      </c>
      <c r="C37" s="222"/>
      <c r="D37" s="79"/>
      <c r="E37" s="220" t="s">
        <v>291</v>
      </c>
      <c r="F37" s="221"/>
      <c r="G37" s="221"/>
      <c r="H37" s="222"/>
      <c r="I37" s="47"/>
      <c r="J37" s="4"/>
      <c r="K37" s="234" t="s">
        <v>38</v>
      </c>
      <c r="L37" s="221"/>
      <c r="M37" s="222"/>
      <c r="N37" s="52"/>
      <c r="O37" s="228" t="s">
        <v>281</v>
      </c>
      <c r="P37" s="229"/>
      <c r="Q37" s="229"/>
      <c r="R37" s="230"/>
      <c r="S37" s="228"/>
      <c r="T37" s="231"/>
      <c r="AH37" s="35"/>
      <c r="AI37" s="35"/>
    </row>
    <row r="38" spans="2:35" s="5" customFormat="1" ht="19" customHeight="1">
      <c r="B38" s="234" t="s">
        <v>36</v>
      </c>
      <c r="C38" s="222"/>
      <c r="D38" s="79"/>
      <c r="E38" s="220" t="s">
        <v>292</v>
      </c>
      <c r="F38" s="221"/>
      <c r="G38" s="221"/>
      <c r="H38" s="222"/>
      <c r="I38" s="47"/>
      <c r="J38" s="4"/>
      <c r="K38" s="234" t="s">
        <v>37</v>
      </c>
      <c r="L38" s="221"/>
      <c r="M38" s="222"/>
      <c r="N38" s="52"/>
      <c r="O38" s="228" t="s">
        <v>294</v>
      </c>
      <c r="P38" s="229"/>
      <c r="Q38" s="229"/>
      <c r="R38" s="230"/>
      <c r="S38" s="228"/>
      <c r="T38" s="231"/>
      <c r="V38" s="5" t="s">
        <v>54</v>
      </c>
      <c r="AH38" s="35"/>
      <c r="AI38" s="35"/>
    </row>
    <row r="39" spans="2:35" s="5" customFormat="1" ht="21" customHeight="1">
      <c r="B39" s="234" t="s">
        <v>36</v>
      </c>
      <c r="C39" s="222"/>
      <c r="D39" s="79"/>
      <c r="E39" s="220" t="s">
        <v>293</v>
      </c>
      <c r="F39" s="221"/>
      <c r="G39" s="221"/>
      <c r="H39" s="222"/>
      <c r="I39" s="47"/>
      <c r="J39" s="4"/>
      <c r="K39" s="234" t="s">
        <v>55</v>
      </c>
      <c r="L39" s="221"/>
      <c r="M39" s="222"/>
      <c r="N39" s="52"/>
      <c r="O39" s="228" t="s">
        <v>283</v>
      </c>
      <c r="P39" s="229"/>
      <c r="Q39" s="229"/>
      <c r="R39" s="230"/>
      <c r="S39" s="228"/>
      <c r="T39" s="231"/>
      <c r="AD39" s="5" t="s">
        <v>13</v>
      </c>
      <c r="AH39" s="35"/>
      <c r="AI39" s="35"/>
    </row>
    <row r="40" spans="2:35" s="5" customFormat="1" ht="20" customHeight="1">
      <c r="B40" s="234" t="s">
        <v>36</v>
      </c>
      <c r="C40" s="222"/>
      <c r="D40" s="79"/>
      <c r="E40" s="220"/>
      <c r="F40" s="221"/>
      <c r="G40" s="221"/>
      <c r="H40" s="222"/>
      <c r="I40" s="47"/>
      <c r="J40" s="4"/>
      <c r="K40" s="234" t="s">
        <v>55</v>
      </c>
      <c r="L40" s="221"/>
      <c r="M40" s="222"/>
      <c r="N40" s="52"/>
      <c r="O40" s="228" t="s">
        <v>290</v>
      </c>
      <c r="P40" s="229"/>
      <c r="Q40" s="229"/>
      <c r="R40" s="230"/>
      <c r="S40" s="228"/>
      <c r="T40" s="231"/>
      <c r="AH40" s="35"/>
      <c r="AI40" s="35"/>
    </row>
    <row r="41" spans="2:35" ht="19" customHeight="1">
      <c r="B41" s="234" t="s">
        <v>36</v>
      </c>
      <c r="C41" s="222"/>
      <c r="D41" s="79"/>
      <c r="E41" s="220"/>
      <c r="F41" s="221"/>
      <c r="G41" s="221"/>
      <c r="H41" s="222"/>
      <c r="I41" s="47"/>
      <c r="J41" s="3"/>
      <c r="K41" s="234"/>
      <c r="L41" s="221"/>
      <c r="M41" s="222"/>
      <c r="N41" s="52"/>
      <c r="O41" s="228"/>
      <c r="P41" s="229"/>
      <c r="Q41" s="229"/>
      <c r="R41" s="230"/>
      <c r="S41" s="228"/>
      <c r="T41" s="231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234" t="s">
        <v>39</v>
      </c>
      <c r="C42" s="222"/>
      <c r="D42" s="79"/>
      <c r="E42" s="220" t="s">
        <v>289</v>
      </c>
      <c r="F42" s="221"/>
      <c r="G42" s="221"/>
      <c r="H42" s="222"/>
      <c r="I42" s="47"/>
      <c r="J42" s="3"/>
      <c r="K42" s="234"/>
      <c r="L42" s="221"/>
      <c r="M42" s="222"/>
      <c r="N42" s="52"/>
      <c r="O42" s="228"/>
      <c r="P42" s="229"/>
      <c r="Q42" s="229"/>
      <c r="R42" s="230"/>
      <c r="S42" s="228"/>
      <c r="T42" s="231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226"/>
      <c r="C43" s="225"/>
      <c r="D43" s="80"/>
      <c r="E43" s="223"/>
      <c r="F43" s="224"/>
      <c r="G43" s="224"/>
      <c r="H43" s="225"/>
      <c r="I43" s="48"/>
      <c r="J43" s="3"/>
      <c r="K43" s="226"/>
      <c r="L43" s="224"/>
      <c r="M43" s="225"/>
      <c r="N43" s="53"/>
      <c r="O43" s="240"/>
      <c r="P43" s="241"/>
      <c r="Q43" s="241"/>
      <c r="R43" s="242"/>
      <c r="S43" s="240"/>
      <c r="T43" s="24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33"/>
      <c r="C44" s="233"/>
      <c r="D44" s="232"/>
      <c r="E44" s="232"/>
      <c r="F44" s="56"/>
      <c r="G44" s="232"/>
      <c r="H44" s="232"/>
      <c r="I44" s="232"/>
      <c r="J44" s="3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37" t="s">
        <v>41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226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9"/>
      <c r="F50" s="219"/>
      <c r="G50" s="219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179" priority="24" stopIfTrue="1" operator="lessThanOrEqual">
      <formula>0</formula>
    </cfRule>
    <cfRule type="cellIs" dxfId="178" priority="23" stopIfTrue="1" operator="between">
      <formula>1</formula>
      <formula>300</formula>
    </cfRule>
  </conditionalFormatting>
  <conditionalFormatting sqref="K29">
    <cfRule type="cellIs" dxfId="177" priority="22" stopIfTrue="1" operator="lessThanOrEqual">
      <formula>0</formula>
    </cfRule>
    <cfRule type="cellIs" dxfId="176" priority="21" stopIfTrue="1" operator="between">
      <formula>1</formula>
      <formula>300</formula>
    </cfRule>
  </conditionalFormatting>
  <conditionalFormatting sqref="K31">
    <cfRule type="cellIs" dxfId="175" priority="19" stopIfTrue="1" operator="between">
      <formula>1</formula>
      <formula>300</formula>
    </cfRule>
    <cfRule type="cellIs" dxfId="174" priority="20" stopIfTrue="1" operator="lessThanOrEqual">
      <formula>0</formula>
    </cfRule>
  </conditionalFormatting>
  <conditionalFormatting sqref="K9:P9">
    <cfRule type="cellIs" dxfId="173" priority="13" stopIfTrue="1" operator="between">
      <formula>1</formula>
      <formula>300</formula>
    </cfRule>
    <cfRule type="cellIs" dxfId="172" priority="14" stopIfTrue="1" operator="lessThanOrEqual">
      <formula>0</formula>
    </cfRule>
  </conditionalFormatting>
  <conditionalFormatting sqref="K11:P11">
    <cfRule type="cellIs" dxfId="171" priority="11" stopIfTrue="1" operator="between">
      <formula>1</formula>
      <formula>300</formula>
    </cfRule>
    <cfRule type="cellIs" dxfId="170" priority="12" stopIfTrue="1" operator="lessThanOrEqual">
      <formula>0</formula>
    </cfRule>
  </conditionalFormatting>
  <conditionalFormatting sqref="K13:P13">
    <cfRule type="cellIs" dxfId="169" priority="7" stopIfTrue="1" operator="between">
      <formula>1</formula>
      <formula>300</formula>
    </cfRule>
    <cfRule type="cellIs" dxfId="168" priority="8" stopIfTrue="1" operator="lessThanOrEqual">
      <formula>0</formula>
    </cfRule>
  </conditionalFormatting>
  <conditionalFormatting sqref="K15:P15">
    <cfRule type="cellIs" dxfId="167" priority="9" stopIfTrue="1" operator="between">
      <formula>1</formula>
      <formula>300</formula>
    </cfRule>
    <cfRule type="cellIs" dxfId="166" priority="10" stopIfTrue="1" operator="lessThanOrEqual">
      <formula>0</formula>
    </cfRule>
  </conditionalFormatting>
  <conditionalFormatting sqref="K17:P17">
    <cfRule type="cellIs" dxfId="165" priority="15" stopIfTrue="1" operator="between">
      <formula>1</formula>
      <formula>300</formula>
    </cfRule>
    <cfRule type="cellIs" dxfId="164" priority="16" stopIfTrue="1" operator="lessThanOrEqual">
      <formula>0</formula>
    </cfRule>
  </conditionalFormatting>
  <conditionalFormatting sqref="K19:P19">
    <cfRule type="cellIs" dxfId="163" priority="1" stopIfTrue="1" operator="between">
      <formula>1</formula>
      <formula>300</formula>
    </cfRule>
    <cfRule type="cellIs" dxfId="162" priority="2" stopIfTrue="1" operator="lessThanOrEqual">
      <formula>0</formula>
    </cfRule>
  </conditionalFormatting>
  <conditionalFormatting sqref="K21:P21">
    <cfRule type="cellIs" dxfId="161" priority="4" stopIfTrue="1" operator="lessThanOrEqual">
      <formula>0</formula>
    </cfRule>
    <cfRule type="cellIs" dxfId="160" priority="3" stopIfTrue="1" operator="between">
      <formula>1</formula>
      <formula>300</formula>
    </cfRule>
  </conditionalFormatting>
  <conditionalFormatting sqref="K23:P23">
    <cfRule type="cellIs" dxfId="159" priority="6" stopIfTrue="1" operator="lessThanOrEqual">
      <formula>0</formula>
    </cfRule>
    <cfRule type="cellIs" dxfId="158" priority="5" stopIfTrue="1" operator="between">
      <formula>1</formula>
      <formula>300</formula>
    </cfRule>
  </conditionalFormatting>
  <conditionalFormatting sqref="K25:P25">
    <cfRule type="cellIs" dxfId="157" priority="18" stopIfTrue="1" operator="lessThanOrEqual">
      <formula>0</formula>
    </cfRule>
    <cfRule type="cellIs" dxfId="156" priority="17" stopIfTrue="1" operator="between">
      <formula>1</formula>
      <formula>300</formula>
    </cfRule>
  </conditionalFormatting>
  <conditionalFormatting sqref="L27:N27">
    <cfRule type="cellIs" dxfId="155" priority="29" stopIfTrue="1" operator="between">
      <formula>1</formula>
      <formula>300</formula>
    </cfRule>
    <cfRule type="cellIs" dxfId="154" priority="30" stopIfTrue="1" operator="lessThanOrEqual">
      <formula>0</formula>
    </cfRule>
  </conditionalFormatting>
  <conditionalFormatting sqref="L29:N29">
    <cfRule type="cellIs" dxfId="153" priority="27" stopIfTrue="1" operator="between">
      <formula>1</formula>
      <formula>300</formula>
    </cfRule>
    <cfRule type="cellIs" dxfId="152" priority="28" stopIfTrue="1" operator="lessThanOrEqual">
      <formula>0</formula>
    </cfRule>
  </conditionalFormatting>
  <conditionalFormatting sqref="L31:N31">
    <cfRule type="cellIs" dxfId="151" priority="25" stopIfTrue="1" operator="between">
      <formula>1</formula>
      <formula>300</formula>
    </cfRule>
    <cfRule type="cellIs" dxfId="150" priority="26" stopIfTrue="1" operator="lessThanOrEqual">
      <formula>0</formula>
    </cfRule>
  </conditionalFormatting>
  <dataValidations count="6">
    <dataValidation type="list" allowBlank="1" showInputMessage="1" showErrorMessage="1" sqref="F9 F29 F31 F27 F11 F13 F15 F17 F19 F21 F23 F25" xr:uid="{0AD3A9E3-B288-46AD-93BB-999215316FE9}">
      <formula1>"11-12,13-14,15-16,17-18,19-23,24-34,+35"</formula1>
    </dataValidation>
    <dataValidation type="list" allowBlank="1" showInputMessage="1" showErrorMessage="1" prompt="Feil_i_kat. 5-kamp - Feil verdi i kategori 5-kamp" sqref="G12" xr:uid="{33C3D132-0114-4436-8B9D-7048585FCC80}">
      <formula1>"11-12,13-14,15-16,17-18,19-23,24-34,+35,35+"</formula1>
    </dataValidation>
    <dataValidation type="list" allowBlank="1" showInputMessage="1" showErrorMessage="1" sqref="E9 E29 E31 E27 E11 E13 E15 E17 E19 E21 E23 E25" xr:uid="{4CA743FB-BECA-41C9-9FD0-CAD347086D65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EBEC5D46-C1A2-418C-B01B-1D6A9A103930}">
      <formula1>"44,48,53,56,58,60,63,65,69,71,77,'+77,79,86,'+86,88,94,'+94,110,'+110"</formula1>
    </dataValidation>
    <dataValidation type="list" allowBlank="1" showInputMessage="1" showErrorMessage="1" sqref="D5:I5" xr:uid="{456A6E44-74DE-4848-AA9E-137FE5BC1CA6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7EB64A7A-E611-480A-90DD-D4673AA9BE3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264E-BB83-4917-AE3F-94BCCD324712}">
  <sheetPr>
    <pageSetUpPr autoPageBreaks="0" fitToPage="1"/>
  </sheetPr>
  <dimension ref="A1:AJ50"/>
  <sheetViews>
    <sheetView showGridLines="0" showZeros="0" showOutlineSymbols="0" topLeftCell="A2" zoomScale="90" zoomScaleNormal="90" zoomScaleSheetLayoutView="75" zoomScalePageLayoutView="120" workbookViewId="0">
      <selection activeCell="G4" sqref="G1:G1048576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hidden="1" customWidth="1"/>
    <col min="5" max="6" width="6.3984375" style="16" customWidth="1"/>
    <col min="7" max="7" width="10.59765625" style="1" hidden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35" t="s">
        <v>57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83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36" t="s">
        <v>21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85" t="s">
        <v>59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55" t="s">
        <v>61</v>
      </c>
      <c r="E5" s="255"/>
      <c r="F5" s="255"/>
      <c r="G5" s="255"/>
      <c r="H5" s="255"/>
      <c r="I5" s="255"/>
      <c r="J5" s="24" t="s">
        <v>0</v>
      </c>
      <c r="K5" s="255" t="s">
        <v>62</v>
      </c>
      <c r="L5" s="255"/>
      <c r="M5" s="255"/>
      <c r="N5" s="255"/>
      <c r="O5" s="24" t="s">
        <v>1</v>
      </c>
      <c r="P5" s="254" t="s">
        <v>63</v>
      </c>
      <c r="Q5" s="254"/>
      <c r="R5" s="254"/>
      <c r="S5" s="254"/>
      <c r="T5" s="24" t="s">
        <v>2</v>
      </c>
      <c r="U5" s="266">
        <v>45913</v>
      </c>
      <c r="V5" s="266"/>
      <c r="W5" s="55"/>
      <c r="X5" s="55"/>
      <c r="Y5" s="55"/>
      <c r="Z5" s="25" t="s">
        <v>15</v>
      </c>
      <c r="AA5" s="25"/>
      <c r="AB5" s="26">
        <v>5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4" t="s">
        <v>56</v>
      </c>
    </row>
    <row r="7" spans="1:36" s="1" customFormat="1">
      <c r="B7" s="252" t="s">
        <v>33</v>
      </c>
      <c r="C7" s="256" t="s">
        <v>52</v>
      </c>
      <c r="D7" s="256" t="s">
        <v>51</v>
      </c>
      <c r="E7" s="258" t="s">
        <v>53</v>
      </c>
      <c r="F7" s="260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4"/>
    </row>
    <row r="8" spans="1:36" s="1" customFormat="1">
      <c r="B8" s="253"/>
      <c r="C8" s="257"/>
      <c r="D8" s="257"/>
      <c r="E8" s="259"/>
      <c r="F8" s="261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206" t="s">
        <v>158</v>
      </c>
      <c r="C9" s="148" t="s">
        <v>331</v>
      </c>
      <c r="D9" s="212">
        <v>41.83</v>
      </c>
      <c r="E9" s="147" t="s">
        <v>167</v>
      </c>
      <c r="F9" s="148" t="s">
        <v>126</v>
      </c>
      <c r="G9" s="149">
        <v>40877</v>
      </c>
      <c r="H9" s="150">
        <v>3</v>
      </c>
      <c r="I9" s="151" t="s">
        <v>148</v>
      </c>
      <c r="J9" s="152" t="s">
        <v>92</v>
      </c>
      <c r="K9" s="153">
        <v>25</v>
      </c>
      <c r="L9" s="154">
        <v>-27</v>
      </c>
      <c r="M9" s="154">
        <v>27</v>
      </c>
      <c r="N9" s="153">
        <v>35</v>
      </c>
      <c r="O9" s="154">
        <v>37</v>
      </c>
      <c r="P9" s="154">
        <v>39</v>
      </c>
      <c r="Q9" s="155">
        <f>IF(MAX(K9:M9)&gt;0,IF(MAX(K9:M9)&lt;0,0,TRUNC(MAX(K9:M9)/1)*1),"")</f>
        <v>27</v>
      </c>
      <c r="R9" s="156">
        <f>IF(MAX(N9:P9)&gt;0,IF(MAX(N9:P9)&lt;0,0,TRUNC(MAX(N9:P9)/1)*1),"")</f>
        <v>39</v>
      </c>
      <c r="S9" s="156">
        <f>IF(Q9="","",IF(R9="","",IF(SUM(Q9:R9)=0,"",SUM(Q9:R9))))</f>
        <v>66</v>
      </c>
      <c r="T9" s="157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117.7834068386645</v>
      </c>
      <c r="U9" s="158" t="str">
        <f>IF(AF9=1,T9*AI9,"")</f>
        <v/>
      </c>
      <c r="V9" s="159">
        <v>6.58</v>
      </c>
      <c r="W9" s="159">
        <v>9</v>
      </c>
      <c r="X9" s="159">
        <v>7.5</v>
      </c>
      <c r="Y9" s="157"/>
      <c r="Z9" s="160"/>
      <c r="AA9" s="160" t="s">
        <v>303</v>
      </c>
      <c r="AB9" s="161"/>
      <c r="AC9" s="68">
        <f>U5</f>
        <v>45913</v>
      </c>
      <c r="AD9" s="69" t="str">
        <f>IF(ISNUMBER(FIND("M",E9)),"m",IF(ISNUMBER(FIND("K",E9)),"k"))</f>
        <v>k</v>
      </c>
      <c r="AE9" s="67">
        <f>IF(OR(G9="",AC9=""),0,(YEAR(AC9)-YEAR(G9)))</f>
        <v>14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2.0895103280191458</v>
      </c>
    </row>
    <row r="10" spans="1:36" s="8" customFormat="1" ht="20" customHeight="1">
      <c r="B10" s="207"/>
      <c r="C10" s="94"/>
      <c r="D10" s="210"/>
      <c r="E10" s="94"/>
      <c r="F10" s="95"/>
      <c r="G10" s="96"/>
      <c r="H10" s="97"/>
      <c r="I10" s="98"/>
      <c r="J10" s="98"/>
      <c r="K10" s="215"/>
      <c r="L10" s="215"/>
      <c r="M10" s="215"/>
      <c r="N10" s="216"/>
      <c r="O10" s="216"/>
      <c r="P10" s="216"/>
      <c r="Q10" s="99"/>
      <c r="R10" s="94"/>
      <c r="S10" s="215">
        <f>IF(T9="","",T9*1.2)</f>
        <v>141.34008820639741</v>
      </c>
      <c r="T10" s="215"/>
      <c r="U10" s="94"/>
      <c r="V10" s="94">
        <f>IF(V9&gt;0,V9*20,"")</f>
        <v>131.6</v>
      </c>
      <c r="W10" s="94">
        <f>IF(W9="","",(W9*10)*AJ9)</f>
        <v>188.05592952172313</v>
      </c>
      <c r="X10" s="100">
        <f>IF(ROUNDUP(X9,1)&gt;0,IF((80+(8-ROUNDUP(X9,1))*40)&lt;0,0,80+(8-ROUNDUP(X9,1))*40),"")</f>
        <v>100</v>
      </c>
      <c r="Y10" s="101">
        <f>IF(SUM(V10,W10,X10)&gt;0,SUM(V10,W10,X10),"")</f>
        <v>419.65592952172312</v>
      </c>
      <c r="Z10" s="102">
        <f>IF(AE9&gt;34,(IF(OR(S10="",V10="",W10="",X10=""),"",SUM(S10,V10,W10,X10))*AI9),IF(OR(S10="",V10="",W10="",X10=""),"", SUM(S10,V10,W10,X10)))</f>
        <v>560.99601772812048</v>
      </c>
      <c r="AA10" s="102"/>
      <c r="AB10" s="103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208" t="s">
        <v>159</v>
      </c>
      <c r="C11" s="107" t="s">
        <v>332</v>
      </c>
      <c r="D11" s="211">
        <v>45.19</v>
      </c>
      <c r="E11" s="147" t="s">
        <v>167</v>
      </c>
      <c r="F11" s="148" t="s">
        <v>126</v>
      </c>
      <c r="G11" s="108">
        <v>41055</v>
      </c>
      <c r="H11" s="109">
        <v>4</v>
      </c>
      <c r="I11" s="110" t="s">
        <v>149</v>
      </c>
      <c r="J11" s="111" t="s">
        <v>92</v>
      </c>
      <c r="K11" s="112">
        <v>31</v>
      </c>
      <c r="L11" s="113">
        <v>-34</v>
      </c>
      <c r="M11" s="113">
        <v>-34</v>
      </c>
      <c r="N11" s="112">
        <v>42</v>
      </c>
      <c r="O11" s="113">
        <v>-45</v>
      </c>
      <c r="P11" s="113">
        <v>46</v>
      </c>
      <c r="Q11" s="114">
        <f>IF(MAX(K11:M11)&gt;0,IF(MAX(K11:M11)&lt;0,0,TRUNC(MAX(K11:M11)/1)*1),"")</f>
        <v>31</v>
      </c>
      <c r="R11" s="115">
        <f>IF(MAX(N11:P11)&gt;0,IF(MAX(N11:P11)&lt;0,0,TRUNC(MAX(N11:P11)/1)*1),"")</f>
        <v>46</v>
      </c>
      <c r="S11" s="115">
        <f>IF(Q11="","",IF(R11="","",IF(SUM(Q11:R11)=0,"",SUM(Q11:R11))))</f>
        <v>77</v>
      </c>
      <c r="T11" s="116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128.5458816361556</v>
      </c>
      <c r="U11" s="117" t="str">
        <f>IF(AF11=1,T11*AI11,"")</f>
        <v/>
      </c>
      <c r="V11" s="118">
        <v>6.44</v>
      </c>
      <c r="W11" s="118">
        <v>9.2899999999999991</v>
      </c>
      <c r="X11" s="118">
        <v>7.6</v>
      </c>
      <c r="Y11" s="119"/>
      <c r="Z11" s="120"/>
      <c r="AA11" s="120" t="s">
        <v>305</v>
      </c>
      <c r="AB11" s="121"/>
      <c r="AC11" s="66">
        <f>U5</f>
        <v>45913</v>
      </c>
      <c r="AD11" s="69" t="str">
        <f>IF(ISNUMBER(FIND("M",E11)),"m",IF(ISNUMBER(FIND("K",E11)),"k"))</f>
        <v>k</v>
      </c>
      <c r="AE11" s="67">
        <f>IF(OR(G11="",AC11=""),0,(YEAR(AC11)-YEAR(G11)))</f>
        <v>13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1.9434886214018803</v>
      </c>
    </row>
    <row r="12" spans="1:36" s="8" customFormat="1" ht="20" customHeight="1">
      <c r="B12" s="104"/>
      <c r="C12" s="94"/>
      <c r="D12" s="210"/>
      <c r="E12" s="94"/>
      <c r="F12" s="95"/>
      <c r="G12" s="96"/>
      <c r="H12" s="97"/>
      <c r="I12" s="98"/>
      <c r="J12" s="98"/>
      <c r="K12" s="215"/>
      <c r="L12" s="215"/>
      <c r="M12" s="215"/>
      <c r="N12" s="216"/>
      <c r="O12" s="216"/>
      <c r="P12" s="216"/>
      <c r="Q12" s="99"/>
      <c r="R12" s="94"/>
      <c r="S12" s="215">
        <f>IF(T11="","",T11*1.2)</f>
        <v>154.25505796338672</v>
      </c>
      <c r="T12" s="215"/>
      <c r="U12" s="102"/>
      <c r="V12" s="94">
        <f>IF(V11&gt;0,V11*20,"")</f>
        <v>128.80000000000001</v>
      </c>
      <c r="W12" s="94">
        <f>IF(W11="","",(W11*10)*AJ11)</f>
        <v>180.55009292823465</v>
      </c>
      <c r="X12" s="100">
        <f>IF(ROUNDUP(X11,1)&gt;0,IF((80+(8-ROUNDUP(X11,1))*40)&lt;0,0,80+(8-ROUNDUP(X11,1))*40),"")</f>
        <v>96.000000000000014</v>
      </c>
      <c r="Y12" s="101">
        <f>IF(SUM(V12,W12,X12)&gt;0,SUM(V12,W12,X12),"")</f>
        <v>405.35009292823463</v>
      </c>
      <c r="Z12" s="102">
        <f>IF(AE11&gt;34,(IF(OR(S12="",V12="",W12="",X12=""),"",SUM(S12,V12,W12,X12))*AI11),IF(OR(S12="",V12="",W12="",X12=""),"", SUM(S12,V12,W12,X12)))</f>
        <v>559.60515089162141</v>
      </c>
      <c r="AA12" s="102"/>
      <c r="AB12" s="103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2" t="s">
        <v>160</v>
      </c>
      <c r="C13" s="105" t="s">
        <v>331</v>
      </c>
      <c r="D13" s="211">
        <v>41.65</v>
      </c>
      <c r="E13" s="147" t="s">
        <v>167</v>
      </c>
      <c r="F13" s="148" t="s">
        <v>126</v>
      </c>
      <c r="G13" s="108">
        <v>40848</v>
      </c>
      <c r="H13" s="109">
        <v>6</v>
      </c>
      <c r="I13" s="110" t="s">
        <v>150</v>
      </c>
      <c r="J13" s="111" t="s">
        <v>134</v>
      </c>
      <c r="K13" s="112">
        <v>39</v>
      </c>
      <c r="L13" s="113">
        <v>41</v>
      </c>
      <c r="M13" s="113">
        <v>43</v>
      </c>
      <c r="N13" s="112">
        <v>50</v>
      </c>
      <c r="O13" s="113">
        <v>53</v>
      </c>
      <c r="P13" s="113">
        <v>55</v>
      </c>
      <c r="Q13" s="114">
        <f>IF(MAX(K13:M13)&gt;0,IF(MAX(K13:M13)&lt;0,0,TRUNC(MAX(K13:M13)/1)*1),"")</f>
        <v>43</v>
      </c>
      <c r="R13" s="115">
        <f>IF(MAX(N13:P13)&gt;0,IF(MAX(N13:P13)&lt;0,0,TRUNC(MAX(N13:P13)/1)*1),"")</f>
        <v>55</v>
      </c>
      <c r="S13" s="115">
        <f>IF(Q13="","",IF(R13="","",IF(SUM(Q13:R13)=0,"",SUM(Q13:R13))))</f>
        <v>98</v>
      </c>
      <c r="T13" s="11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175.56405246260232</v>
      </c>
      <c r="U13" s="117" t="str">
        <f>IF(AF13=1,T13*AI13,"")</f>
        <v/>
      </c>
      <c r="V13" s="118">
        <v>6.33</v>
      </c>
      <c r="W13" s="118">
        <v>8.84</v>
      </c>
      <c r="X13" s="118">
        <v>7.7</v>
      </c>
      <c r="Y13" s="123"/>
      <c r="Z13" s="120"/>
      <c r="AA13" s="120" t="s">
        <v>304</v>
      </c>
      <c r="AB13" s="121"/>
      <c r="AC13" s="66">
        <f>U5</f>
        <v>45913</v>
      </c>
      <c r="AD13" s="69" t="str">
        <f>IF(ISNUMBER(FIND("M",E13)),"m",IF(ISNUMBER(FIND("K",E13)),"k"))</f>
        <v>k</v>
      </c>
      <c r="AE13" s="67">
        <f>IF(OR(G13="",AC13=""),0,(YEAR(AC13)-YEAR(G13)))</f>
        <v>14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2.0982081662534857</v>
      </c>
    </row>
    <row r="14" spans="1:36" s="8" customFormat="1" ht="20" customHeight="1">
      <c r="B14" s="104"/>
      <c r="C14" s="94"/>
      <c r="D14" s="210"/>
      <c r="E14" s="94"/>
      <c r="F14" s="95"/>
      <c r="G14" s="96"/>
      <c r="H14" s="97"/>
      <c r="I14" s="98"/>
      <c r="J14" s="98"/>
      <c r="K14" s="215"/>
      <c r="L14" s="215"/>
      <c r="M14" s="215"/>
      <c r="N14" s="216"/>
      <c r="O14" s="216"/>
      <c r="P14" s="216"/>
      <c r="Q14" s="99"/>
      <c r="R14" s="94"/>
      <c r="S14" s="215">
        <f>IF(T13="","",T13*1.2)</f>
        <v>210.67686295512277</v>
      </c>
      <c r="T14" s="215"/>
      <c r="U14" s="94"/>
      <c r="V14" s="94">
        <f>IF(V13&gt;0,V13*20,"")</f>
        <v>126.6</v>
      </c>
      <c r="W14" s="94">
        <f>IF(W13="","",(W13*10)*AJ13)</f>
        <v>185.48160189680814</v>
      </c>
      <c r="X14" s="100">
        <f>IF(ROUNDUP(X13,1)&gt;0,IF((80+(8-ROUNDUP(X13,1))*40)&lt;0,0,80+(8-ROUNDUP(X13,1))*40),"")</f>
        <v>92</v>
      </c>
      <c r="Y14" s="101">
        <f>IF(SUM(V14,W14,X14)&gt;0,SUM(V14,W14,X14),"")</f>
        <v>404.08160189680814</v>
      </c>
      <c r="Z14" s="102">
        <f>IF(AE13&gt;34,(IF(OR(S14="",V14="",W14="",X14=""),"",SUM(S14,V14,W14,X14))*AI13),IF(OR(S14="",V14="",W14="",X14=""),"", SUM(S14,V14,W14,X14)))</f>
        <v>614.75846485193085</v>
      </c>
      <c r="AA14" s="102"/>
      <c r="AB14" s="103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2" t="s">
        <v>161</v>
      </c>
      <c r="C15" s="105" t="s">
        <v>318</v>
      </c>
      <c r="D15" s="211">
        <v>70.290000000000006</v>
      </c>
      <c r="E15" s="147" t="s">
        <v>167</v>
      </c>
      <c r="F15" s="148" t="s">
        <v>126</v>
      </c>
      <c r="G15" s="108">
        <v>40831</v>
      </c>
      <c r="H15" s="109">
        <v>8</v>
      </c>
      <c r="I15" s="110" t="s">
        <v>151</v>
      </c>
      <c r="J15" s="111" t="s">
        <v>106</v>
      </c>
      <c r="K15" s="112">
        <v>33</v>
      </c>
      <c r="L15" s="113">
        <v>35</v>
      </c>
      <c r="M15" s="113">
        <v>-37</v>
      </c>
      <c r="N15" s="112">
        <v>44</v>
      </c>
      <c r="O15" s="113">
        <v>47</v>
      </c>
      <c r="P15" s="113">
        <v>-49</v>
      </c>
      <c r="Q15" s="114">
        <f>IF(MAX(K15:M15)&gt;0,IF(MAX(K15:M15)&lt;0,0,TRUNC(MAX(K15:M15)/1)*1),"")</f>
        <v>35</v>
      </c>
      <c r="R15" s="115">
        <f>IF(MAX(N15:P15)&gt;0,IF(MAX(N15:P15)&lt;0,0,TRUNC(MAX(N15:P15)/1)*1),"")</f>
        <v>47</v>
      </c>
      <c r="S15" s="115">
        <f>IF(Q15="","",IF(R15="","",IF(SUM(Q15:R15)=0,"",SUM(Q15:R15))))</f>
        <v>82</v>
      </c>
      <c r="T15" s="11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101.10209883410469</v>
      </c>
      <c r="U15" s="117" t="str">
        <f>IF(AF15=1,T15*AI15,"")</f>
        <v/>
      </c>
      <c r="V15" s="118">
        <v>4.72</v>
      </c>
      <c r="W15" s="118">
        <v>7.82</v>
      </c>
      <c r="X15" s="118">
        <v>9.1</v>
      </c>
      <c r="Y15" s="119"/>
      <c r="Z15" s="120"/>
      <c r="AA15" s="120" t="s">
        <v>306</v>
      </c>
      <c r="AB15" s="121"/>
      <c r="AC15" s="66">
        <f>U5</f>
        <v>45913</v>
      </c>
      <c r="AD15" s="69" t="str">
        <f>IF(ISNUMBER(FIND("M",E15)),"m",IF(ISNUMBER(FIND("K",E15)),"k"))</f>
        <v>k</v>
      </c>
      <c r="AE15" s="67">
        <f>IF(OR(G15="",AC15=""),0,(YEAR(AC15)-YEAR(G15)))</f>
        <v>14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1.3802163789277069</v>
      </c>
    </row>
    <row r="16" spans="1:36" s="8" customFormat="1" ht="20" customHeight="1">
      <c r="B16" s="104"/>
      <c r="C16" s="94"/>
      <c r="D16" s="210"/>
      <c r="E16" s="94"/>
      <c r="F16" s="95"/>
      <c r="G16" s="96"/>
      <c r="H16" s="97"/>
      <c r="I16" s="98"/>
      <c r="J16" s="98"/>
      <c r="K16" s="215"/>
      <c r="L16" s="215"/>
      <c r="M16" s="215"/>
      <c r="N16" s="216"/>
      <c r="O16" s="216"/>
      <c r="P16" s="216"/>
      <c r="Q16" s="136"/>
      <c r="R16" s="137"/>
      <c r="S16" s="215">
        <f>IF(T15="","",T15*1.2)</f>
        <v>121.32251860092563</v>
      </c>
      <c r="T16" s="215"/>
      <c r="U16" s="94"/>
      <c r="V16" s="94">
        <f>IF(V15&gt;0,V15*20,"")</f>
        <v>94.399999999999991</v>
      </c>
      <c r="W16" s="94">
        <f>IF(W15="","",(W15*10)*AJ15)</f>
        <v>107.93292083214668</v>
      </c>
      <c r="X16" s="100">
        <f>IF(ROUNDUP(X15,1)&gt;0,IF((80+(8-ROUNDUP(X15,1))*40)&lt;0,0,80+(8-ROUNDUP(X15,1))*40),"")</f>
        <v>36.000000000000014</v>
      </c>
      <c r="Y16" s="101">
        <f>IF(SUM(V16,W16,X16)&gt;0,SUM(V16,W16,X16),"")</f>
        <v>238.33292083214667</v>
      </c>
      <c r="Z16" s="102">
        <f>IF(AE15&gt;34,(IF(OR(S16="",V16="",W16="",X16=""),"",SUM(S16,V16,W16,X16))*AI15),IF(OR(S16="",V16="",W16="",X16=""),"", SUM(S16,V16,W16,X16)))</f>
        <v>359.65543943307233</v>
      </c>
      <c r="AA16" s="102"/>
      <c r="AB16" s="103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2">
        <v>0</v>
      </c>
      <c r="C17" s="105"/>
      <c r="D17" s="211"/>
      <c r="E17" s="105"/>
      <c r="F17" s="107"/>
      <c r="G17" s="108"/>
      <c r="H17" s="109">
        <v>0</v>
      </c>
      <c r="I17" s="124">
        <v>0</v>
      </c>
      <c r="J17" s="111">
        <v>0</v>
      </c>
      <c r="K17" s="112"/>
      <c r="L17" s="113"/>
      <c r="M17" s="113"/>
      <c r="N17" s="112"/>
      <c r="O17" s="113"/>
      <c r="P17" s="113"/>
      <c r="Q17" s="114" t="str">
        <f>IF(MAX(K17:M17)&gt;0,IF(MAX(K17:M17)&lt;0,0,TRUNC(MAX(K17:M17)/1)*1),"")</f>
        <v/>
      </c>
      <c r="R17" s="115" t="str">
        <f>IF(MAX(N17:P17)&gt;0,IF(MAX(N17:P17)&lt;0,0,TRUNC(MAX(N17:P17)/1)*1),"")</f>
        <v/>
      </c>
      <c r="S17" s="125" t="str">
        <f>IF(Q17="","",IF(R17="","",IF(SUM(Q17:R17)=0,"",SUM(Q17:R17))))</f>
        <v/>
      </c>
      <c r="T17" s="116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7" t="str">
        <f>IF(AF17=1,T17*AI17,"")</f>
        <v/>
      </c>
      <c r="V17" s="118"/>
      <c r="W17" s="118"/>
      <c r="X17" s="118"/>
      <c r="Y17" s="119"/>
      <c r="Z17" s="120"/>
      <c r="AA17" s="120"/>
      <c r="AB17" s="121"/>
      <c r="AC17" s="66">
        <f>U5</f>
        <v>45913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>
      <c r="B18" s="104"/>
      <c r="C18" s="94"/>
      <c r="D18" s="210"/>
      <c r="E18" s="94"/>
      <c r="F18" s="95"/>
      <c r="G18" s="96"/>
      <c r="H18" s="97"/>
      <c r="I18" s="98"/>
      <c r="J18" s="98"/>
      <c r="K18" s="215"/>
      <c r="L18" s="215"/>
      <c r="M18" s="215"/>
      <c r="N18" s="216"/>
      <c r="O18" s="216"/>
      <c r="P18" s="216"/>
      <c r="Q18" s="99"/>
      <c r="R18" s="94"/>
      <c r="S18" s="215" t="str">
        <f>IF(T17="","",T17*1.2)</f>
        <v/>
      </c>
      <c r="T18" s="215"/>
      <c r="U18" s="94"/>
      <c r="V18" s="94" t="str">
        <f>IF(V17&gt;0,V17*20,"")</f>
        <v/>
      </c>
      <c r="W18" s="94" t="str">
        <f>IF(W17="","",(W17*10)*AJ17)</f>
        <v/>
      </c>
      <c r="X18" s="100" t="str">
        <f>IF(ROUNDUP(X17,1)&gt;0,IF((80+(8-ROUNDUP(X17,1))*40)&lt;0,0,80+(8-ROUNDUP(X17,1))*40),"")</f>
        <v/>
      </c>
      <c r="Y18" s="101" t="str">
        <f>IF(SUM(V18,W18,X18)&gt;0,SUM(V18,W18,X18),"")</f>
        <v/>
      </c>
      <c r="Z18" s="102" t="str">
        <f>IF(AE17&gt;34,(IF(OR(S18="",V18="",W18="",X18=""),"",SUM(S18,V18,W18,X18))*AI17),IF(OR(S18="",V18="",W18="",X18=""),"", SUM(S18,V18,W18,X18)))</f>
        <v/>
      </c>
      <c r="AA18" s="102"/>
      <c r="AB18" s="103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2" t="s">
        <v>162</v>
      </c>
      <c r="C19" s="105" t="s">
        <v>311</v>
      </c>
      <c r="D19" s="211">
        <v>64.489999999999995</v>
      </c>
      <c r="E19" s="105" t="s">
        <v>167</v>
      </c>
      <c r="F19" s="107" t="s">
        <v>147</v>
      </c>
      <c r="G19" s="108">
        <v>39121</v>
      </c>
      <c r="H19" s="109">
        <v>1</v>
      </c>
      <c r="I19" s="124" t="s">
        <v>152</v>
      </c>
      <c r="J19" s="111" t="s">
        <v>67</v>
      </c>
      <c r="K19" s="112">
        <v>44</v>
      </c>
      <c r="L19" s="113">
        <v>46</v>
      </c>
      <c r="M19" s="113">
        <v>48</v>
      </c>
      <c r="N19" s="112">
        <v>58</v>
      </c>
      <c r="O19" s="113">
        <v>60</v>
      </c>
      <c r="P19" s="113">
        <v>62</v>
      </c>
      <c r="Q19" s="114">
        <f>IF(MAX(K19:M19)&gt;0,IF(MAX(K19:M19)&lt;0,0,TRUNC(MAX(K19:M19)/1)*1),"")</f>
        <v>48</v>
      </c>
      <c r="R19" s="115">
        <f>IF(MAX(N19:P19)&gt;0,IF(MAX(N19:P19)&lt;0,0,TRUNC(MAX(N19:P19)/1)*1),"")</f>
        <v>62</v>
      </c>
      <c r="S19" s="125">
        <f>IF(Q19="","",IF(R19="","",IF(SUM(Q19:R19)=0,"",SUM(Q19:R19))))</f>
        <v>110</v>
      </c>
      <c r="T19" s="116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142.38104272710157</v>
      </c>
      <c r="U19" s="117" t="str">
        <f>IF(AF19=1,T19*AI19,"")</f>
        <v/>
      </c>
      <c r="V19" s="118">
        <v>5.63</v>
      </c>
      <c r="W19" s="118">
        <v>6.8</v>
      </c>
      <c r="X19" s="118">
        <v>7.9</v>
      </c>
      <c r="Y19" s="119"/>
      <c r="Z19" s="120"/>
      <c r="AA19" s="120" t="s">
        <v>306</v>
      </c>
      <c r="AB19" s="121"/>
      <c r="AC19" s="66">
        <f>U5</f>
        <v>45913</v>
      </c>
      <c r="AD19" s="69" t="str">
        <f>IF(ISNUMBER(FIND("M",E19)),"m",IF(ISNUMBER(FIND("K",E19)),"k"))</f>
        <v>k</v>
      </c>
      <c r="AE19" s="67">
        <f>IF(OR(G19="",AC19=""),0,(YEAR(AC19)-YEAR(G19)))</f>
        <v>18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6">
        <f>IF(D19="","",IF(D19&gt;193.609,1,IF(D19&lt;32,10^(0.722762521*LOG10(32/193.609)^2),10^(0.722762521*LOG10(D19/193.609)^2))))</f>
        <v>1.4613298082223611</v>
      </c>
    </row>
    <row r="20" spans="2:36" s="8" customFormat="1" ht="20" customHeight="1">
      <c r="B20" s="104"/>
      <c r="C20" s="94"/>
      <c r="D20" s="210"/>
      <c r="E20" s="94"/>
      <c r="F20" s="95"/>
      <c r="G20" s="96"/>
      <c r="H20" s="97"/>
      <c r="I20" s="98"/>
      <c r="J20" s="98"/>
      <c r="K20" s="215"/>
      <c r="L20" s="215"/>
      <c r="M20" s="215"/>
      <c r="N20" s="216"/>
      <c r="O20" s="216"/>
      <c r="P20" s="216"/>
      <c r="Q20" s="99"/>
      <c r="R20" s="94"/>
      <c r="S20" s="215">
        <f>IF(T19="","",T19*1.2)</f>
        <v>170.85725127252189</v>
      </c>
      <c r="T20" s="215"/>
      <c r="U20" s="94"/>
      <c r="V20" s="94">
        <f>IF(V19&gt;0,V19*20,"")</f>
        <v>112.6</v>
      </c>
      <c r="W20" s="94">
        <f>IF(W19="","",(W19*10)*AJ19)</f>
        <v>99.37042695912055</v>
      </c>
      <c r="X20" s="100">
        <f>IF(ROUNDUP(X19,1)&gt;0,IF((80+(8-ROUNDUP(X19,1))*40)&lt;0,0,80+(8-ROUNDUP(X19,1))*40),"")</f>
        <v>83.999999999999986</v>
      </c>
      <c r="Y20" s="101">
        <f>IF(SUM(V20,W20,X20)&gt;0,SUM(V20,W20,X20),"")</f>
        <v>295.97042695912052</v>
      </c>
      <c r="Z20" s="102">
        <f>IF(AE19&gt;34,(IF(OR(S20="",V20="",W20="",X20=""),"",SUM(S20,V20,W20,X20))*AI19),IF(OR(S20="",V20="",W20="",X20=""),"", SUM(S20,V20,W20,X20)))</f>
        <v>466.82767823164244</v>
      </c>
      <c r="AA20" s="102"/>
      <c r="AB20" s="103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2" t="s">
        <v>163</v>
      </c>
      <c r="C21" s="105" t="s">
        <v>311</v>
      </c>
      <c r="D21" s="211">
        <v>66.95</v>
      </c>
      <c r="E21" s="105" t="s">
        <v>167</v>
      </c>
      <c r="F21" s="107" t="s">
        <v>147</v>
      </c>
      <c r="G21" s="108">
        <v>39505</v>
      </c>
      <c r="H21" s="109">
        <v>2</v>
      </c>
      <c r="I21" s="110" t="s">
        <v>153</v>
      </c>
      <c r="J21" s="111" t="s">
        <v>129</v>
      </c>
      <c r="K21" s="112">
        <v>-60</v>
      </c>
      <c r="L21" s="113">
        <v>60</v>
      </c>
      <c r="M21" s="113">
        <v>63</v>
      </c>
      <c r="N21" s="112">
        <v>78</v>
      </c>
      <c r="O21" s="113">
        <v>80</v>
      </c>
      <c r="P21" s="113">
        <v>81</v>
      </c>
      <c r="Q21" s="114">
        <f>IF(MAX(K21:M21)&gt;0,IF(MAX(K21:M21)&lt;0,0,TRUNC(MAX(K21:M21)/1)*1),"")</f>
        <v>63</v>
      </c>
      <c r="R21" s="115">
        <f>IF(MAX(N21:P21)&gt;0,IF(MAX(N21:P21)&lt;0,0,TRUNC(MAX(N21:P21)/1)*1),"")</f>
        <v>81</v>
      </c>
      <c r="S21" s="125">
        <f>IF(Q21="","",IF(R21="","",IF(SUM(Q21:R21)=0,"",SUM(Q21:R21))))</f>
        <v>144</v>
      </c>
      <c r="T21" s="11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182.37848337307994</v>
      </c>
      <c r="U21" s="117" t="str">
        <f>IF(AF21=1,T21*AI21,"")</f>
        <v/>
      </c>
      <c r="V21" s="118">
        <v>6.63</v>
      </c>
      <c r="W21" s="118">
        <v>9.2799999999999994</v>
      </c>
      <c r="X21" s="118">
        <v>7.4</v>
      </c>
      <c r="Y21" s="119"/>
      <c r="Z21" s="120"/>
      <c r="AA21" s="120" t="s">
        <v>304</v>
      </c>
      <c r="AB21" s="121"/>
      <c r="AC21" s="66">
        <f>U5</f>
        <v>45913</v>
      </c>
      <c r="AD21" s="69" t="str">
        <f>IF(ISNUMBER(FIND("M",E21)),"m",IF(ISNUMBER(FIND("K",E21)),"k"))</f>
        <v>k</v>
      </c>
      <c r="AE21" s="67">
        <f>IF(OR(G21="",AC21=""),0,(YEAR(AC21)-YEAR(G21)))</f>
        <v>17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6">
        <f>IF(D21="","",IF(D21&gt;193.609,1,IF(D21&lt;32,10^(0.722762521*LOG10(32/193.609)^2),10^(0.722762521*LOG10(D21/193.609)^2))))</f>
        <v>1.4246849194413269</v>
      </c>
    </row>
    <row r="22" spans="2:36" s="8" customFormat="1" ht="20" customHeight="1">
      <c r="B22" s="104"/>
      <c r="C22" s="94"/>
      <c r="D22" s="210"/>
      <c r="E22" s="94"/>
      <c r="F22" s="95"/>
      <c r="G22" s="96"/>
      <c r="H22" s="97"/>
      <c r="I22" s="98"/>
      <c r="J22" s="98"/>
      <c r="K22" s="215"/>
      <c r="L22" s="215"/>
      <c r="M22" s="215"/>
      <c r="N22" s="216"/>
      <c r="O22" s="216"/>
      <c r="P22" s="216"/>
      <c r="Q22" s="99"/>
      <c r="R22" s="94"/>
      <c r="S22" s="215">
        <f>IF(T21="","",T21*1.2)</f>
        <v>218.85418004769593</v>
      </c>
      <c r="T22" s="215"/>
      <c r="U22" s="94"/>
      <c r="V22" s="94">
        <f>IF(V21&gt;0,V21*20,"")</f>
        <v>132.6</v>
      </c>
      <c r="W22" s="94">
        <f>IF(W21="","",(W21*10)*AJ21)</f>
        <v>132.21076052415512</v>
      </c>
      <c r="X22" s="100">
        <f>IF(ROUNDUP(X21,1)&gt;0,IF((80+(8-ROUNDUP(X21,1))*40)&lt;0,0,80+(8-ROUNDUP(X21,1))*40),"")</f>
        <v>103.99999999999999</v>
      </c>
      <c r="Y22" s="101">
        <f>IF(SUM(V22,W22,X22)&gt;0,SUM(V22,W22,X22),"")</f>
        <v>368.81076052415511</v>
      </c>
      <c r="Z22" s="102">
        <f>IF(AE21&gt;34,(IF(OR(S22="",V22="",W22="",X22=""),"",SUM(S22,V22,W22,X22))*AI21),IF(OR(S22="",V22="",W22="",X22=""),"", SUM(S22,V22,W22,X22)))</f>
        <v>587.66494057185105</v>
      </c>
      <c r="AA22" s="102"/>
      <c r="AB22" s="103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2" t="s">
        <v>164</v>
      </c>
      <c r="C23" s="105" t="s">
        <v>310</v>
      </c>
      <c r="D23" s="211">
        <v>61.33</v>
      </c>
      <c r="E23" s="105" t="s">
        <v>167</v>
      </c>
      <c r="F23" s="107" t="s">
        <v>147</v>
      </c>
      <c r="G23" s="108">
        <v>39229</v>
      </c>
      <c r="H23" s="109">
        <v>5</v>
      </c>
      <c r="I23" s="110" t="s">
        <v>154</v>
      </c>
      <c r="J23" s="111" t="s">
        <v>155</v>
      </c>
      <c r="K23" s="112">
        <v>46</v>
      </c>
      <c r="L23" s="113">
        <v>-49</v>
      </c>
      <c r="M23" s="113">
        <v>-49</v>
      </c>
      <c r="N23" s="112">
        <v>60</v>
      </c>
      <c r="O23" s="113">
        <v>-63</v>
      </c>
      <c r="P23" s="113">
        <v>63</v>
      </c>
      <c r="Q23" s="114">
        <f>IF(MAX(K23:M23)&gt;0,IF(MAX(K23:M23)&lt;0,0,TRUNC(MAX(K23:M23)/1)*1),"")</f>
        <v>46</v>
      </c>
      <c r="R23" s="115">
        <f>IF(MAX(N23:P23)&gt;0,IF(MAX(N23:P23)&lt;0,0,TRUNC(MAX(N23:P23)/1)*1),"")</f>
        <v>63</v>
      </c>
      <c r="S23" s="125">
        <f>IF(Q23="","",IF(R23="","",IF(SUM(Q23:R23)=0,"",SUM(Q23:R23))))</f>
        <v>109</v>
      </c>
      <c r="T23" s="116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145.48562857663401</v>
      </c>
      <c r="U23" s="117" t="str">
        <f>IF(AF23=1,T23*AI23,"")</f>
        <v/>
      </c>
      <c r="V23" s="118">
        <v>6.92</v>
      </c>
      <c r="W23" s="118">
        <v>8</v>
      </c>
      <c r="X23" s="118">
        <v>7.1</v>
      </c>
      <c r="Y23" s="119"/>
      <c r="Z23" s="120"/>
      <c r="AA23" s="120" t="s">
        <v>303</v>
      </c>
      <c r="AB23" s="121"/>
      <c r="AC23" s="66">
        <f>U5</f>
        <v>45913</v>
      </c>
      <c r="AD23" s="69" t="str">
        <f>IF(ISNUMBER(FIND("M",E23)),"m",IF(ISNUMBER(FIND("K",E23)),"k"))</f>
        <v>k</v>
      </c>
      <c r="AE23" s="82">
        <f>IF(OR(G23="",AC23=""),0,(YEAR(AC23)-YEAR(G23)))</f>
        <v>18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6">
        <f>IF(D23="","",IF(D23&gt;193.609,1,IF(D23&lt;32,10^(0.722762521*LOG10(32/193.609)^2),10^(0.722762521*LOG10(D23/193.609)^2))))</f>
        <v>1.5140869796770031</v>
      </c>
    </row>
    <row r="24" spans="2:36" s="8" customFormat="1" ht="20" customHeight="1">
      <c r="B24" s="104"/>
      <c r="C24" s="94"/>
      <c r="D24" s="210"/>
      <c r="E24" s="94"/>
      <c r="F24" s="95"/>
      <c r="G24" s="96"/>
      <c r="H24" s="97"/>
      <c r="I24" s="98"/>
      <c r="J24" s="98"/>
      <c r="K24" s="215"/>
      <c r="L24" s="215"/>
      <c r="M24" s="215"/>
      <c r="N24" s="216"/>
      <c r="O24" s="216"/>
      <c r="P24" s="216"/>
      <c r="Q24" s="99"/>
      <c r="R24" s="94"/>
      <c r="S24" s="215">
        <f>IF(T23="","",T23*1.2)</f>
        <v>174.58275429196081</v>
      </c>
      <c r="T24" s="215"/>
      <c r="U24" s="94"/>
      <c r="V24" s="94">
        <f>IF(V23&gt;0,V23*20,"")</f>
        <v>138.4</v>
      </c>
      <c r="W24" s="94">
        <f>IF(W23="","",(W23*10)*AJ23)</f>
        <v>121.12695837416025</v>
      </c>
      <c r="X24" s="100">
        <f>IF(ROUNDUP(X23,1)&gt;0,IF((80+(8-ROUNDUP(X23,1))*40)&lt;0,0,80+(8-ROUNDUP(X23,1))*40),"")</f>
        <v>116.00000000000001</v>
      </c>
      <c r="Y24" s="101">
        <f>IF(SUM(V24,W24,X24)&gt;0,SUM(V24,W24,X24),"")</f>
        <v>375.52695837416024</v>
      </c>
      <c r="Z24" s="102">
        <f>IF(AE23&gt;34,(IF(OR(S24="",V24="",W24="",X24=""),"",SUM(S24,V24,W24,X24))*AI23),IF(OR(S24="",V24="",W24="",X24=""),"", SUM(S24,V24,W24,X24)))</f>
        <v>550.10971266612114</v>
      </c>
      <c r="AA24" s="102"/>
      <c r="AB24" s="103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2" t="s">
        <v>165</v>
      </c>
      <c r="C25" s="105" t="s">
        <v>311</v>
      </c>
      <c r="D25" s="211">
        <v>65.97</v>
      </c>
      <c r="E25" s="105" t="s">
        <v>167</v>
      </c>
      <c r="F25" s="107" t="s">
        <v>147</v>
      </c>
      <c r="G25" s="108">
        <v>39619</v>
      </c>
      <c r="H25" s="109">
        <v>7</v>
      </c>
      <c r="I25" s="110" t="s">
        <v>156</v>
      </c>
      <c r="J25" s="111" t="s">
        <v>129</v>
      </c>
      <c r="K25" s="112">
        <v>58</v>
      </c>
      <c r="L25" s="113">
        <v>-61</v>
      </c>
      <c r="M25" s="113">
        <v>61</v>
      </c>
      <c r="N25" s="112">
        <v>75</v>
      </c>
      <c r="O25" s="113">
        <v>-78</v>
      </c>
      <c r="P25" s="113">
        <v>-78</v>
      </c>
      <c r="Q25" s="114">
        <f>IF(MAX(K25:M25)&gt;0,IF(MAX(K25:M25)&lt;0,0,TRUNC(MAX(K25:M25)/1)*1),"")</f>
        <v>61</v>
      </c>
      <c r="R25" s="115">
        <f>IF(MAX(N25:P25)&gt;0,IF(MAX(N25:P25)&lt;0,0,TRUNC(MAX(N25:P25)/1)*1),"")</f>
        <v>75</v>
      </c>
      <c r="S25" s="125">
        <f>IF(Q25="","",IF(R25="","",IF(SUM(Q25:R25)=0,"",SUM(Q25:R25))))</f>
        <v>136</v>
      </c>
      <c r="T25" s="116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173.70889627259132</v>
      </c>
      <c r="U25" s="117" t="str">
        <f>IF(AF25=1,T25*AI25,"")</f>
        <v/>
      </c>
      <c r="V25" s="118">
        <v>6.27</v>
      </c>
      <c r="W25" s="118">
        <v>7.83</v>
      </c>
      <c r="X25" s="118">
        <v>7.5</v>
      </c>
      <c r="Y25" s="119"/>
      <c r="Z25" s="120"/>
      <c r="AA25" s="120" t="s">
        <v>305</v>
      </c>
      <c r="AB25" s="121"/>
      <c r="AC25" s="66">
        <f>U5</f>
        <v>45913</v>
      </c>
      <c r="AD25" s="69" t="str">
        <f>IF(ISNUMBER(FIND("M",E25)),"m",IF(ISNUMBER(FIND("K",E25)),"k"))</f>
        <v>k</v>
      </c>
      <c r="AE25" s="82">
        <f>IF(OR(G25="",AC25=""),0,(YEAR(AC25)-YEAR(G25)))</f>
        <v>17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b">
        <f t="shared" ref="AI25" si="3">IF(AD25="m",AG25,IF(AD25="k",AH25,""))</f>
        <v>0</v>
      </c>
      <c r="AJ25" s="86">
        <f>IF(D25="","",IF(D25&gt;193.609,1,IF(D25&lt;32,10^(0.722762521*LOG10(32/193.609)^2),10^(0.722762521*LOG10(D25/193.609)^2))))</f>
        <v>1.4388572075624719</v>
      </c>
    </row>
    <row r="26" spans="2:36" s="8" customFormat="1" ht="20" customHeight="1">
      <c r="B26" s="104"/>
      <c r="C26" s="94"/>
      <c r="D26" s="210"/>
      <c r="E26" s="94"/>
      <c r="F26" s="95"/>
      <c r="G26" s="96"/>
      <c r="H26" s="97"/>
      <c r="I26" s="98"/>
      <c r="J26" s="98"/>
      <c r="K26" s="215"/>
      <c r="L26" s="215"/>
      <c r="M26" s="215"/>
      <c r="N26" s="216"/>
      <c r="O26" s="216"/>
      <c r="P26" s="216"/>
      <c r="Q26" s="99"/>
      <c r="R26" s="94"/>
      <c r="S26" s="215">
        <f>IF(T25="","",T25*1.2)</f>
        <v>208.45067552710958</v>
      </c>
      <c r="T26" s="215"/>
      <c r="U26" s="94"/>
      <c r="V26" s="94">
        <f>IF(V25&gt;0,V25*20,"")</f>
        <v>125.39999999999999</v>
      </c>
      <c r="W26" s="94">
        <f>IF(W25="","",(W25*10)*AJ25)</f>
        <v>112.66251935214154</v>
      </c>
      <c r="X26" s="100">
        <f>IF(ROUNDUP(X25,1)&gt;0,IF((80+(8-ROUNDUP(X25,1))*40)&lt;0,0,80+(8-ROUNDUP(X25,1))*40),"")</f>
        <v>100</v>
      </c>
      <c r="Y26" s="101">
        <f>IF(SUM(V26,W26,X26)&gt;0,SUM(V26,W26,X26),"")</f>
        <v>338.06251935214152</v>
      </c>
      <c r="Z26" s="102">
        <f>IF(AE25&gt;34,(IF(OR(S26="",V26="",W26="",X26=""),"",SUM(S26,V26,W26,X26))*AI25),IF(OR(S26="",V26="",W26="",X26=""),"", SUM(S26,V26,W26,X26)))</f>
        <v>546.51319487925116</v>
      </c>
      <c r="AA26" s="102"/>
      <c r="AB26" s="103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2" t="s">
        <v>166</v>
      </c>
      <c r="C27" s="126">
        <v>69</v>
      </c>
      <c r="D27" s="211">
        <v>67.87</v>
      </c>
      <c r="E27" s="105" t="s">
        <v>167</v>
      </c>
      <c r="F27" s="107" t="s">
        <v>147</v>
      </c>
      <c r="G27" s="129">
        <v>39742</v>
      </c>
      <c r="H27" s="105" t="s">
        <v>328</v>
      </c>
      <c r="I27" s="111" t="s">
        <v>157</v>
      </c>
      <c r="J27" s="111" t="s">
        <v>155</v>
      </c>
      <c r="K27" s="130">
        <v>44</v>
      </c>
      <c r="L27" s="131">
        <v>-46</v>
      </c>
      <c r="M27" s="131">
        <v>-46</v>
      </c>
      <c r="N27" s="131">
        <v>55</v>
      </c>
      <c r="O27" s="132">
        <v>60</v>
      </c>
      <c r="P27" s="132">
        <v>-62</v>
      </c>
      <c r="Q27" s="114">
        <f>IF(MAX(K27:M27)&gt;0,IF(MAX(K27:M27)&lt;0,0,TRUNC(MAX(K27:M27)/1)*1),"")</f>
        <v>44</v>
      </c>
      <c r="R27" s="115">
        <f>IF(MAX(N27:P27)&gt;0,IF(MAX(N27:P27)&lt;0,0,TRUNC(MAX(N27:P27)/1)*1),"")</f>
        <v>60</v>
      </c>
      <c r="S27" s="125">
        <f>IF(Q27="","",IF(R27="","",IF(SUM(Q27:R27)=0,"",SUM(Q27:R27))))</f>
        <v>104</v>
      </c>
      <c r="T27" s="116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>130.70835071372758</v>
      </c>
      <c r="U27" s="117" t="str">
        <f>IF(AF27=1,T27*AI27,"")</f>
        <v/>
      </c>
      <c r="V27" s="133">
        <v>5.5</v>
      </c>
      <c r="W27" s="133">
        <v>8.44</v>
      </c>
      <c r="X27" s="134"/>
      <c r="Y27" s="119"/>
      <c r="Z27" s="120"/>
      <c r="AA27" s="120"/>
      <c r="AB27" s="121"/>
      <c r="AC27" s="66">
        <f>U5</f>
        <v>45913</v>
      </c>
      <c r="AD27" s="69" t="str">
        <f>IF(ISNUMBER(FIND("M",E27)),"m",IF(ISNUMBER(FIND("K",E27)),"k"))</f>
        <v>k</v>
      </c>
      <c r="AE27" s="82">
        <f>IF(OR(G27="",AC27=""),0,(YEAR(AC27)-YEAR(G27)))</f>
        <v>17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b">
        <f t="shared" ref="AI27" si="5">IF(AD27="m",AG27,IF(AD27="k",AH27,""))</f>
        <v>0</v>
      </c>
      <c r="AJ27" s="86">
        <f>IF(D27="","",IF(D27&gt;193.609,1,IF(D27&lt;32,10^(0.722762521*LOG10(32/193.609)^2),10^(0.722762521*LOG10(D27/193.609)^2))))</f>
        <v>1.4118640048548865</v>
      </c>
    </row>
    <row r="28" spans="2:36" s="8" customFormat="1" ht="20" customHeight="1">
      <c r="B28" s="104"/>
      <c r="C28" s="138"/>
      <c r="D28" s="210"/>
      <c r="E28" s="94"/>
      <c r="F28" s="95"/>
      <c r="G28" s="139"/>
      <c r="H28" s="96"/>
      <c r="I28" s="98" t="s">
        <v>13</v>
      </c>
      <c r="J28" s="98"/>
      <c r="K28" s="216"/>
      <c r="L28" s="216"/>
      <c r="M28" s="216"/>
      <c r="N28" s="216"/>
      <c r="O28" s="216"/>
      <c r="P28" s="216"/>
      <c r="Q28" s="99"/>
      <c r="R28" s="94"/>
      <c r="S28" s="215">
        <f>IF(T27="","",T27*1.2)</f>
        <v>156.85002085647309</v>
      </c>
      <c r="T28" s="215"/>
      <c r="U28" s="94"/>
      <c r="V28" s="94">
        <f>IF(V27&gt;0,V27*20,"")</f>
        <v>110</v>
      </c>
      <c r="W28" s="94">
        <f>IF(W27="","",(W27*10)*AJ27)</f>
        <v>119.16132200975241</v>
      </c>
      <c r="X28" s="100" t="str">
        <f>IF(ROUNDUP(X27,1)&gt;0,IF((80+(8-ROUNDUP(X27,1))*40)&lt;0,0,80+(8-ROUNDUP(X27,1))*40),"")</f>
        <v/>
      </c>
      <c r="Y28" s="101">
        <f>IF(SUM(V28,W28,X28)&gt;0,SUM(V28,W28,X28),"")</f>
        <v>229.16132200975241</v>
      </c>
      <c r="Z28" s="102" t="str">
        <f>IF(AE27&gt;34,(IF(OR(S28="",V28="",W28="",X28=""),"",SUM(S28,V28,W28,X28))*AI27),IF(OR(S28="",V28="",W28="",X28=""),"", SUM(S28,V28,W28,X28)))</f>
        <v/>
      </c>
      <c r="AA28" s="102"/>
      <c r="AB28" s="103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2"/>
      <c r="C29" s="126"/>
      <c r="D29" s="106"/>
      <c r="E29" s="127"/>
      <c r="F29" s="128"/>
      <c r="G29" s="129"/>
      <c r="H29" s="105"/>
      <c r="I29" s="111"/>
      <c r="J29" s="111"/>
      <c r="K29" s="130"/>
      <c r="L29" s="131"/>
      <c r="M29" s="131"/>
      <c r="N29" s="131"/>
      <c r="O29" s="132"/>
      <c r="P29" s="132"/>
      <c r="Q29" s="114" t="str">
        <f>IF(MAX(K29:M29)&gt;0,IF(MAX(K29:M29)&lt;0,0,TRUNC(MAX(K29:M29)/1)*1),"")</f>
        <v/>
      </c>
      <c r="R29" s="115" t="str">
        <f>IF(MAX(N29:P29)&gt;0,IF(MAX(N29:P29)&lt;0,0,TRUNC(MAX(N29:P29)/1)*1),"")</f>
        <v/>
      </c>
      <c r="S29" s="125" t="str">
        <f>IF(Q29="","",IF(R29="","",IF(SUM(Q29:R29)=0,"",SUM(Q29:R29))))</f>
        <v/>
      </c>
      <c r="T29" s="116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7" t="str">
        <f>IF(AF29=1,T29*AI29,"")</f>
        <v/>
      </c>
      <c r="V29" s="118"/>
      <c r="W29" s="118"/>
      <c r="X29" s="118"/>
      <c r="Y29" s="119"/>
      <c r="Z29" s="120"/>
      <c r="AA29" s="120"/>
      <c r="AB29" s="121"/>
      <c r="AC29" s="66">
        <f>U5</f>
        <v>45913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4"/>
      <c r="C30" s="138"/>
      <c r="D30" s="94"/>
      <c r="E30" s="95"/>
      <c r="F30" s="95"/>
      <c r="G30" s="139"/>
      <c r="H30" s="96"/>
      <c r="I30" s="98"/>
      <c r="J30" s="98"/>
      <c r="K30" s="216"/>
      <c r="L30" s="216"/>
      <c r="M30" s="216"/>
      <c r="N30" s="216"/>
      <c r="O30" s="216"/>
      <c r="P30" s="216"/>
      <c r="Q30" s="99"/>
      <c r="R30" s="94"/>
      <c r="S30" s="215" t="str">
        <f>IF(T29="","",T29*1.2)</f>
        <v/>
      </c>
      <c r="T30" s="215"/>
      <c r="U30" s="94"/>
      <c r="V30" s="94" t="str">
        <f>IF(V29&gt;0,V29*20,"")</f>
        <v/>
      </c>
      <c r="W30" s="94" t="str">
        <f>IF(W29="","",(W29*10)*AJ29)</f>
        <v/>
      </c>
      <c r="X30" s="100" t="str">
        <f>IF(ROUNDUP(X29,1)&gt;0,IF((80+(8-ROUNDUP(X29,1))*40)&lt;0,0,80+(8-ROUNDUP(X29,1))*40),"")</f>
        <v/>
      </c>
      <c r="Y30" s="101" t="str">
        <f>IF(SUM(V30,W30,X30)&gt;0,SUM(V30,W30,X30),"")</f>
        <v/>
      </c>
      <c r="Z30" s="102" t="str">
        <f>IF(AE29&gt;34,(IF(OR(S30="",V30="",W30="",X30=""),"",SUM(S30,V30,W30,X30))*AI29),IF(OR(S30="",V30="",W30="",X30=""),"", SUM(S30,V30,W30,X30)))</f>
        <v/>
      </c>
      <c r="AA30" s="102"/>
      <c r="AB30" s="103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2"/>
      <c r="C31" s="126"/>
      <c r="D31" s="106"/>
      <c r="E31" s="127"/>
      <c r="F31" s="128"/>
      <c r="G31" s="129"/>
      <c r="H31" s="105"/>
      <c r="I31" s="111" t="s">
        <v>13</v>
      </c>
      <c r="J31" s="111"/>
      <c r="K31" s="130"/>
      <c r="L31" s="131"/>
      <c r="M31" s="131"/>
      <c r="N31" s="131"/>
      <c r="O31" s="132"/>
      <c r="P31" s="132"/>
      <c r="Q31" s="114" t="str">
        <f>IF(MAX(K31:M31)&gt;0,IF(MAX(K31:M31)&lt;0,0,TRUNC(MAX(K31:M31)/1)*1),"")</f>
        <v/>
      </c>
      <c r="R31" s="115" t="str">
        <f>IF(MAX(N31:P31)&gt;0,IF(MAX(N31:P31)&lt;0,0,TRUNC(MAX(N31:P31)/1)*1),"")</f>
        <v/>
      </c>
      <c r="S31" s="125" t="str">
        <f>IF(Q31="","",IF(R31="","",IF(SUM(Q31:R31)=0,"",SUM(Q31:R31))))</f>
        <v/>
      </c>
      <c r="T31" s="116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7" t="str">
        <f>IF(AF31=1,T31*AI31,"")</f>
        <v/>
      </c>
      <c r="V31" s="133"/>
      <c r="W31" s="133"/>
      <c r="X31" s="134"/>
      <c r="Y31" s="119"/>
      <c r="Z31" s="120"/>
      <c r="AA31" s="120"/>
      <c r="AB31" s="121"/>
      <c r="AC31" s="66">
        <f>U5</f>
        <v>45913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4"/>
      <c r="C32" s="138"/>
      <c r="D32" s="94"/>
      <c r="E32" s="95"/>
      <c r="F32" s="95"/>
      <c r="G32" s="139"/>
      <c r="H32" s="96"/>
      <c r="I32" s="98"/>
      <c r="J32" s="98"/>
      <c r="K32" s="216"/>
      <c r="L32" s="216"/>
      <c r="M32" s="216"/>
      <c r="N32" s="216"/>
      <c r="O32" s="216"/>
      <c r="P32" s="216"/>
      <c r="Q32" s="99"/>
      <c r="R32" s="94"/>
      <c r="S32" s="215" t="str">
        <f>IF(T31="","",T31*1.2)</f>
        <v/>
      </c>
      <c r="T32" s="215"/>
      <c r="U32" s="94"/>
      <c r="V32" s="94" t="str">
        <f>IF(V31&gt;0,V31*20,"")</f>
        <v/>
      </c>
      <c r="W32" s="94" t="str">
        <f>IF(W31="","",(W31*10)*AJ31)</f>
        <v/>
      </c>
      <c r="X32" s="100" t="str">
        <f>IF(ROUNDUP(X31,1)&gt;0,IF((80+(8-ROUNDUP(X31,1))*40)&lt;0,0,80+(8-ROUNDUP(X31,1))*40),"")</f>
        <v/>
      </c>
      <c r="Y32" s="101" t="str">
        <f>IF(SUM(V32,W32,X32)&gt;0,SUM(V32,W32,X32),"")</f>
        <v/>
      </c>
      <c r="Z32" s="102" t="str">
        <f>IF(AE31&gt;34,(IF(OR(S32="",V32="",W32="",X32=""),"",SUM(S32,V32,W32,X32))*AI31),IF(OR(S32="",V32="",W32="",X32=""),"", SUM(S32,V32,W32,X32)))</f>
        <v/>
      </c>
      <c r="AA32" s="102"/>
      <c r="AB32" s="103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46" t="s">
        <v>34</v>
      </c>
      <c r="C35" s="248"/>
      <c r="D35" s="77" t="s">
        <v>33</v>
      </c>
      <c r="E35" s="246" t="s">
        <v>4</v>
      </c>
      <c r="F35" s="247"/>
      <c r="G35" s="247"/>
      <c r="H35" s="248"/>
      <c r="I35" s="50" t="s">
        <v>42</v>
      </c>
      <c r="J35" s="21"/>
      <c r="K35" s="246" t="s">
        <v>34</v>
      </c>
      <c r="L35" s="247"/>
      <c r="M35" s="248"/>
      <c r="N35" s="54" t="s">
        <v>33</v>
      </c>
      <c r="O35" s="244" t="s">
        <v>4</v>
      </c>
      <c r="P35" s="263"/>
      <c r="Q35" s="263"/>
      <c r="R35" s="245"/>
      <c r="S35" s="244" t="s">
        <v>42</v>
      </c>
      <c r="T35" s="2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49" t="s">
        <v>40</v>
      </c>
      <c r="C36" s="251"/>
      <c r="D36" s="78"/>
      <c r="E36" s="262" t="s">
        <v>281</v>
      </c>
      <c r="F36" s="250"/>
      <c r="G36" s="250"/>
      <c r="H36" s="251"/>
      <c r="I36" s="49"/>
      <c r="J36" s="4"/>
      <c r="K36" s="249" t="s">
        <v>35</v>
      </c>
      <c r="L36" s="250"/>
      <c r="M36" s="251"/>
      <c r="N36" s="51"/>
      <c r="O36" s="217" t="s">
        <v>282</v>
      </c>
      <c r="P36" s="264"/>
      <c r="Q36" s="264"/>
      <c r="R36" s="265"/>
      <c r="S36" s="217"/>
      <c r="T36" s="218"/>
      <c r="AF36" s="1"/>
      <c r="AH36" s="35"/>
      <c r="AI36" s="35"/>
    </row>
    <row r="37" spans="2:35" s="5" customFormat="1" ht="21" customHeight="1">
      <c r="B37" s="234" t="s">
        <v>36</v>
      </c>
      <c r="C37" s="222"/>
      <c r="D37" s="79"/>
      <c r="E37" s="220" t="s">
        <v>295</v>
      </c>
      <c r="F37" s="221"/>
      <c r="G37" s="221"/>
      <c r="H37" s="222"/>
      <c r="I37" s="47"/>
      <c r="J37" s="4"/>
      <c r="K37" s="234" t="s">
        <v>38</v>
      </c>
      <c r="L37" s="221"/>
      <c r="M37" s="222"/>
      <c r="N37" s="52"/>
      <c r="O37" s="228" t="s">
        <v>284</v>
      </c>
      <c r="P37" s="229"/>
      <c r="Q37" s="229"/>
      <c r="R37" s="230"/>
      <c r="S37" s="228"/>
      <c r="T37" s="231"/>
      <c r="AH37" s="35"/>
      <c r="AI37" s="35"/>
    </row>
    <row r="38" spans="2:35" s="5" customFormat="1" ht="19" customHeight="1">
      <c r="B38" s="234" t="s">
        <v>36</v>
      </c>
      <c r="C38" s="222"/>
      <c r="D38" s="79"/>
      <c r="E38" s="220" t="s">
        <v>287</v>
      </c>
      <c r="F38" s="221"/>
      <c r="G38" s="221"/>
      <c r="H38" s="222"/>
      <c r="I38" s="47"/>
      <c r="J38" s="4"/>
      <c r="K38" s="234" t="s">
        <v>37</v>
      </c>
      <c r="L38" s="221"/>
      <c r="M38" s="222"/>
      <c r="N38" s="52"/>
      <c r="O38" s="228" t="s">
        <v>294</v>
      </c>
      <c r="P38" s="229"/>
      <c r="Q38" s="229"/>
      <c r="R38" s="230"/>
      <c r="S38" s="228"/>
      <c r="T38" s="231"/>
      <c r="V38" s="5" t="s">
        <v>54</v>
      </c>
      <c r="AH38" s="35"/>
      <c r="AI38" s="35"/>
    </row>
    <row r="39" spans="2:35" s="5" customFormat="1" ht="21" customHeight="1">
      <c r="B39" s="234" t="s">
        <v>36</v>
      </c>
      <c r="C39" s="222"/>
      <c r="D39" s="79"/>
      <c r="E39" s="220" t="s">
        <v>281</v>
      </c>
      <c r="F39" s="221"/>
      <c r="G39" s="221"/>
      <c r="H39" s="222"/>
      <c r="I39" s="47"/>
      <c r="J39" s="4"/>
      <c r="K39" s="234" t="s">
        <v>55</v>
      </c>
      <c r="L39" s="221"/>
      <c r="M39" s="222"/>
      <c r="N39" s="52"/>
      <c r="O39" s="228" t="s">
        <v>283</v>
      </c>
      <c r="P39" s="229"/>
      <c r="Q39" s="229"/>
      <c r="R39" s="230"/>
      <c r="S39" s="228"/>
      <c r="T39" s="231"/>
      <c r="AD39" s="5" t="s">
        <v>13</v>
      </c>
      <c r="AH39" s="35"/>
      <c r="AI39" s="35"/>
    </row>
    <row r="40" spans="2:35" s="5" customFormat="1" ht="20" customHeight="1">
      <c r="B40" s="234" t="s">
        <v>36</v>
      </c>
      <c r="C40" s="222"/>
      <c r="D40" s="79"/>
      <c r="E40" s="220"/>
      <c r="F40" s="221"/>
      <c r="G40" s="221"/>
      <c r="H40" s="222"/>
      <c r="I40" s="47"/>
      <c r="J40" s="4"/>
      <c r="K40" s="234" t="s">
        <v>55</v>
      </c>
      <c r="L40" s="221"/>
      <c r="M40" s="222"/>
      <c r="N40" s="52"/>
      <c r="O40" s="228" t="s">
        <v>290</v>
      </c>
      <c r="P40" s="229"/>
      <c r="Q40" s="229"/>
      <c r="R40" s="230"/>
      <c r="S40" s="228"/>
      <c r="T40" s="231"/>
      <c r="AH40" s="35"/>
      <c r="AI40" s="35"/>
    </row>
    <row r="41" spans="2:35" ht="19" customHeight="1">
      <c r="B41" s="234" t="s">
        <v>36</v>
      </c>
      <c r="C41" s="222"/>
      <c r="D41" s="79"/>
      <c r="E41" s="220"/>
      <c r="F41" s="221"/>
      <c r="G41" s="221"/>
      <c r="H41" s="222"/>
      <c r="I41" s="47"/>
      <c r="J41" s="3"/>
      <c r="K41" s="234"/>
      <c r="L41" s="221"/>
      <c r="M41" s="222"/>
      <c r="N41" s="52"/>
      <c r="O41" s="228"/>
      <c r="P41" s="229"/>
      <c r="Q41" s="229"/>
      <c r="R41" s="230"/>
      <c r="S41" s="228"/>
      <c r="T41" s="231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234" t="s">
        <v>39</v>
      </c>
      <c r="C42" s="222"/>
      <c r="D42" s="79"/>
      <c r="E42" s="220" t="s">
        <v>289</v>
      </c>
      <c r="F42" s="221"/>
      <c r="G42" s="221"/>
      <c r="H42" s="222"/>
      <c r="I42" s="47"/>
      <c r="J42" s="3"/>
      <c r="K42" s="234"/>
      <c r="L42" s="221"/>
      <c r="M42" s="222"/>
      <c r="N42" s="52"/>
      <c r="O42" s="228"/>
      <c r="P42" s="229"/>
      <c r="Q42" s="229"/>
      <c r="R42" s="230"/>
      <c r="S42" s="228"/>
      <c r="T42" s="231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226"/>
      <c r="C43" s="225"/>
      <c r="D43" s="80"/>
      <c r="E43" s="223"/>
      <c r="F43" s="224"/>
      <c r="G43" s="224"/>
      <c r="H43" s="225"/>
      <c r="I43" s="48"/>
      <c r="J43" s="3"/>
      <c r="K43" s="226"/>
      <c r="L43" s="224"/>
      <c r="M43" s="225"/>
      <c r="N43" s="53"/>
      <c r="O43" s="240"/>
      <c r="P43" s="241"/>
      <c r="Q43" s="241"/>
      <c r="R43" s="242"/>
      <c r="S43" s="240"/>
      <c r="T43" s="24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33"/>
      <c r="C44" s="233"/>
      <c r="D44" s="232"/>
      <c r="E44" s="232"/>
      <c r="F44" s="56"/>
      <c r="G44" s="232"/>
      <c r="H44" s="232"/>
      <c r="I44" s="232"/>
      <c r="J44" s="3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37" t="s">
        <v>41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226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9"/>
      <c r="F50" s="219"/>
      <c r="G50" s="219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149" priority="24" stopIfTrue="1" operator="lessThanOrEqual">
      <formula>0</formula>
    </cfRule>
    <cfRule type="cellIs" dxfId="148" priority="23" stopIfTrue="1" operator="between">
      <formula>1</formula>
      <formula>300</formula>
    </cfRule>
  </conditionalFormatting>
  <conditionalFormatting sqref="K29">
    <cfRule type="cellIs" dxfId="147" priority="22" stopIfTrue="1" operator="lessThanOrEqual">
      <formula>0</formula>
    </cfRule>
    <cfRule type="cellIs" dxfId="146" priority="21" stopIfTrue="1" operator="between">
      <formula>1</formula>
      <formula>300</formula>
    </cfRule>
  </conditionalFormatting>
  <conditionalFormatting sqref="K31">
    <cfRule type="cellIs" dxfId="145" priority="19" stopIfTrue="1" operator="between">
      <formula>1</formula>
      <formula>300</formula>
    </cfRule>
    <cfRule type="cellIs" dxfId="144" priority="20" stopIfTrue="1" operator="lessThanOrEqual">
      <formula>0</formula>
    </cfRule>
  </conditionalFormatting>
  <conditionalFormatting sqref="K9:P9">
    <cfRule type="cellIs" dxfId="143" priority="13" stopIfTrue="1" operator="between">
      <formula>1</formula>
      <formula>300</formula>
    </cfRule>
    <cfRule type="cellIs" dxfId="142" priority="14" stopIfTrue="1" operator="lessThanOrEqual">
      <formula>0</formula>
    </cfRule>
  </conditionalFormatting>
  <conditionalFormatting sqref="K11:P11">
    <cfRule type="cellIs" dxfId="141" priority="11" stopIfTrue="1" operator="between">
      <formula>1</formula>
      <formula>300</formula>
    </cfRule>
    <cfRule type="cellIs" dxfId="140" priority="12" stopIfTrue="1" operator="lessThanOrEqual">
      <formula>0</formula>
    </cfRule>
  </conditionalFormatting>
  <conditionalFormatting sqref="K13:P13">
    <cfRule type="cellIs" dxfId="139" priority="7" stopIfTrue="1" operator="between">
      <formula>1</formula>
      <formula>300</formula>
    </cfRule>
    <cfRule type="cellIs" dxfId="138" priority="8" stopIfTrue="1" operator="lessThanOrEqual">
      <formula>0</formula>
    </cfRule>
  </conditionalFormatting>
  <conditionalFormatting sqref="K15:P15">
    <cfRule type="cellIs" dxfId="137" priority="9" stopIfTrue="1" operator="between">
      <formula>1</formula>
      <formula>300</formula>
    </cfRule>
    <cfRule type="cellIs" dxfId="136" priority="10" stopIfTrue="1" operator="lessThanOrEqual">
      <formula>0</formula>
    </cfRule>
  </conditionalFormatting>
  <conditionalFormatting sqref="K17:P17">
    <cfRule type="cellIs" dxfId="135" priority="15" stopIfTrue="1" operator="between">
      <formula>1</formula>
      <formula>300</formula>
    </cfRule>
    <cfRule type="cellIs" dxfId="134" priority="16" stopIfTrue="1" operator="lessThanOrEqual">
      <formula>0</formula>
    </cfRule>
  </conditionalFormatting>
  <conditionalFormatting sqref="K19:P19">
    <cfRule type="cellIs" dxfId="133" priority="1" stopIfTrue="1" operator="between">
      <formula>1</formula>
      <formula>300</formula>
    </cfRule>
    <cfRule type="cellIs" dxfId="132" priority="2" stopIfTrue="1" operator="lessThanOrEqual">
      <formula>0</formula>
    </cfRule>
  </conditionalFormatting>
  <conditionalFormatting sqref="K21:P21">
    <cfRule type="cellIs" dxfId="131" priority="4" stopIfTrue="1" operator="lessThanOrEqual">
      <formula>0</formula>
    </cfRule>
    <cfRule type="cellIs" dxfId="130" priority="3" stopIfTrue="1" operator="between">
      <formula>1</formula>
      <formula>300</formula>
    </cfRule>
  </conditionalFormatting>
  <conditionalFormatting sqref="K23:P23">
    <cfRule type="cellIs" dxfId="129" priority="6" stopIfTrue="1" operator="lessThanOrEqual">
      <formula>0</formula>
    </cfRule>
    <cfRule type="cellIs" dxfId="128" priority="5" stopIfTrue="1" operator="between">
      <formula>1</formula>
      <formula>300</formula>
    </cfRule>
  </conditionalFormatting>
  <conditionalFormatting sqref="K25:P25">
    <cfRule type="cellIs" dxfId="127" priority="18" stopIfTrue="1" operator="lessThanOrEqual">
      <formula>0</formula>
    </cfRule>
    <cfRule type="cellIs" dxfId="126" priority="17" stopIfTrue="1" operator="between">
      <formula>1</formula>
      <formula>300</formula>
    </cfRule>
  </conditionalFormatting>
  <conditionalFormatting sqref="L27:N27">
    <cfRule type="cellIs" dxfId="125" priority="29" stopIfTrue="1" operator="between">
      <formula>1</formula>
      <formula>300</formula>
    </cfRule>
    <cfRule type="cellIs" dxfId="124" priority="30" stopIfTrue="1" operator="lessThanOrEqual">
      <formula>0</formula>
    </cfRule>
  </conditionalFormatting>
  <conditionalFormatting sqref="L29:N29">
    <cfRule type="cellIs" dxfId="123" priority="27" stopIfTrue="1" operator="between">
      <formula>1</formula>
      <formula>300</formula>
    </cfRule>
    <cfRule type="cellIs" dxfId="122" priority="28" stopIfTrue="1" operator="lessThanOrEqual">
      <formula>0</formula>
    </cfRule>
  </conditionalFormatting>
  <conditionalFormatting sqref="L31:N31">
    <cfRule type="cellIs" dxfId="121" priority="25" stopIfTrue="1" operator="between">
      <formula>1</formula>
      <formula>300</formula>
    </cfRule>
    <cfRule type="cellIs" dxfId="120" priority="26" stopIfTrue="1" operator="lessThanOrEqual">
      <formula>0</formula>
    </cfRule>
  </conditionalFormatting>
  <dataValidations count="6">
    <dataValidation type="list" allowBlank="1" showInputMessage="1" showErrorMessage="1" sqref="B36:C43 K36:M43" xr:uid="{2C61ED48-F7B0-44EE-ACD6-55469951D73D}">
      <formula1>"Dommer,Stevnets leder,Jury,Sekretær,Speaker,Teknisk kontrollør, Chief Marshall,Tidtaker"</formula1>
    </dataValidation>
    <dataValidation type="list" allowBlank="1" showInputMessage="1" showErrorMessage="1" sqref="D5:I5" xr:uid="{31372BF0-F21E-4936-A722-83623C4F856E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13 C15 C17 C19 C21 C23 C25 C27 C29 C31" xr:uid="{07051060-BE06-4053-B855-4A79D20006DC}">
      <formula1>"44,48,53,56,58,60,63,65,69,71,77,'+77,79,86,'+86,88,94,'+94,110,'+110"</formula1>
    </dataValidation>
    <dataValidation type="list" allowBlank="1" showInputMessage="1" showErrorMessage="1" sqref="E9 E15 E29 E31 E17 E19 E11 E13 E21 E23 E25 E27" xr:uid="{8C175C3B-10A4-4450-9B51-194BDCD3BCCD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955299DB-E23A-47D9-A4E5-A7B6AA0AC354}">
      <formula1>"11-12,13-14,15-16,17-18,19-23,24-34,+35,35+"</formula1>
    </dataValidation>
    <dataValidation type="list" allowBlank="1" showInputMessage="1" showErrorMessage="1" sqref="F9 F15 F29 F31 F17 F19 F11 F13 F21 F23 F25 F27" xr:uid="{D7AE2BAD-6577-40A5-8A98-D1D4FFA39D94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F1A6-3349-472F-9CBF-F7E43A796AA5}">
  <sheetPr>
    <pageSetUpPr autoPageBreaks="0" fitToPage="1"/>
  </sheetPr>
  <dimension ref="A1:AJ50"/>
  <sheetViews>
    <sheetView showGridLines="0" showZeros="0" showOutlineSymbols="0" topLeftCell="A2" zoomScaleNormal="100" zoomScaleSheetLayoutView="75" zoomScalePageLayoutView="120" workbookViewId="0">
      <selection activeCell="G4" sqref="G1:G1048576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hidden="1" customWidth="1"/>
    <col min="5" max="6" width="6.3984375" style="16" customWidth="1"/>
    <col min="7" max="7" width="10.59765625" style="1" hidden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35" t="s">
        <v>57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83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36" t="s">
        <v>21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85" t="s">
        <v>59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55" t="s">
        <v>61</v>
      </c>
      <c r="E5" s="255"/>
      <c r="F5" s="255"/>
      <c r="G5" s="255"/>
      <c r="H5" s="255"/>
      <c r="I5" s="255"/>
      <c r="J5" s="24" t="s">
        <v>0</v>
      </c>
      <c r="K5" s="255" t="s">
        <v>62</v>
      </c>
      <c r="L5" s="255"/>
      <c r="M5" s="255"/>
      <c r="N5" s="255"/>
      <c r="O5" s="24" t="s">
        <v>1</v>
      </c>
      <c r="P5" s="254" t="s">
        <v>63</v>
      </c>
      <c r="Q5" s="254"/>
      <c r="R5" s="254"/>
      <c r="S5" s="254"/>
      <c r="T5" s="24" t="s">
        <v>2</v>
      </c>
      <c r="U5" s="266">
        <v>45913</v>
      </c>
      <c r="V5" s="266"/>
      <c r="W5" s="55"/>
      <c r="X5" s="55"/>
      <c r="Y5" s="55"/>
      <c r="Z5" s="25" t="s">
        <v>15</v>
      </c>
      <c r="AA5" s="25"/>
      <c r="AB5" s="26">
        <v>6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4" t="s">
        <v>56</v>
      </c>
    </row>
    <row r="7" spans="1:36" s="1" customFormat="1">
      <c r="B7" s="252" t="s">
        <v>33</v>
      </c>
      <c r="C7" s="256" t="s">
        <v>52</v>
      </c>
      <c r="D7" s="256" t="s">
        <v>51</v>
      </c>
      <c r="E7" s="258" t="s">
        <v>53</v>
      </c>
      <c r="F7" s="260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4"/>
    </row>
    <row r="8" spans="1:36" s="1" customFormat="1">
      <c r="B8" s="253"/>
      <c r="C8" s="257"/>
      <c r="D8" s="257"/>
      <c r="E8" s="259"/>
      <c r="F8" s="261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206" t="s">
        <v>173</v>
      </c>
      <c r="C9" s="148" t="s">
        <v>310</v>
      </c>
      <c r="D9" s="212">
        <v>61.53</v>
      </c>
      <c r="E9" s="147" t="s">
        <v>167</v>
      </c>
      <c r="F9" s="148" t="s">
        <v>124</v>
      </c>
      <c r="G9" s="149">
        <v>39927</v>
      </c>
      <c r="H9" s="150">
        <v>1</v>
      </c>
      <c r="I9" s="151" t="s">
        <v>168</v>
      </c>
      <c r="J9" s="152" t="s">
        <v>129</v>
      </c>
      <c r="K9" s="153">
        <v>60</v>
      </c>
      <c r="L9" s="154">
        <v>61</v>
      </c>
      <c r="M9" s="154">
        <v>63</v>
      </c>
      <c r="N9" s="153">
        <v>74</v>
      </c>
      <c r="O9" s="154">
        <v>-77</v>
      </c>
      <c r="P9" s="154">
        <v>-77</v>
      </c>
      <c r="Q9" s="155">
        <f>IF(MAX(K9:M9)&gt;0,IF(MAX(K9:M9)&lt;0,0,TRUNC(MAX(K9:M9)/1)*1),"")</f>
        <v>63</v>
      </c>
      <c r="R9" s="156">
        <f>IF(MAX(N9:P9)&gt;0,IF(MAX(N9:P9)&lt;0,0,TRUNC(MAX(N9:P9)/1)*1),"")</f>
        <v>74</v>
      </c>
      <c r="S9" s="156">
        <f>IF(Q9="","",IF(R9="","",IF(SUM(Q9:R9)=0,"",SUM(Q9:R9))))</f>
        <v>137</v>
      </c>
      <c r="T9" s="157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182.48508514033196</v>
      </c>
      <c r="U9" s="158" t="str">
        <f>IF(AF9=1,T9*AI9,"")</f>
        <v/>
      </c>
      <c r="V9" s="159">
        <v>7.06</v>
      </c>
      <c r="W9" s="159">
        <v>10.23</v>
      </c>
      <c r="X9" s="159">
        <v>6.9</v>
      </c>
      <c r="Y9" s="157"/>
      <c r="Z9" s="160"/>
      <c r="AA9" s="160" t="s">
        <v>304</v>
      </c>
      <c r="AB9" s="161"/>
      <c r="AC9" s="68">
        <f>U5</f>
        <v>45913</v>
      </c>
      <c r="AD9" s="69" t="str">
        <f>IF(ISNUMBER(FIND("M",E9)),"m",IF(ISNUMBER(FIND("K",E9)),"k"))</f>
        <v>k</v>
      </c>
      <c r="AE9" s="67">
        <f>IF(OR(G9="",AC9=""),0,(YEAR(AC9)-YEAR(G9)))</f>
        <v>16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1.5105386676069348</v>
      </c>
    </row>
    <row r="10" spans="1:36" s="8" customFormat="1" ht="20" customHeight="1">
      <c r="B10" s="207"/>
      <c r="C10" s="94"/>
      <c r="D10" s="210"/>
      <c r="E10" s="94"/>
      <c r="F10" s="95"/>
      <c r="G10" s="96"/>
      <c r="H10" s="97"/>
      <c r="I10" s="98"/>
      <c r="J10" s="98"/>
      <c r="K10" s="215"/>
      <c r="L10" s="215"/>
      <c r="M10" s="215"/>
      <c r="N10" s="216"/>
      <c r="O10" s="216"/>
      <c r="P10" s="216"/>
      <c r="Q10" s="99"/>
      <c r="R10" s="94"/>
      <c r="S10" s="215">
        <f>IF(T9="","",T9*1.2)</f>
        <v>218.98210216839834</v>
      </c>
      <c r="T10" s="215"/>
      <c r="U10" s="94"/>
      <c r="V10" s="94">
        <f>IF(V9&gt;0,V9*20,"")</f>
        <v>141.19999999999999</v>
      </c>
      <c r="W10" s="94">
        <f>IF(W9="","",(W9*10)*AJ9)</f>
        <v>154.52810569618944</v>
      </c>
      <c r="X10" s="100">
        <f>IF(ROUNDUP(X9,1)&gt;0,IF((80+(8-ROUNDUP(X9,1))*40)&lt;0,0,80+(8-ROUNDUP(X9,1))*40),"")</f>
        <v>123.99999999999999</v>
      </c>
      <c r="Y10" s="101">
        <f>IF(SUM(V10,W10,X10)&gt;0,SUM(V10,W10,X10),"")</f>
        <v>419.72810569618946</v>
      </c>
      <c r="Z10" s="102">
        <f>IF(AE9&gt;34,(IF(OR(S10="",V10="",W10="",X10=""),"",SUM(S10,V10,W10,X10))*AI9),IF(OR(S10="",V10="",W10="",X10=""),"", SUM(S10,V10,W10,X10)))</f>
        <v>638.7102078645878</v>
      </c>
      <c r="AA10" s="102"/>
      <c r="AB10" s="103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208" t="s">
        <v>174</v>
      </c>
      <c r="C11" s="107" t="s">
        <v>319</v>
      </c>
      <c r="D11" s="211">
        <v>52.55</v>
      </c>
      <c r="E11" s="147" t="s">
        <v>167</v>
      </c>
      <c r="F11" s="148" t="s">
        <v>124</v>
      </c>
      <c r="G11" s="108">
        <v>40008</v>
      </c>
      <c r="H11" s="109">
        <v>2</v>
      </c>
      <c r="I11" s="110" t="s">
        <v>169</v>
      </c>
      <c r="J11" s="111" t="s">
        <v>134</v>
      </c>
      <c r="K11" s="112">
        <v>51</v>
      </c>
      <c r="L11" s="113">
        <v>53</v>
      </c>
      <c r="M11" s="113">
        <v>55</v>
      </c>
      <c r="N11" s="112">
        <v>63</v>
      </c>
      <c r="O11" s="113">
        <v>-67</v>
      </c>
      <c r="P11" s="113">
        <v>-67</v>
      </c>
      <c r="Q11" s="114">
        <f>IF(MAX(K11:M11)&gt;0,IF(MAX(K11:M11)&lt;0,0,TRUNC(MAX(K11:M11)/1)*1),"")</f>
        <v>55</v>
      </c>
      <c r="R11" s="115">
        <f>IF(MAX(N11:P11)&gt;0,IF(MAX(N11:P11)&lt;0,0,TRUNC(MAX(N11:P11)/1)*1),"")</f>
        <v>63</v>
      </c>
      <c r="S11" s="115">
        <f>IF(Q11="","",IF(R11="","",IF(SUM(Q11:R11)=0,"",SUM(Q11:R11))))</f>
        <v>118</v>
      </c>
      <c r="T11" s="116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174.97543397415456</v>
      </c>
      <c r="U11" s="117" t="str">
        <f>IF(AF11=1,T11*AI11,"")</f>
        <v/>
      </c>
      <c r="V11" s="118">
        <v>6.57</v>
      </c>
      <c r="W11" s="118">
        <v>9.32</v>
      </c>
      <c r="X11" s="118">
        <v>7.3</v>
      </c>
      <c r="Y11" s="119"/>
      <c r="Z11" s="120"/>
      <c r="AA11" s="120" t="s">
        <v>305</v>
      </c>
      <c r="AB11" s="121"/>
      <c r="AC11" s="66">
        <f>U5</f>
        <v>45913</v>
      </c>
      <c r="AD11" s="69" t="str">
        <f>IF(ISNUMBER(FIND("M",E11)),"m",IF(ISNUMBER(FIND("K",E11)),"k"))</f>
        <v>k</v>
      </c>
      <c r="AE11" s="67">
        <f>IF(OR(G11="",AC11=""),0,(YEAR(AC11)-YEAR(G11)))</f>
        <v>16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1.70541495511412</v>
      </c>
    </row>
    <row r="12" spans="1:36" s="8" customFormat="1" ht="20" customHeight="1">
      <c r="B12" s="104"/>
      <c r="C12" s="94"/>
      <c r="D12" s="210"/>
      <c r="E12" s="94"/>
      <c r="F12" s="95"/>
      <c r="G12" s="96"/>
      <c r="H12" s="97"/>
      <c r="I12" s="98"/>
      <c r="J12" s="98"/>
      <c r="K12" s="215"/>
      <c r="L12" s="215"/>
      <c r="M12" s="215"/>
      <c r="N12" s="216"/>
      <c r="O12" s="216"/>
      <c r="P12" s="216"/>
      <c r="Q12" s="99"/>
      <c r="R12" s="94"/>
      <c r="S12" s="215">
        <f>IF(T11="","",T11*1.2)</f>
        <v>209.97052076898547</v>
      </c>
      <c r="T12" s="215"/>
      <c r="U12" s="102"/>
      <c r="V12" s="94">
        <f>IF(V11&gt;0,V11*20,"")</f>
        <v>131.4</v>
      </c>
      <c r="W12" s="94">
        <f>IF(W11="","",(W11*10)*AJ11)</f>
        <v>158.944673816636</v>
      </c>
      <c r="X12" s="100">
        <f>IF(ROUNDUP(X11,1)&gt;0,IF((80+(8-ROUNDUP(X11,1))*40)&lt;0,0,80+(8-ROUNDUP(X11,1))*40),"")</f>
        <v>108</v>
      </c>
      <c r="Y12" s="101">
        <f>IF(SUM(V12,W12,X12)&gt;0,SUM(V12,W12,X12),"")</f>
        <v>398.34467381663603</v>
      </c>
      <c r="Z12" s="102">
        <f>IF(AE11&gt;34,(IF(OR(S12="",V12="",W12="",X12=""),"",SUM(S12,V12,W12,X12))*AI11),IF(OR(S12="",V12="",W12="",X12=""),"", SUM(S12,V12,W12,X12)))</f>
        <v>608.31519458562138</v>
      </c>
      <c r="AA12" s="102"/>
      <c r="AB12" s="103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2" t="s">
        <v>175</v>
      </c>
      <c r="C13" s="105" t="s">
        <v>311</v>
      </c>
      <c r="D13" s="211">
        <v>67.03</v>
      </c>
      <c r="E13" s="147" t="s">
        <v>167</v>
      </c>
      <c r="F13" s="148" t="s">
        <v>124</v>
      </c>
      <c r="G13" s="108">
        <v>40152</v>
      </c>
      <c r="H13" s="109">
        <v>3</v>
      </c>
      <c r="I13" s="110" t="s">
        <v>170</v>
      </c>
      <c r="J13" s="111" t="s">
        <v>92</v>
      </c>
      <c r="K13" s="112">
        <v>-50</v>
      </c>
      <c r="L13" s="113">
        <v>51</v>
      </c>
      <c r="M13" s="113">
        <v>53</v>
      </c>
      <c r="N13" s="112">
        <v>61</v>
      </c>
      <c r="O13" s="113">
        <v>-64</v>
      </c>
      <c r="P13" s="113">
        <v>65</v>
      </c>
      <c r="Q13" s="114">
        <f>IF(MAX(K13:M13)&gt;0,IF(MAX(K13:M13)&lt;0,0,TRUNC(MAX(K13:M13)/1)*1),"")</f>
        <v>53</v>
      </c>
      <c r="R13" s="115">
        <f>IF(MAX(N13:P13)&gt;0,IF(MAX(N13:P13)&lt;0,0,TRUNC(MAX(N13:P13)/1)*1),"")</f>
        <v>65</v>
      </c>
      <c r="S13" s="115">
        <f>IF(Q13="","",IF(R13="","",IF(SUM(Q13:R13)=0,"",SUM(Q13:R13))))</f>
        <v>118</v>
      </c>
      <c r="T13" s="11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149.34770694545915</v>
      </c>
      <c r="U13" s="117" t="str">
        <f>IF(AF13=1,T13*AI13,"")</f>
        <v/>
      </c>
      <c r="V13" s="118">
        <v>5.84</v>
      </c>
      <c r="W13" s="118">
        <v>10.15</v>
      </c>
      <c r="X13" s="118">
        <v>7.3</v>
      </c>
      <c r="Y13" s="123"/>
      <c r="Z13" s="120"/>
      <c r="AA13" s="120" t="s">
        <v>306</v>
      </c>
      <c r="AB13" s="121"/>
      <c r="AC13" s="66">
        <f>U5</f>
        <v>45913</v>
      </c>
      <c r="AD13" s="69" t="str">
        <f>IF(ISNUMBER(FIND("M",E13)),"m",IF(ISNUMBER(FIND("K",E13)),"k"))</f>
        <v>k</v>
      </c>
      <c r="AE13" s="67">
        <f>IF(OR(G13="",AC13=""),0,(YEAR(AC13)-YEAR(G13)))</f>
        <v>16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1.4235518065241584</v>
      </c>
    </row>
    <row r="14" spans="1:36" s="8" customFormat="1" ht="20" customHeight="1">
      <c r="B14" s="104"/>
      <c r="C14" s="94"/>
      <c r="D14" s="210"/>
      <c r="E14" s="94"/>
      <c r="F14" s="95"/>
      <c r="G14" s="96"/>
      <c r="H14" s="97"/>
      <c r="I14" s="98"/>
      <c r="J14" s="98"/>
      <c r="K14" s="215"/>
      <c r="L14" s="215"/>
      <c r="M14" s="215"/>
      <c r="N14" s="216"/>
      <c r="O14" s="216"/>
      <c r="P14" s="216"/>
      <c r="Q14" s="99"/>
      <c r="R14" s="94"/>
      <c r="S14" s="215">
        <f>IF(T13="","",T13*1.2)</f>
        <v>179.21724833455099</v>
      </c>
      <c r="T14" s="215"/>
      <c r="U14" s="94"/>
      <c r="V14" s="94">
        <f>IF(V13&gt;0,V13*20,"")</f>
        <v>116.8</v>
      </c>
      <c r="W14" s="94">
        <f>IF(W13="","",(W13*10)*AJ13)</f>
        <v>144.49050836220206</v>
      </c>
      <c r="X14" s="100">
        <f>IF(ROUNDUP(X13,1)&gt;0,IF((80+(8-ROUNDUP(X13,1))*40)&lt;0,0,80+(8-ROUNDUP(X13,1))*40),"")</f>
        <v>108</v>
      </c>
      <c r="Y14" s="101">
        <f>IF(SUM(V14,W14,X14)&gt;0,SUM(V14,W14,X14),"")</f>
        <v>369.29050836220205</v>
      </c>
      <c r="Z14" s="102">
        <f>IF(AE13&gt;34,(IF(OR(S14="",V14="",W14="",X14=""),"",SUM(S14,V14,W14,X14))*AI13),IF(OR(S14="",V14="",W14="",X14=""),"", SUM(S14,V14,W14,X14)))</f>
        <v>548.50775669675306</v>
      </c>
      <c r="AA14" s="102"/>
      <c r="AB14" s="103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2" t="s">
        <v>176</v>
      </c>
      <c r="C15" s="107" t="s">
        <v>330</v>
      </c>
      <c r="D15" s="211">
        <v>85.79</v>
      </c>
      <c r="E15" s="147" t="s">
        <v>167</v>
      </c>
      <c r="F15" s="148" t="s">
        <v>124</v>
      </c>
      <c r="G15" s="108">
        <v>40113</v>
      </c>
      <c r="H15" s="109">
        <v>4</v>
      </c>
      <c r="I15" s="110" t="s">
        <v>171</v>
      </c>
      <c r="J15" s="111" t="s">
        <v>69</v>
      </c>
      <c r="K15" s="112">
        <v>36</v>
      </c>
      <c r="L15" s="113">
        <v>-38</v>
      </c>
      <c r="M15" s="113">
        <v>-38</v>
      </c>
      <c r="N15" s="112">
        <v>45</v>
      </c>
      <c r="O15" s="113">
        <v>48</v>
      </c>
      <c r="P15" s="113">
        <v>-50</v>
      </c>
      <c r="Q15" s="114">
        <f>IF(MAX(K15:M15)&gt;0,IF(MAX(K15:M15)&lt;0,0,TRUNC(MAX(K15:M15)/1)*1),"")</f>
        <v>36</v>
      </c>
      <c r="R15" s="115">
        <f>IF(MAX(N15:P15)&gt;0,IF(MAX(N15:P15)&lt;0,0,TRUNC(MAX(N15:P15)/1)*1),"")</f>
        <v>48</v>
      </c>
      <c r="S15" s="115">
        <f>IF(Q15="","",IF(R15="","",IF(SUM(Q15:R15)=0,"",SUM(Q15:R15))))</f>
        <v>84</v>
      </c>
      <c r="T15" s="11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94.36552406461665</v>
      </c>
      <c r="U15" s="117" t="str">
        <f>IF(AF15=1,T15*AI15,"")</f>
        <v/>
      </c>
      <c r="V15" s="118">
        <v>5.83</v>
      </c>
      <c r="W15" s="118">
        <v>8.01</v>
      </c>
      <c r="X15" s="118">
        <v>8.3000000000000007</v>
      </c>
      <c r="Y15" s="119"/>
      <c r="Z15" s="120"/>
      <c r="AA15" s="120" t="s">
        <v>307</v>
      </c>
      <c r="AB15" s="121"/>
      <c r="AC15" s="66">
        <f>U5</f>
        <v>45913</v>
      </c>
      <c r="AD15" s="69" t="str">
        <f>IF(ISNUMBER(FIND("M",E15)),"m",IF(ISNUMBER(FIND("K",E15)),"k"))</f>
        <v>k</v>
      </c>
      <c r="AE15" s="67">
        <f>IF(OR(G15="",AC15=""),0,(YEAR(AC15)-YEAR(G15)))</f>
        <v>16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1.2311539012624848</v>
      </c>
    </row>
    <row r="16" spans="1:36" s="8" customFormat="1" ht="20" customHeight="1">
      <c r="B16" s="104"/>
      <c r="C16" s="94"/>
      <c r="D16" s="210"/>
      <c r="E16" s="94"/>
      <c r="F16" s="95"/>
      <c r="G16" s="96"/>
      <c r="H16" s="97"/>
      <c r="I16" s="98"/>
      <c r="J16" s="98"/>
      <c r="K16" s="215"/>
      <c r="L16" s="215"/>
      <c r="M16" s="215"/>
      <c r="N16" s="216"/>
      <c r="O16" s="216"/>
      <c r="P16" s="216"/>
      <c r="Q16" s="136"/>
      <c r="R16" s="137"/>
      <c r="S16" s="215">
        <f>IF(T15="","",T15*1.2)</f>
        <v>113.23862887753998</v>
      </c>
      <c r="T16" s="215"/>
      <c r="U16" s="94"/>
      <c r="V16" s="94">
        <f>IF(V15&gt;0,V15*20,"")</f>
        <v>116.6</v>
      </c>
      <c r="W16" s="94">
        <f>IF(W15="","",(W15*10)*AJ15)</f>
        <v>98.615427491125033</v>
      </c>
      <c r="X16" s="100">
        <f>IF(ROUNDUP(X15,1)&gt;0,IF((80+(8-ROUNDUP(X15,1))*40)&lt;0,0,80+(8-ROUNDUP(X15,1))*40),"")</f>
        <v>67.999999999999972</v>
      </c>
      <c r="Y16" s="101">
        <f>IF(SUM(V16,W16,X16)&gt;0,SUM(V16,W16,X16),"")</f>
        <v>283.21542749112496</v>
      </c>
      <c r="Z16" s="102">
        <f>IF(AE15&gt;34,(IF(OR(S16="",V16="",W16="",X16=""),"",SUM(S16,V16,W16,X16))*AI15),IF(OR(S16="",V16="",W16="",X16=""),"", SUM(S16,V16,W16,X16)))</f>
        <v>396.45405636866496</v>
      </c>
      <c r="AA16" s="102"/>
      <c r="AB16" s="103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2" t="s">
        <v>177</v>
      </c>
      <c r="C17" s="105" t="s">
        <v>310</v>
      </c>
      <c r="D17" s="211">
        <v>60.49</v>
      </c>
      <c r="E17" s="147" t="s">
        <v>167</v>
      </c>
      <c r="F17" s="148" t="s">
        <v>124</v>
      </c>
      <c r="G17" s="108">
        <v>40263</v>
      </c>
      <c r="H17" s="109">
        <v>5</v>
      </c>
      <c r="I17" s="124" t="s">
        <v>172</v>
      </c>
      <c r="J17" s="111" t="s">
        <v>134</v>
      </c>
      <c r="K17" s="112">
        <v>68</v>
      </c>
      <c r="L17" s="113">
        <v>71</v>
      </c>
      <c r="M17" s="113">
        <v>73</v>
      </c>
      <c r="N17" s="112">
        <v>83</v>
      </c>
      <c r="O17" s="113">
        <v>86</v>
      </c>
      <c r="P17" s="113">
        <v>89</v>
      </c>
      <c r="Q17" s="114">
        <f>IF(MAX(K17:M17)&gt;0,IF(MAX(K17:M17)&lt;0,0,TRUNC(MAX(K17:M17)/1)*1),"")</f>
        <v>73</v>
      </c>
      <c r="R17" s="115">
        <f>IF(MAX(N17:P17)&gt;0,IF(MAX(N17:P17)&lt;0,0,TRUNC(MAX(N17:P17)/1)*1),"")</f>
        <v>89</v>
      </c>
      <c r="S17" s="125">
        <f>IF(Q17="","",IF(R17="","",IF(SUM(Q17:R17)=0,"",SUM(Q17:R17))))</f>
        <v>162</v>
      </c>
      <c r="T17" s="11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218.12220390454578</v>
      </c>
      <c r="U17" s="117" t="str">
        <f>IF(AF17=1,T17*AI17,"")</f>
        <v/>
      </c>
      <c r="V17" s="118">
        <v>5.86</v>
      </c>
      <c r="W17" s="118">
        <v>8.9</v>
      </c>
      <c r="X17" s="118">
        <v>7.6</v>
      </c>
      <c r="Y17" s="119"/>
      <c r="Z17" s="120"/>
      <c r="AA17" s="120" t="s">
        <v>303</v>
      </c>
      <c r="AB17" s="121" t="s">
        <v>279</v>
      </c>
      <c r="AC17" s="66">
        <f>U5</f>
        <v>45913</v>
      </c>
      <c r="AD17" s="69" t="str">
        <f>IF(ISNUMBER(FIND("M",E17)),"m",IF(ISNUMBER(FIND("K",E17)),"k"))</f>
        <v>k</v>
      </c>
      <c r="AE17" s="67">
        <f>IF(OR(G17="",AC17=""),0,(YEAR(AC17)-YEAR(G17)))</f>
        <v>15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1.5293228612646985</v>
      </c>
    </row>
    <row r="18" spans="2:36" s="8" customFormat="1" ht="20" customHeight="1">
      <c r="B18" s="104"/>
      <c r="C18" s="94"/>
      <c r="D18" s="210"/>
      <c r="E18" s="94"/>
      <c r="F18" s="95"/>
      <c r="G18" s="96"/>
      <c r="H18" s="97"/>
      <c r="I18" s="98"/>
      <c r="J18" s="98"/>
      <c r="K18" s="215"/>
      <c r="L18" s="215"/>
      <c r="M18" s="215"/>
      <c r="N18" s="216"/>
      <c r="O18" s="216"/>
      <c r="P18" s="216"/>
      <c r="Q18" s="99"/>
      <c r="R18" s="94"/>
      <c r="S18" s="215">
        <f>IF(T17="","",T17*1.2)</f>
        <v>261.74664468545495</v>
      </c>
      <c r="T18" s="215"/>
      <c r="U18" s="94"/>
      <c r="V18" s="94">
        <f>IF(V17&gt;0,V17*20,"")</f>
        <v>117.2</v>
      </c>
      <c r="W18" s="94">
        <f>IF(W17="","",(W17*10)*AJ17)</f>
        <v>136.10973465255816</v>
      </c>
      <c r="X18" s="100">
        <f>IF(ROUNDUP(X17,1)&gt;0,IF((80+(8-ROUNDUP(X17,1))*40)&lt;0,0,80+(8-ROUNDUP(X17,1))*40),"")</f>
        <v>96.000000000000014</v>
      </c>
      <c r="Y18" s="101">
        <f>IF(SUM(V18,W18,X18)&gt;0,SUM(V18,W18,X18),"")</f>
        <v>349.30973465255818</v>
      </c>
      <c r="Z18" s="102">
        <f>IF(AE17&gt;34,(IF(OR(S18="",V18="",W18="",X18=""),"",SUM(S18,V18,W18,X18))*AI17),IF(OR(S18="",V18="",W18="",X18=""),"", SUM(S18,V18,W18,X18)))</f>
        <v>611.05637933801313</v>
      </c>
      <c r="AA18" s="102"/>
      <c r="AB18" s="103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2"/>
      <c r="C19" s="105"/>
      <c r="D19" s="211"/>
      <c r="E19" s="147"/>
      <c r="F19" s="148"/>
      <c r="G19" s="108"/>
      <c r="H19" s="109"/>
      <c r="I19" s="124"/>
      <c r="J19" s="111"/>
      <c r="K19" s="112"/>
      <c r="L19" s="113"/>
      <c r="M19" s="113"/>
      <c r="N19" s="112"/>
      <c r="O19" s="113"/>
      <c r="P19" s="113"/>
      <c r="Q19" s="114" t="str">
        <f>IF(MAX(K19:M19)&gt;0,IF(MAX(K19:M19)&lt;0,0,TRUNC(MAX(K19:M19)/1)*1),"")</f>
        <v/>
      </c>
      <c r="R19" s="115" t="str">
        <f>IF(MAX(N19:P19)&gt;0,IF(MAX(N19:P19)&lt;0,0,TRUNC(MAX(N19:P19)/1)*1),"")</f>
        <v/>
      </c>
      <c r="S19" s="125" t="str">
        <f>IF(Q19="","",IF(R19="","",IF(SUM(Q19:R19)=0,"",SUM(Q19:R19))))</f>
        <v/>
      </c>
      <c r="T19" s="116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7" t="str">
        <f>IF(AF19=1,T19*AI19,"")</f>
        <v/>
      </c>
      <c r="V19" s="118"/>
      <c r="W19" s="118"/>
      <c r="X19" s="118"/>
      <c r="Y19" s="119"/>
      <c r="Z19" s="120"/>
      <c r="AA19" s="120"/>
      <c r="AB19" s="121"/>
      <c r="AC19" s="66">
        <f>U5</f>
        <v>45913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>
      <c r="B20" s="104"/>
      <c r="C20" s="94"/>
      <c r="D20" s="210"/>
      <c r="E20" s="94"/>
      <c r="F20" s="95"/>
      <c r="G20" s="96"/>
      <c r="H20" s="97"/>
      <c r="I20" s="98"/>
      <c r="J20" s="98"/>
      <c r="K20" s="215"/>
      <c r="L20" s="215"/>
      <c r="M20" s="215"/>
      <c r="N20" s="216"/>
      <c r="O20" s="216"/>
      <c r="P20" s="216"/>
      <c r="Q20" s="99"/>
      <c r="R20" s="94"/>
      <c r="S20" s="215" t="str">
        <f>IF(T19="","",T19*1.2)</f>
        <v/>
      </c>
      <c r="T20" s="215"/>
      <c r="U20" s="94"/>
      <c r="V20" s="94" t="str">
        <f>IF(V19&gt;0,V19*20,"")</f>
        <v/>
      </c>
      <c r="W20" s="94" t="str">
        <f>IF(W19="","",(W19*10)*AJ19)</f>
        <v/>
      </c>
      <c r="X20" s="100" t="str">
        <f>IF(ROUNDUP(X19,1)&gt;0,IF((80+(8-ROUNDUP(X19,1))*40)&lt;0,0,80+(8-ROUNDUP(X19,1))*40),"")</f>
        <v/>
      </c>
      <c r="Y20" s="101" t="str">
        <f>IF(SUM(V20,W20,X20)&gt;0,SUM(V20,W20,X20),"")</f>
        <v/>
      </c>
      <c r="Z20" s="102" t="str">
        <f>IF(AE19&gt;34,(IF(OR(S20="",V20="",W20="",X20=""),"",SUM(S20,V20,W20,X20))*AI19),IF(OR(S20="",V20="",W20="",X20=""),"", SUM(S20,V20,W20,X20)))</f>
        <v/>
      </c>
      <c r="AA20" s="102"/>
      <c r="AB20" s="103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2"/>
      <c r="C21" s="105"/>
      <c r="D21" s="106"/>
      <c r="E21" s="147"/>
      <c r="F21" s="148"/>
      <c r="G21" s="108"/>
      <c r="H21" s="109"/>
      <c r="I21" s="110"/>
      <c r="J21" s="111"/>
      <c r="K21" s="112"/>
      <c r="L21" s="113"/>
      <c r="M21" s="113"/>
      <c r="N21" s="112"/>
      <c r="O21" s="113"/>
      <c r="P21" s="113"/>
      <c r="Q21" s="114" t="str">
        <f>IF(MAX(K21:M21)&gt;0,IF(MAX(K21:M21)&lt;0,0,TRUNC(MAX(K21:M21)/1)*1),"")</f>
        <v/>
      </c>
      <c r="R21" s="115" t="str">
        <f>IF(MAX(N21:P21)&gt;0,IF(MAX(N21:P21)&lt;0,0,TRUNC(MAX(N21:P21)/1)*1),"")</f>
        <v/>
      </c>
      <c r="S21" s="125" t="str">
        <f>IF(Q21="","",IF(R21="","",IF(SUM(Q21:R21)=0,"",SUM(Q21:R21))))</f>
        <v/>
      </c>
      <c r="T21" s="116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7" t="str">
        <f>IF(AF21=1,T21*AI21,"")</f>
        <v/>
      </c>
      <c r="V21" s="118"/>
      <c r="W21" s="118"/>
      <c r="X21" s="118"/>
      <c r="Y21" s="119"/>
      <c r="Z21" s="120"/>
      <c r="AA21" s="120"/>
      <c r="AB21" s="121"/>
      <c r="AC21" s="66">
        <f>U5</f>
        <v>45913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>
      <c r="B22" s="104"/>
      <c r="C22" s="94"/>
      <c r="D22" s="94"/>
      <c r="E22" s="94"/>
      <c r="F22" s="95"/>
      <c r="G22" s="96"/>
      <c r="H22" s="97"/>
      <c r="I22" s="98"/>
      <c r="J22" s="98"/>
      <c r="K22" s="215"/>
      <c r="L22" s="215"/>
      <c r="M22" s="215"/>
      <c r="N22" s="216"/>
      <c r="O22" s="216"/>
      <c r="P22" s="216"/>
      <c r="Q22" s="99"/>
      <c r="R22" s="94"/>
      <c r="S22" s="215" t="str">
        <f>IF(T21="","",T21*1.2)</f>
        <v/>
      </c>
      <c r="T22" s="215"/>
      <c r="U22" s="94"/>
      <c r="V22" s="94" t="str">
        <f>IF(V21&gt;0,V21*20,"")</f>
        <v/>
      </c>
      <c r="W22" s="94" t="str">
        <f>IF(W21="","",(W21*10)*AJ21)</f>
        <v/>
      </c>
      <c r="X22" s="100" t="str">
        <f>IF(ROUNDUP(X21,1)&gt;0,IF((80+(8-ROUNDUP(X21,1))*40)&lt;0,0,80+(8-ROUNDUP(X21,1))*40),"")</f>
        <v/>
      </c>
      <c r="Y22" s="101" t="str">
        <f>IF(SUM(V22,W22,X22)&gt;0,SUM(V22,W22,X22),"")</f>
        <v/>
      </c>
      <c r="Z22" s="102" t="str">
        <f>IF(AE21&gt;34,(IF(OR(S22="",V22="",W22="",X22=""),"",SUM(S22,V22,W22,X22))*AI21),IF(OR(S22="",V22="",W22="",X22=""),"", SUM(S22,V22,W22,X22)))</f>
        <v/>
      </c>
      <c r="AA22" s="102"/>
      <c r="AB22" s="103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2"/>
      <c r="C23" s="105"/>
      <c r="D23" s="106"/>
      <c r="E23" s="147"/>
      <c r="F23" s="148"/>
      <c r="G23" s="108"/>
      <c r="H23" s="109"/>
      <c r="I23" s="110"/>
      <c r="J23" s="111"/>
      <c r="K23" s="112"/>
      <c r="L23" s="113"/>
      <c r="M23" s="113"/>
      <c r="N23" s="112"/>
      <c r="O23" s="113"/>
      <c r="P23" s="113"/>
      <c r="Q23" s="114" t="str">
        <f>IF(MAX(K23:M23)&gt;0,IF(MAX(K23:M23)&lt;0,0,TRUNC(MAX(K23:M23)/1)*1),"")</f>
        <v/>
      </c>
      <c r="R23" s="115" t="str">
        <f>IF(MAX(N23:P23)&gt;0,IF(MAX(N23:P23)&lt;0,0,TRUNC(MAX(N23:P23)/1)*1),"")</f>
        <v/>
      </c>
      <c r="S23" s="125" t="str">
        <f>IF(Q23="","",IF(R23="","",IF(SUM(Q23:R23)=0,"",SUM(Q23:R23))))</f>
        <v/>
      </c>
      <c r="T23" s="116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7" t="str">
        <f>IF(AF23=1,T23*AI23,"")</f>
        <v/>
      </c>
      <c r="V23" s="118"/>
      <c r="W23" s="118"/>
      <c r="X23" s="118"/>
      <c r="Y23" s="119"/>
      <c r="Z23" s="120"/>
      <c r="AA23" s="120"/>
      <c r="AB23" s="121"/>
      <c r="AC23" s="66">
        <f>U5</f>
        <v>45913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>
      <c r="B24" s="104"/>
      <c r="C24" s="94"/>
      <c r="D24" s="94"/>
      <c r="E24" s="94"/>
      <c r="F24" s="95"/>
      <c r="G24" s="96"/>
      <c r="H24" s="97"/>
      <c r="I24" s="98"/>
      <c r="J24" s="98"/>
      <c r="K24" s="215"/>
      <c r="L24" s="215"/>
      <c r="M24" s="215"/>
      <c r="N24" s="216"/>
      <c r="O24" s="216"/>
      <c r="P24" s="216"/>
      <c r="Q24" s="99"/>
      <c r="R24" s="94"/>
      <c r="S24" s="215" t="str">
        <f>IF(T23="","",T23*1.2)</f>
        <v/>
      </c>
      <c r="T24" s="215"/>
      <c r="U24" s="94"/>
      <c r="V24" s="94" t="str">
        <f>IF(V23&gt;0,V23*20,"")</f>
        <v/>
      </c>
      <c r="W24" s="94" t="str">
        <f>IF(W23="","",(W23*10)*AJ23)</f>
        <v/>
      </c>
      <c r="X24" s="100" t="str">
        <f>IF(ROUNDUP(X23,1)&gt;0,IF((80+(8-ROUNDUP(X23,1))*40)&lt;0,0,80+(8-ROUNDUP(X23,1))*40),"")</f>
        <v/>
      </c>
      <c r="Y24" s="101" t="str">
        <f>IF(SUM(V24,W24,X24)&gt;0,SUM(V24,W24,X24),"")</f>
        <v/>
      </c>
      <c r="Z24" s="102" t="str">
        <f>IF(AE23&gt;34,(IF(OR(S24="",V24="",W24="",X24=""),"",SUM(S24,V24,W24,X24))*AI23),IF(OR(S24="",V24="",W24="",X24=""),"", SUM(S24,V24,W24,X24)))</f>
        <v/>
      </c>
      <c r="AA24" s="102"/>
      <c r="AB24" s="103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2"/>
      <c r="C25" s="105"/>
      <c r="D25" s="106"/>
      <c r="E25" s="105"/>
      <c r="F25" s="107"/>
      <c r="G25" s="108"/>
      <c r="H25" s="109"/>
      <c r="I25" s="110"/>
      <c r="J25" s="111"/>
      <c r="K25" s="112"/>
      <c r="L25" s="113"/>
      <c r="M25" s="113"/>
      <c r="N25" s="112"/>
      <c r="O25" s="113"/>
      <c r="P25" s="113"/>
      <c r="Q25" s="114" t="str">
        <f>IF(MAX(K25:M25)&gt;0,IF(MAX(K25:M25)&lt;0,0,TRUNC(MAX(K25:M25)/1)*1),"")</f>
        <v/>
      </c>
      <c r="R25" s="115" t="str">
        <f>IF(MAX(N25:P25)&gt;0,IF(MAX(N25:P25)&lt;0,0,TRUNC(MAX(N25:P25)/1)*1),"")</f>
        <v/>
      </c>
      <c r="S25" s="125" t="str">
        <f>IF(Q25="","",IF(R25="","",IF(SUM(Q25:R25)=0,"",SUM(Q25:R25))))</f>
        <v/>
      </c>
      <c r="T25" s="116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7" t="str">
        <f>IF(AF25=1,T25*AI25,"")</f>
        <v/>
      </c>
      <c r="V25" s="118"/>
      <c r="W25" s="118"/>
      <c r="X25" s="118"/>
      <c r="Y25" s="119"/>
      <c r="Z25" s="120"/>
      <c r="AA25" s="120"/>
      <c r="AB25" s="121"/>
      <c r="AC25" s="66">
        <f>U5</f>
        <v>45913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>
      <c r="B26" s="104"/>
      <c r="C26" s="94"/>
      <c r="D26" s="94"/>
      <c r="E26" s="94"/>
      <c r="F26" s="95"/>
      <c r="G26" s="96"/>
      <c r="H26" s="97"/>
      <c r="I26" s="98"/>
      <c r="J26" s="98"/>
      <c r="K26" s="215"/>
      <c r="L26" s="215"/>
      <c r="M26" s="215"/>
      <c r="N26" s="216"/>
      <c r="O26" s="216"/>
      <c r="P26" s="216"/>
      <c r="Q26" s="99"/>
      <c r="R26" s="94"/>
      <c r="S26" s="215" t="str">
        <f>IF(T25="","",T25*1.2)</f>
        <v/>
      </c>
      <c r="T26" s="215"/>
      <c r="U26" s="94"/>
      <c r="V26" s="94" t="str">
        <f>IF(V25&gt;0,V25*20,"")</f>
        <v/>
      </c>
      <c r="W26" s="94" t="str">
        <f>IF(W25="","",(W25*10)*AJ25)</f>
        <v/>
      </c>
      <c r="X26" s="100" t="str">
        <f>IF(ROUNDUP(X25,1)&gt;0,IF((80+(8-ROUNDUP(X25,1))*40)&lt;0,0,80+(8-ROUNDUP(X25,1))*40),"")</f>
        <v/>
      </c>
      <c r="Y26" s="101" t="str">
        <f>IF(SUM(V26,W26,X26)&gt;0,SUM(V26,W26,X26),"")</f>
        <v/>
      </c>
      <c r="Z26" s="102" t="str">
        <f>IF(AE25&gt;34,(IF(OR(S26="",V26="",W26="",X26=""),"",SUM(S26,V26,W26,X26))*AI25),IF(OR(S26="",V26="",W26="",X26=""),"", SUM(S26,V26,W26,X26)))</f>
        <v/>
      </c>
      <c r="AA26" s="102"/>
      <c r="AB26" s="103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2"/>
      <c r="C27" s="126"/>
      <c r="D27" s="106"/>
      <c r="E27" s="127"/>
      <c r="F27" s="128"/>
      <c r="G27" s="129"/>
      <c r="H27" s="105"/>
      <c r="I27" s="111"/>
      <c r="J27" s="111"/>
      <c r="K27" s="130"/>
      <c r="L27" s="131"/>
      <c r="M27" s="131"/>
      <c r="N27" s="131"/>
      <c r="O27" s="132"/>
      <c r="P27" s="132"/>
      <c r="Q27" s="114" t="str">
        <f>IF(MAX(K27:M27)&gt;0,IF(MAX(K27:M27)&lt;0,0,TRUNC(MAX(K27:M27)/1)*1),"")</f>
        <v/>
      </c>
      <c r="R27" s="115" t="str">
        <f>IF(MAX(N27:P27)&gt;0,IF(MAX(N27:P27)&lt;0,0,TRUNC(MAX(N27:P27)/1)*1),"")</f>
        <v/>
      </c>
      <c r="S27" s="125" t="str">
        <f>IF(Q27="","",IF(R27="","",IF(SUM(Q27:R27)=0,"",SUM(Q27:R27))))</f>
        <v/>
      </c>
      <c r="T27" s="116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7" t="str">
        <f>IF(AF27=1,T27*AI27,"")</f>
        <v/>
      </c>
      <c r="V27" s="133"/>
      <c r="W27" s="133"/>
      <c r="X27" s="134"/>
      <c r="Y27" s="119"/>
      <c r="Z27" s="120"/>
      <c r="AA27" s="120"/>
      <c r="AB27" s="121"/>
      <c r="AC27" s="66">
        <f>U5</f>
        <v>45913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4"/>
      <c r="C28" s="138"/>
      <c r="D28" s="94"/>
      <c r="E28" s="95"/>
      <c r="F28" s="95"/>
      <c r="G28" s="139"/>
      <c r="H28" s="96"/>
      <c r="I28" s="98" t="s">
        <v>13</v>
      </c>
      <c r="J28" s="98"/>
      <c r="K28" s="216"/>
      <c r="L28" s="216"/>
      <c r="M28" s="216"/>
      <c r="N28" s="216"/>
      <c r="O28" s="216"/>
      <c r="P28" s="216"/>
      <c r="Q28" s="99"/>
      <c r="R28" s="94"/>
      <c r="S28" s="215" t="str">
        <f>IF(T27="","",T27*1.2)</f>
        <v/>
      </c>
      <c r="T28" s="215"/>
      <c r="U28" s="94"/>
      <c r="V28" s="94" t="str">
        <f>IF(V27&gt;0,V27*20,"")</f>
        <v/>
      </c>
      <c r="W28" s="94" t="str">
        <f>IF(W27="","",(W27*10)*AJ27)</f>
        <v/>
      </c>
      <c r="X28" s="100" t="str">
        <f>IF(ROUNDUP(X27,1)&gt;0,IF((80+(8-ROUNDUP(X27,1))*40)&lt;0,0,80+(8-ROUNDUP(X27,1))*40),"")</f>
        <v/>
      </c>
      <c r="Y28" s="101" t="str">
        <f>IF(SUM(V28,W28,X28)&gt;0,SUM(V28,W28,X28),"")</f>
        <v/>
      </c>
      <c r="Z28" s="102" t="str">
        <f>IF(AE27&gt;34,(IF(OR(S28="",V28="",W28="",X28=""),"",SUM(S28,V28,W28,X28))*AI27),IF(OR(S28="",V28="",W28="",X28=""),"", SUM(S28,V28,W28,X28)))</f>
        <v/>
      </c>
      <c r="AA28" s="102"/>
      <c r="AB28" s="103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2"/>
      <c r="C29" s="126"/>
      <c r="D29" s="106"/>
      <c r="E29" s="127"/>
      <c r="F29" s="128"/>
      <c r="G29" s="129"/>
      <c r="H29" s="105"/>
      <c r="I29" s="111"/>
      <c r="J29" s="111"/>
      <c r="K29" s="130"/>
      <c r="L29" s="131"/>
      <c r="M29" s="131"/>
      <c r="N29" s="131"/>
      <c r="O29" s="132"/>
      <c r="P29" s="132"/>
      <c r="Q29" s="114" t="str">
        <f>IF(MAX(K29:M29)&gt;0,IF(MAX(K29:M29)&lt;0,0,TRUNC(MAX(K29:M29)/1)*1),"")</f>
        <v/>
      </c>
      <c r="R29" s="115" t="str">
        <f>IF(MAX(N29:P29)&gt;0,IF(MAX(N29:P29)&lt;0,0,TRUNC(MAX(N29:P29)/1)*1),"")</f>
        <v/>
      </c>
      <c r="S29" s="125" t="str">
        <f>IF(Q29="","",IF(R29="","",IF(SUM(Q29:R29)=0,"",SUM(Q29:R29))))</f>
        <v/>
      </c>
      <c r="T29" s="116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7" t="str">
        <f>IF(AF29=1,T29*AI29,"")</f>
        <v/>
      </c>
      <c r="V29" s="118"/>
      <c r="W29" s="118"/>
      <c r="X29" s="118"/>
      <c r="Y29" s="119"/>
      <c r="Z29" s="120"/>
      <c r="AA29" s="120"/>
      <c r="AB29" s="121"/>
      <c r="AC29" s="66">
        <f>U5</f>
        <v>45913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4"/>
      <c r="C30" s="138"/>
      <c r="D30" s="94"/>
      <c r="E30" s="95"/>
      <c r="F30" s="95"/>
      <c r="G30" s="139"/>
      <c r="H30" s="96"/>
      <c r="I30" s="98"/>
      <c r="J30" s="98"/>
      <c r="K30" s="216"/>
      <c r="L30" s="216"/>
      <c r="M30" s="216"/>
      <c r="N30" s="216"/>
      <c r="O30" s="216"/>
      <c r="P30" s="216"/>
      <c r="Q30" s="99"/>
      <c r="R30" s="94"/>
      <c r="S30" s="215" t="str">
        <f>IF(T29="","",T29*1.2)</f>
        <v/>
      </c>
      <c r="T30" s="215"/>
      <c r="U30" s="94"/>
      <c r="V30" s="94" t="str">
        <f>IF(V29&gt;0,V29*20,"")</f>
        <v/>
      </c>
      <c r="W30" s="94" t="str">
        <f>IF(W29="","",(W29*10)*AJ29)</f>
        <v/>
      </c>
      <c r="X30" s="100" t="str">
        <f>IF(ROUNDUP(X29,1)&gt;0,IF((80+(8-ROUNDUP(X29,1))*40)&lt;0,0,80+(8-ROUNDUP(X29,1))*40),"")</f>
        <v/>
      </c>
      <c r="Y30" s="101" t="str">
        <f>IF(SUM(V30,W30,X30)&gt;0,SUM(V30,W30,X30),"")</f>
        <v/>
      </c>
      <c r="Z30" s="102" t="str">
        <f>IF(AE29&gt;34,(IF(OR(S30="",V30="",W30="",X30=""),"",SUM(S30,V30,W30,X30))*AI29),IF(OR(S30="",V30="",W30="",X30=""),"", SUM(S30,V30,W30,X30)))</f>
        <v/>
      </c>
      <c r="AA30" s="102"/>
      <c r="AB30" s="103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2"/>
      <c r="C31" s="126"/>
      <c r="D31" s="106"/>
      <c r="E31" s="127"/>
      <c r="F31" s="128"/>
      <c r="G31" s="129"/>
      <c r="H31" s="105"/>
      <c r="I31" s="111" t="s">
        <v>13</v>
      </c>
      <c r="J31" s="111"/>
      <c r="K31" s="130"/>
      <c r="L31" s="131"/>
      <c r="M31" s="131"/>
      <c r="N31" s="131"/>
      <c r="O31" s="132"/>
      <c r="P31" s="132"/>
      <c r="Q31" s="114" t="str">
        <f>IF(MAX(K31:M31)&gt;0,IF(MAX(K31:M31)&lt;0,0,TRUNC(MAX(K31:M31)/1)*1),"")</f>
        <v/>
      </c>
      <c r="R31" s="115" t="str">
        <f>IF(MAX(N31:P31)&gt;0,IF(MAX(N31:P31)&lt;0,0,TRUNC(MAX(N31:P31)/1)*1),"")</f>
        <v/>
      </c>
      <c r="S31" s="125" t="str">
        <f>IF(Q31="","",IF(R31="","",IF(SUM(Q31:R31)=0,"",SUM(Q31:R31))))</f>
        <v/>
      </c>
      <c r="T31" s="116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7" t="str">
        <f>IF(AF31=1,T31*AI31,"")</f>
        <v/>
      </c>
      <c r="V31" s="133"/>
      <c r="W31" s="133"/>
      <c r="X31" s="134"/>
      <c r="Y31" s="119"/>
      <c r="Z31" s="120"/>
      <c r="AA31" s="120"/>
      <c r="AB31" s="121"/>
      <c r="AC31" s="66">
        <f>U5</f>
        <v>45913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4"/>
      <c r="C32" s="138"/>
      <c r="D32" s="94"/>
      <c r="E32" s="95"/>
      <c r="F32" s="95"/>
      <c r="G32" s="139"/>
      <c r="H32" s="96"/>
      <c r="I32" s="98"/>
      <c r="J32" s="98"/>
      <c r="K32" s="216"/>
      <c r="L32" s="216"/>
      <c r="M32" s="216"/>
      <c r="N32" s="216"/>
      <c r="O32" s="216"/>
      <c r="P32" s="216"/>
      <c r="Q32" s="99"/>
      <c r="R32" s="94"/>
      <c r="S32" s="215" t="str">
        <f>IF(T31="","",T31*1.2)</f>
        <v/>
      </c>
      <c r="T32" s="215"/>
      <c r="U32" s="94"/>
      <c r="V32" s="94" t="str">
        <f>IF(V31&gt;0,V31*20,"")</f>
        <v/>
      </c>
      <c r="W32" s="94" t="str">
        <f>IF(W31="","",(W31*10)*AJ31)</f>
        <v/>
      </c>
      <c r="X32" s="100" t="str">
        <f>IF(ROUNDUP(X31,1)&gt;0,IF((80+(8-ROUNDUP(X31,1))*40)&lt;0,0,80+(8-ROUNDUP(X31,1))*40),"")</f>
        <v/>
      </c>
      <c r="Y32" s="101" t="str">
        <f>IF(SUM(V32,W32,X32)&gt;0,SUM(V32,W32,X32),"")</f>
        <v/>
      </c>
      <c r="Z32" s="102" t="str">
        <f>IF(AE31&gt;34,(IF(OR(S32="",V32="",W32="",X32=""),"",SUM(S32,V32,W32,X32))*AI31),IF(OR(S32="",V32="",W32="",X32=""),"", SUM(S32,V32,W32,X32)))</f>
        <v/>
      </c>
      <c r="AA32" s="102"/>
      <c r="AB32" s="103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46" t="s">
        <v>34</v>
      </c>
      <c r="C35" s="248"/>
      <c r="D35" s="77" t="s">
        <v>33</v>
      </c>
      <c r="E35" s="246" t="s">
        <v>4</v>
      </c>
      <c r="F35" s="247"/>
      <c r="G35" s="247"/>
      <c r="H35" s="248"/>
      <c r="I35" s="50" t="s">
        <v>42</v>
      </c>
      <c r="J35" s="21"/>
      <c r="K35" s="246" t="s">
        <v>34</v>
      </c>
      <c r="L35" s="247"/>
      <c r="M35" s="248"/>
      <c r="N35" s="54" t="s">
        <v>33</v>
      </c>
      <c r="O35" s="244" t="s">
        <v>4</v>
      </c>
      <c r="P35" s="263"/>
      <c r="Q35" s="263"/>
      <c r="R35" s="245"/>
      <c r="S35" s="244" t="s">
        <v>42</v>
      </c>
      <c r="T35" s="2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49" t="s">
        <v>40</v>
      </c>
      <c r="C36" s="251"/>
      <c r="D36" s="78"/>
      <c r="E36" s="262" t="s">
        <v>281</v>
      </c>
      <c r="F36" s="250"/>
      <c r="G36" s="250"/>
      <c r="H36" s="251"/>
      <c r="I36" s="49"/>
      <c r="J36" s="4"/>
      <c r="K36" s="249" t="s">
        <v>35</v>
      </c>
      <c r="L36" s="250"/>
      <c r="M36" s="251"/>
      <c r="N36" s="51"/>
      <c r="O36" s="217" t="s">
        <v>282</v>
      </c>
      <c r="P36" s="264"/>
      <c r="Q36" s="264"/>
      <c r="R36" s="265"/>
      <c r="S36" s="217"/>
      <c r="T36" s="218"/>
      <c r="AF36" s="1"/>
      <c r="AH36" s="35"/>
      <c r="AI36" s="35"/>
    </row>
    <row r="37" spans="2:35" s="5" customFormat="1" ht="21" customHeight="1">
      <c r="B37" s="234" t="s">
        <v>36</v>
      </c>
      <c r="C37" s="222"/>
      <c r="D37" s="79"/>
      <c r="E37" s="220" t="s">
        <v>292</v>
      </c>
      <c r="F37" s="221"/>
      <c r="G37" s="221"/>
      <c r="H37" s="222"/>
      <c r="I37" s="47"/>
      <c r="J37" s="4"/>
      <c r="K37" s="234" t="s">
        <v>38</v>
      </c>
      <c r="L37" s="221"/>
      <c r="M37" s="222"/>
      <c r="N37" s="52"/>
      <c r="O37" s="228" t="s">
        <v>284</v>
      </c>
      <c r="P37" s="229"/>
      <c r="Q37" s="229"/>
      <c r="R37" s="230"/>
      <c r="S37" s="228"/>
      <c r="T37" s="231"/>
      <c r="AH37" s="35"/>
      <c r="AI37" s="35"/>
    </row>
    <row r="38" spans="2:35" s="5" customFormat="1" ht="19" customHeight="1">
      <c r="B38" s="234" t="s">
        <v>36</v>
      </c>
      <c r="C38" s="222"/>
      <c r="D38" s="79"/>
      <c r="E38" s="220" t="s">
        <v>281</v>
      </c>
      <c r="F38" s="221"/>
      <c r="G38" s="221"/>
      <c r="H38" s="222"/>
      <c r="I38" s="47"/>
      <c r="J38" s="4"/>
      <c r="K38" s="234" t="s">
        <v>37</v>
      </c>
      <c r="L38" s="221"/>
      <c r="M38" s="222"/>
      <c r="N38" s="52"/>
      <c r="O38" s="228" t="s">
        <v>296</v>
      </c>
      <c r="P38" s="229"/>
      <c r="Q38" s="229"/>
      <c r="R38" s="230"/>
      <c r="S38" s="228"/>
      <c r="T38" s="231"/>
      <c r="V38" s="5" t="s">
        <v>54</v>
      </c>
      <c r="AH38" s="35"/>
      <c r="AI38" s="35"/>
    </row>
    <row r="39" spans="2:35" s="5" customFormat="1" ht="21" customHeight="1">
      <c r="B39" s="234" t="s">
        <v>36</v>
      </c>
      <c r="C39" s="222"/>
      <c r="D39" s="79"/>
      <c r="E39" s="220" t="s">
        <v>293</v>
      </c>
      <c r="F39" s="221"/>
      <c r="G39" s="221"/>
      <c r="H39" s="222"/>
      <c r="I39" s="47"/>
      <c r="J39" s="4"/>
      <c r="K39" s="234" t="s">
        <v>55</v>
      </c>
      <c r="L39" s="221"/>
      <c r="M39" s="222"/>
      <c r="N39" s="52"/>
      <c r="O39" s="228" t="s">
        <v>283</v>
      </c>
      <c r="P39" s="229"/>
      <c r="Q39" s="229"/>
      <c r="R39" s="230"/>
      <c r="S39" s="228"/>
      <c r="T39" s="231"/>
      <c r="AD39" s="5" t="s">
        <v>13</v>
      </c>
      <c r="AH39" s="35"/>
      <c r="AI39" s="35"/>
    </row>
    <row r="40" spans="2:35" s="5" customFormat="1" ht="20" customHeight="1">
      <c r="B40" s="234" t="s">
        <v>36</v>
      </c>
      <c r="C40" s="222"/>
      <c r="D40" s="79"/>
      <c r="E40" s="220"/>
      <c r="F40" s="221"/>
      <c r="G40" s="221"/>
      <c r="H40" s="222"/>
      <c r="I40" s="47"/>
      <c r="J40" s="4"/>
      <c r="K40" s="234" t="s">
        <v>55</v>
      </c>
      <c r="L40" s="221"/>
      <c r="M40" s="222"/>
      <c r="N40" s="52"/>
      <c r="O40" s="228" t="s">
        <v>290</v>
      </c>
      <c r="P40" s="229"/>
      <c r="Q40" s="229"/>
      <c r="R40" s="230"/>
      <c r="S40" s="228"/>
      <c r="T40" s="231"/>
      <c r="AH40" s="35"/>
      <c r="AI40" s="35"/>
    </row>
    <row r="41" spans="2:35" ht="19" customHeight="1">
      <c r="B41" s="234" t="s">
        <v>36</v>
      </c>
      <c r="C41" s="222"/>
      <c r="D41" s="79"/>
      <c r="E41" s="220"/>
      <c r="F41" s="221"/>
      <c r="G41" s="221"/>
      <c r="H41" s="222"/>
      <c r="I41" s="47"/>
      <c r="J41" s="3"/>
      <c r="K41" s="234"/>
      <c r="L41" s="221"/>
      <c r="M41" s="222"/>
      <c r="N41" s="52"/>
      <c r="O41" s="228"/>
      <c r="P41" s="229"/>
      <c r="Q41" s="229"/>
      <c r="R41" s="230"/>
      <c r="S41" s="228"/>
      <c r="T41" s="231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234" t="s">
        <v>39</v>
      </c>
      <c r="C42" s="222"/>
      <c r="D42" s="79"/>
      <c r="E42" s="220" t="s">
        <v>289</v>
      </c>
      <c r="F42" s="221"/>
      <c r="G42" s="221"/>
      <c r="H42" s="222"/>
      <c r="I42" s="47"/>
      <c r="J42" s="3"/>
      <c r="K42" s="234"/>
      <c r="L42" s="221"/>
      <c r="M42" s="222"/>
      <c r="N42" s="52"/>
      <c r="O42" s="228"/>
      <c r="P42" s="229"/>
      <c r="Q42" s="229"/>
      <c r="R42" s="230"/>
      <c r="S42" s="228"/>
      <c r="T42" s="231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226"/>
      <c r="C43" s="225"/>
      <c r="D43" s="80"/>
      <c r="E43" s="223"/>
      <c r="F43" s="224"/>
      <c r="G43" s="224"/>
      <c r="H43" s="225"/>
      <c r="I43" s="48"/>
      <c r="J43" s="3"/>
      <c r="K43" s="226"/>
      <c r="L43" s="224"/>
      <c r="M43" s="225"/>
      <c r="N43" s="53"/>
      <c r="O43" s="240"/>
      <c r="P43" s="241"/>
      <c r="Q43" s="241"/>
      <c r="R43" s="242"/>
      <c r="S43" s="240"/>
      <c r="T43" s="24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33"/>
      <c r="C44" s="233"/>
      <c r="D44" s="232"/>
      <c r="E44" s="232"/>
      <c r="F44" s="56"/>
      <c r="G44" s="232"/>
      <c r="H44" s="232"/>
      <c r="I44" s="232"/>
      <c r="J44" s="3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37" t="s">
        <v>41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226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9"/>
      <c r="F50" s="219"/>
      <c r="G50" s="219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119" priority="24" stopIfTrue="1" operator="lessThanOrEqual">
      <formula>0</formula>
    </cfRule>
    <cfRule type="cellIs" dxfId="118" priority="23" stopIfTrue="1" operator="between">
      <formula>1</formula>
      <formula>300</formula>
    </cfRule>
  </conditionalFormatting>
  <conditionalFormatting sqref="K29">
    <cfRule type="cellIs" dxfId="117" priority="22" stopIfTrue="1" operator="lessThanOrEqual">
      <formula>0</formula>
    </cfRule>
    <cfRule type="cellIs" dxfId="116" priority="21" stopIfTrue="1" operator="between">
      <formula>1</formula>
      <formula>300</formula>
    </cfRule>
  </conditionalFormatting>
  <conditionalFormatting sqref="K31">
    <cfRule type="cellIs" dxfId="115" priority="19" stopIfTrue="1" operator="between">
      <formula>1</formula>
      <formula>300</formula>
    </cfRule>
    <cfRule type="cellIs" dxfId="114" priority="20" stopIfTrue="1" operator="lessThanOrEqual">
      <formula>0</formula>
    </cfRule>
  </conditionalFormatting>
  <conditionalFormatting sqref="K9:P9">
    <cfRule type="cellIs" dxfId="113" priority="13" stopIfTrue="1" operator="between">
      <formula>1</formula>
      <formula>300</formula>
    </cfRule>
    <cfRule type="cellIs" dxfId="112" priority="14" stopIfTrue="1" operator="lessThanOrEqual">
      <formula>0</formula>
    </cfRule>
  </conditionalFormatting>
  <conditionalFormatting sqref="K11:P11">
    <cfRule type="cellIs" dxfId="111" priority="11" stopIfTrue="1" operator="between">
      <formula>1</formula>
      <formula>300</formula>
    </cfRule>
    <cfRule type="cellIs" dxfId="110" priority="12" stopIfTrue="1" operator="lessThanOrEqual">
      <formula>0</formula>
    </cfRule>
  </conditionalFormatting>
  <conditionalFormatting sqref="K13:P13">
    <cfRule type="cellIs" dxfId="109" priority="7" stopIfTrue="1" operator="between">
      <formula>1</formula>
      <formula>300</formula>
    </cfRule>
    <cfRule type="cellIs" dxfId="108" priority="8" stopIfTrue="1" operator="lessThanOrEqual">
      <formula>0</formula>
    </cfRule>
  </conditionalFormatting>
  <conditionalFormatting sqref="K15:P15">
    <cfRule type="cellIs" dxfId="107" priority="9" stopIfTrue="1" operator="between">
      <formula>1</formula>
      <formula>300</formula>
    </cfRule>
    <cfRule type="cellIs" dxfId="106" priority="10" stopIfTrue="1" operator="lessThanOrEqual">
      <formula>0</formula>
    </cfRule>
  </conditionalFormatting>
  <conditionalFormatting sqref="K17:P17">
    <cfRule type="cellIs" dxfId="105" priority="15" stopIfTrue="1" operator="between">
      <formula>1</formula>
      <formula>300</formula>
    </cfRule>
    <cfRule type="cellIs" dxfId="104" priority="16" stopIfTrue="1" operator="lessThanOrEqual">
      <formula>0</formula>
    </cfRule>
  </conditionalFormatting>
  <conditionalFormatting sqref="K19:P19">
    <cfRule type="cellIs" dxfId="103" priority="1" stopIfTrue="1" operator="between">
      <formula>1</formula>
      <formula>300</formula>
    </cfRule>
    <cfRule type="cellIs" dxfId="102" priority="2" stopIfTrue="1" operator="lessThanOrEqual">
      <formula>0</formula>
    </cfRule>
  </conditionalFormatting>
  <conditionalFormatting sqref="K21:P21">
    <cfRule type="cellIs" dxfId="101" priority="4" stopIfTrue="1" operator="lessThanOrEqual">
      <formula>0</formula>
    </cfRule>
    <cfRule type="cellIs" dxfId="100" priority="3" stopIfTrue="1" operator="between">
      <formula>1</formula>
      <formula>300</formula>
    </cfRule>
  </conditionalFormatting>
  <conditionalFormatting sqref="K23:P23">
    <cfRule type="cellIs" dxfId="99" priority="6" stopIfTrue="1" operator="lessThanOrEqual">
      <formula>0</formula>
    </cfRule>
    <cfRule type="cellIs" dxfId="98" priority="5" stopIfTrue="1" operator="between">
      <formula>1</formula>
      <formula>300</formula>
    </cfRule>
  </conditionalFormatting>
  <conditionalFormatting sqref="K25:P25">
    <cfRule type="cellIs" dxfId="97" priority="18" stopIfTrue="1" operator="lessThanOrEqual">
      <formula>0</formula>
    </cfRule>
    <cfRule type="cellIs" dxfId="96" priority="17" stopIfTrue="1" operator="between">
      <formula>1</formula>
      <formula>300</formula>
    </cfRule>
  </conditionalFormatting>
  <conditionalFormatting sqref="L27:N27">
    <cfRule type="cellIs" dxfId="95" priority="29" stopIfTrue="1" operator="between">
      <formula>1</formula>
      <formula>300</formula>
    </cfRule>
    <cfRule type="cellIs" dxfId="94" priority="30" stopIfTrue="1" operator="lessThanOrEqual">
      <formula>0</formula>
    </cfRule>
  </conditionalFormatting>
  <conditionalFormatting sqref="L29:N29">
    <cfRule type="cellIs" dxfId="93" priority="27" stopIfTrue="1" operator="between">
      <formula>1</formula>
      <formula>300</formula>
    </cfRule>
    <cfRule type="cellIs" dxfId="92" priority="28" stopIfTrue="1" operator="lessThanOrEqual">
      <formula>0</formula>
    </cfRule>
  </conditionalFormatting>
  <conditionalFormatting sqref="L31:N31">
    <cfRule type="cellIs" dxfId="91" priority="25" stopIfTrue="1" operator="between">
      <formula>1</formula>
      <formula>300</formula>
    </cfRule>
    <cfRule type="cellIs" dxfId="90" priority="26" stopIfTrue="1" operator="lessThanOrEqual">
      <formula>0</formula>
    </cfRule>
  </conditionalFormatting>
  <dataValidations count="6">
    <dataValidation type="list" allowBlank="1" showInputMessage="1" showErrorMessage="1" sqref="F9 F27 F29 F31 F25 F11 F13 F15 F17 F19 F21 F23" xr:uid="{1FE9DB48-D7D4-4CB2-94FC-6BAC49235B13}">
      <formula1>"11-12,13-14,15-16,17-18,19-23,24-34,+35"</formula1>
    </dataValidation>
    <dataValidation type="list" allowBlank="1" showInputMessage="1" showErrorMessage="1" prompt="Feil_i_kat. 5-kamp - Feil verdi i kategori 5-kamp" sqref="G12" xr:uid="{6EA0BF8B-8A15-41DD-A1F1-81201CDF141F}">
      <formula1>"11-12,13-14,15-16,17-18,19-23,24-34,+35,35+"</formula1>
    </dataValidation>
    <dataValidation type="list" allowBlank="1" showInputMessage="1" showErrorMessage="1" sqref="E9 E27 E29 E31 E25 E11 E13 E15 E17 E19 E21 E23" xr:uid="{A5B522A1-D615-470D-AB45-406C88F63D55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D19C1BEE-41F3-49E7-B58E-B6F5048F2C7E}">
      <formula1>"44,48,53,56,58,60,63,65,69,71,77,'+77,79,86,'+86,88,94,'+94,110,'+110"</formula1>
    </dataValidation>
    <dataValidation type="list" allowBlank="1" showInputMessage="1" showErrorMessage="1" sqref="D5:I5" xr:uid="{ED7ABF94-A26F-4063-AC51-9E0B3C19082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7475F92F-5481-44C1-B8B8-E1D1D145DE1A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EE01-5B43-45C4-B5D1-6ACCB5D8A92D}">
  <sheetPr>
    <pageSetUpPr autoPageBreaks="0" fitToPage="1"/>
  </sheetPr>
  <dimension ref="A1:AJ50"/>
  <sheetViews>
    <sheetView showGridLines="0" showZeros="0" showOutlineSymbols="0" topLeftCell="A5" zoomScaleNormal="100" zoomScaleSheetLayoutView="75" zoomScalePageLayoutView="120" workbookViewId="0">
      <selection activeCell="G6" sqref="G1:G1048576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hidden="1" customWidth="1"/>
    <col min="5" max="6" width="6.3984375" style="16" customWidth="1"/>
    <col min="7" max="7" width="10.59765625" style="1" hidden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5" width="8" style="17" customWidth="1"/>
    <col min="26" max="26" width="10.796875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35" t="s">
        <v>57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83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36" t="s">
        <v>21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85" t="s">
        <v>59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55" t="s">
        <v>61</v>
      </c>
      <c r="E5" s="255"/>
      <c r="F5" s="255"/>
      <c r="G5" s="255"/>
      <c r="H5" s="255"/>
      <c r="I5" s="255"/>
      <c r="J5" s="24" t="s">
        <v>0</v>
      </c>
      <c r="K5" s="255" t="s">
        <v>62</v>
      </c>
      <c r="L5" s="255"/>
      <c r="M5" s="255"/>
      <c r="N5" s="255"/>
      <c r="O5" s="24" t="s">
        <v>1</v>
      </c>
      <c r="P5" s="254" t="s">
        <v>63</v>
      </c>
      <c r="Q5" s="254"/>
      <c r="R5" s="254"/>
      <c r="S5" s="254"/>
      <c r="T5" s="24" t="s">
        <v>2</v>
      </c>
      <c r="U5" s="266">
        <v>45914</v>
      </c>
      <c r="V5" s="266"/>
      <c r="W5" s="55"/>
      <c r="X5" s="55"/>
      <c r="Y5" s="55"/>
      <c r="Z5" s="25" t="s">
        <v>15</v>
      </c>
      <c r="AA5" s="25"/>
      <c r="AB5" s="26">
        <v>7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4" t="s">
        <v>56</v>
      </c>
    </row>
    <row r="7" spans="1:36" s="1" customFormat="1">
      <c r="B7" s="252" t="s">
        <v>33</v>
      </c>
      <c r="C7" s="256" t="s">
        <v>52</v>
      </c>
      <c r="D7" s="256" t="s">
        <v>51</v>
      </c>
      <c r="E7" s="258" t="s">
        <v>53</v>
      </c>
      <c r="F7" s="260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4"/>
    </row>
    <row r="8" spans="1:36" s="1" customFormat="1">
      <c r="B8" s="253"/>
      <c r="C8" s="257"/>
      <c r="D8" s="257"/>
      <c r="E8" s="259"/>
      <c r="F8" s="261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206" t="s">
        <v>190</v>
      </c>
      <c r="C9" s="148"/>
      <c r="D9" s="212"/>
      <c r="E9" s="147" t="s">
        <v>88</v>
      </c>
      <c r="F9" s="148" t="s">
        <v>200</v>
      </c>
      <c r="G9" s="149">
        <v>36937</v>
      </c>
      <c r="H9" s="150">
        <v>3</v>
      </c>
      <c r="I9" s="151" t="s">
        <v>178</v>
      </c>
      <c r="J9" s="152" t="s">
        <v>134</v>
      </c>
      <c r="K9" s="153"/>
      <c r="L9" s="154"/>
      <c r="M9" s="154"/>
      <c r="N9" s="153"/>
      <c r="O9" s="154"/>
      <c r="P9" s="154"/>
      <c r="Q9" s="155" t="str">
        <f>IF(MAX(K9:M9)&gt;0,IF(MAX(K9:M9)&lt;0,0,TRUNC(MAX(K9:M9)/1)*1),"")</f>
        <v/>
      </c>
      <c r="R9" s="156" t="str">
        <f>IF(MAX(N9:P9)&gt;0,IF(MAX(N9:P9)&lt;0,0,TRUNC(MAX(N9:P9)/1)*1),"")</f>
        <v/>
      </c>
      <c r="S9" s="156" t="str">
        <f>IF(Q9="","",IF(R9="","",IF(SUM(Q9:R9)=0,"",SUM(Q9:R9))))</f>
        <v/>
      </c>
      <c r="T9" s="157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58" t="str">
        <f>IF(AF9=1,T9*AI9,"")</f>
        <v/>
      </c>
      <c r="V9" s="159"/>
      <c r="W9" s="159"/>
      <c r="X9" s="159"/>
      <c r="Y9" s="157"/>
      <c r="Z9" s="160"/>
      <c r="AA9" s="160"/>
      <c r="AB9" s="161"/>
      <c r="AC9" s="68">
        <f>U5</f>
        <v>45914</v>
      </c>
      <c r="AD9" s="69" t="str">
        <f>IF(ISNUMBER(FIND("M",E9)),"m",IF(ISNUMBER(FIND("K",E9)),"k"))</f>
        <v>m</v>
      </c>
      <c r="AE9" s="67">
        <f>IF(OR(G9="",AC9=""),0,(YEAR(AC9)-YEAR(G9)))</f>
        <v>24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 t="str">
        <f>IF(D9="","",IF(D9&gt;193.609,1,IF(D9&lt;32,10^(0.722762521*LOG10(32/193.609)^2),10^(0.722762521*LOG10(D9/193.609)^2))))</f>
        <v/>
      </c>
    </row>
    <row r="10" spans="1:36" s="8" customFormat="1" ht="20" customHeight="1">
      <c r="B10" s="207"/>
      <c r="C10" s="94"/>
      <c r="D10" s="210"/>
      <c r="E10" s="94"/>
      <c r="F10" s="95"/>
      <c r="G10" s="96"/>
      <c r="H10" s="97"/>
      <c r="I10" s="98"/>
      <c r="J10" s="98"/>
      <c r="K10" s="215"/>
      <c r="L10" s="215"/>
      <c r="M10" s="215"/>
      <c r="N10" s="216"/>
      <c r="O10" s="216"/>
      <c r="P10" s="216"/>
      <c r="Q10" s="99"/>
      <c r="R10" s="94"/>
      <c r="S10" s="215" t="str">
        <f>IF(T9="","",T9*1.2)</f>
        <v/>
      </c>
      <c r="T10" s="215"/>
      <c r="U10" s="94"/>
      <c r="V10" s="94" t="str">
        <f>IF(V9&gt;0,V9*20,"")</f>
        <v/>
      </c>
      <c r="W10" s="94" t="str">
        <f>IF(W9="","",(W9*10)*AJ9)</f>
        <v/>
      </c>
      <c r="X10" s="100" t="str">
        <f>IF(ROUNDUP(X9,1)&gt;0,IF((80+(8-ROUNDUP(X9,1))*40)&lt;0,0,80+(8-ROUNDUP(X9,1))*40),"")</f>
        <v/>
      </c>
      <c r="Y10" s="101" t="str">
        <f>IF(SUM(V10,W10,X10)&gt;0,SUM(V10,W10,X10),"")</f>
        <v/>
      </c>
      <c r="Z10" s="102" t="str">
        <f>IF(AE9&gt;34,(IF(OR(S10="",V10="",W10="",X10=""),"",SUM(S10,V10,W10,X10))*AI9),IF(OR(S10="",V10="",W10="",X10=""),"", SUM(S10,V10,W10,X10)))</f>
        <v/>
      </c>
      <c r="AA10" s="102"/>
      <c r="AB10" s="103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208" t="s">
        <v>191</v>
      </c>
      <c r="C11" s="107" t="s">
        <v>321</v>
      </c>
      <c r="D11" s="211">
        <v>92.13</v>
      </c>
      <c r="E11" s="147" t="s">
        <v>88</v>
      </c>
      <c r="F11" s="148" t="s">
        <v>200</v>
      </c>
      <c r="G11" s="108">
        <v>37155</v>
      </c>
      <c r="H11" s="109">
        <v>6</v>
      </c>
      <c r="I11" s="110" t="s">
        <v>179</v>
      </c>
      <c r="J11" s="111" t="s">
        <v>155</v>
      </c>
      <c r="K11" s="112">
        <v>118</v>
      </c>
      <c r="L11" s="113">
        <v>122</v>
      </c>
      <c r="M11" s="113">
        <v>-125</v>
      </c>
      <c r="N11" s="112">
        <v>145</v>
      </c>
      <c r="O11" s="113">
        <v>-148</v>
      </c>
      <c r="P11" s="113">
        <v>150</v>
      </c>
      <c r="Q11" s="114">
        <f>IF(MAX(K11:M11)&gt;0,IF(MAX(K11:M11)&lt;0,0,TRUNC(MAX(K11:M11)/1)*1),"")</f>
        <v>122</v>
      </c>
      <c r="R11" s="115">
        <f>IF(MAX(N11:P11)&gt;0,IF(MAX(N11:P11)&lt;0,0,TRUNC(MAX(N11:P11)/1)*1),"")</f>
        <v>150</v>
      </c>
      <c r="S11" s="115">
        <f>IF(Q11="","",IF(R11="","",IF(SUM(Q11:R11)=0,"",SUM(Q11:R11))))</f>
        <v>272</v>
      </c>
      <c r="T11" s="116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323.40902246654474</v>
      </c>
      <c r="U11" s="117" t="str">
        <f>IF(AF11=1,T11*AI11,"")</f>
        <v/>
      </c>
      <c r="V11" s="118">
        <v>8.2200000000000006</v>
      </c>
      <c r="W11" s="118">
        <v>10.44</v>
      </c>
      <c r="X11" s="118">
        <v>6.1</v>
      </c>
      <c r="Y11" s="119"/>
      <c r="Z11" s="120"/>
      <c r="AA11" s="120" t="s">
        <v>305</v>
      </c>
      <c r="AB11" s="121"/>
      <c r="AC11" s="66">
        <f>U5</f>
        <v>45914</v>
      </c>
      <c r="AD11" s="69" t="str">
        <f>IF(ISNUMBER(FIND("M",E11)),"m",IF(ISNUMBER(FIND("K",E11)),"k"))</f>
        <v>m</v>
      </c>
      <c r="AE11" s="67">
        <f>IF(OR(G11="",AC11=""),0,(YEAR(AC11)-YEAR(G11)))</f>
        <v>24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1.1890037590681792</v>
      </c>
    </row>
    <row r="12" spans="1:36" s="8" customFormat="1" ht="20" customHeight="1">
      <c r="B12" s="104"/>
      <c r="C12" s="94"/>
      <c r="D12" s="210"/>
      <c r="E12" s="94"/>
      <c r="F12" s="95"/>
      <c r="G12" s="96"/>
      <c r="H12" s="97"/>
      <c r="I12" s="98"/>
      <c r="J12" s="98"/>
      <c r="K12" s="215"/>
      <c r="L12" s="215"/>
      <c r="M12" s="215"/>
      <c r="N12" s="216"/>
      <c r="O12" s="216"/>
      <c r="P12" s="216"/>
      <c r="Q12" s="99"/>
      <c r="R12" s="94"/>
      <c r="S12" s="215">
        <f>IF(T11="","",T11*1.2)</f>
        <v>388.0908269598537</v>
      </c>
      <c r="T12" s="215"/>
      <c r="U12" s="102"/>
      <c r="V12" s="94">
        <f>IF(V11&gt;0,V11*20,"")</f>
        <v>164.4</v>
      </c>
      <c r="W12" s="94">
        <f>IF(W11="","",(W11*10)*AJ11)</f>
        <v>124.1319924467179</v>
      </c>
      <c r="X12" s="100">
        <f>IF(ROUNDUP(X11,1)&gt;0,IF((80+(8-ROUNDUP(X11,1))*40)&lt;0,0,80+(8-ROUNDUP(X11,1))*40),"")</f>
        <v>156</v>
      </c>
      <c r="Y12" s="101">
        <f>IF(SUM(V12,W12,X12)&gt;0,SUM(V12,W12,X12),"")</f>
        <v>444.53199244671794</v>
      </c>
      <c r="Z12" s="102">
        <f>IF(AE11&gt;34,(IF(OR(S12="",V12="",W12="",X12=""),"",SUM(S12,V12,W12,X12))*AI11),IF(OR(S12="",V12="",W12="",X12=""),"", SUM(S12,V12,W12,X12)))</f>
        <v>832.62281940657158</v>
      </c>
      <c r="AA12" s="102"/>
      <c r="AB12" s="103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2" t="s">
        <v>192</v>
      </c>
      <c r="C13" s="105" t="s">
        <v>322</v>
      </c>
      <c r="D13" s="211">
        <v>87.42</v>
      </c>
      <c r="E13" s="147" t="s">
        <v>88</v>
      </c>
      <c r="F13" s="148" t="s">
        <v>200</v>
      </c>
      <c r="G13" s="108">
        <v>36748</v>
      </c>
      <c r="H13" s="109">
        <v>7</v>
      </c>
      <c r="I13" s="110" t="s">
        <v>180</v>
      </c>
      <c r="J13" s="111" t="s">
        <v>134</v>
      </c>
      <c r="K13" s="112">
        <v>95</v>
      </c>
      <c r="L13" s="113">
        <v>-100</v>
      </c>
      <c r="M13" s="113">
        <v>-100</v>
      </c>
      <c r="N13" s="112">
        <v>130</v>
      </c>
      <c r="O13" s="113">
        <v>135</v>
      </c>
      <c r="P13" s="113">
        <v>136</v>
      </c>
      <c r="Q13" s="114">
        <f>IF(MAX(K13:M13)&gt;0,IF(MAX(K13:M13)&lt;0,0,TRUNC(MAX(K13:M13)/1)*1),"")</f>
        <v>95</v>
      </c>
      <c r="R13" s="115">
        <f>IF(MAX(N13:P13)&gt;0,IF(MAX(N13:P13)&lt;0,0,TRUNC(MAX(N13:P13)/1)*1),"")</f>
        <v>136</v>
      </c>
      <c r="S13" s="115">
        <f>IF(Q13="","",IF(R13="","",IF(SUM(Q13:R13)=0,"",SUM(Q13:R13))))</f>
        <v>231</v>
      </c>
      <c r="T13" s="11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281.70582234472761</v>
      </c>
      <c r="U13" s="117" t="str">
        <f>IF(AF13=1,T13*AI13,"")</f>
        <v/>
      </c>
      <c r="V13" s="118">
        <v>9.2799999999999994</v>
      </c>
      <c r="W13" s="118">
        <v>15.08</v>
      </c>
      <c r="X13" s="118">
        <v>6.2</v>
      </c>
      <c r="Y13" s="123"/>
      <c r="Z13" s="120"/>
      <c r="AA13" s="120" t="s">
        <v>303</v>
      </c>
      <c r="AB13" s="121"/>
      <c r="AC13" s="66">
        <f>U5</f>
        <v>45914</v>
      </c>
      <c r="AD13" s="69" t="str">
        <f>IF(ISNUMBER(FIND("M",E13)),"m",IF(ISNUMBER(FIND("K",E13)),"k"))</f>
        <v>m</v>
      </c>
      <c r="AE13" s="67">
        <f>IF(OR(G13="",AC13=""),0,(YEAR(AC13)-YEAR(G13)))</f>
        <v>25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1.2195057244360503</v>
      </c>
    </row>
    <row r="14" spans="1:36" s="8" customFormat="1" ht="20" customHeight="1">
      <c r="B14" s="104"/>
      <c r="C14" s="94"/>
      <c r="D14" s="210"/>
      <c r="E14" s="94"/>
      <c r="F14" s="95"/>
      <c r="G14" s="96"/>
      <c r="H14" s="97"/>
      <c r="I14" s="98"/>
      <c r="J14" s="98"/>
      <c r="K14" s="215"/>
      <c r="L14" s="215"/>
      <c r="M14" s="215"/>
      <c r="N14" s="216"/>
      <c r="O14" s="216"/>
      <c r="P14" s="216"/>
      <c r="Q14" s="99"/>
      <c r="R14" s="94"/>
      <c r="S14" s="215">
        <f>IF(T13="","",T13*1.2)</f>
        <v>338.04698681367313</v>
      </c>
      <c r="T14" s="215"/>
      <c r="U14" s="94"/>
      <c r="V14" s="94">
        <f>IF(V13&gt;0,V13*20,"")</f>
        <v>185.6</v>
      </c>
      <c r="W14" s="94">
        <f>IF(W13="","",(W13*10)*AJ13)</f>
        <v>183.9014632449564</v>
      </c>
      <c r="X14" s="100">
        <f>IF(ROUNDUP(X13,1)&gt;0,IF((80+(8-ROUNDUP(X13,1))*40)&lt;0,0,80+(8-ROUNDUP(X13,1))*40),"")</f>
        <v>152</v>
      </c>
      <c r="Y14" s="101">
        <f>IF(SUM(V14,W14,X14)&gt;0,SUM(V14,W14,X14),"")</f>
        <v>521.50146324495643</v>
      </c>
      <c r="Z14" s="102">
        <f>IF(AE13&gt;34,(IF(OR(S14="",V14="",W14="",X14=""),"",SUM(S14,V14,W14,X14))*AI13),IF(OR(S14="",V14="",W14="",X14=""),"", SUM(S14,V14,W14,X14)))</f>
        <v>859.54845005862956</v>
      </c>
      <c r="AA14" s="102"/>
      <c r="AB14" s="103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2" t="s">
        <v>193</v>
      </c>
      <c r="C15" s="105" t="s">
        <v>278</v>
      </c>
      <c r="D15" s="211">
        <v>98.04</v>
      </c>
      <c r="E15" s="147" t="s">
        <v>88</v>
      </c>
      <c r="F15" s="148" t="s">
        <v>200</v>
      </c>
      <c r="G15" s="108">
        <v>35344</v>
      </c>
      <c r="H15" s="109">
        <v>8</v>
      </c>
      <c r="I15" s="110" t="s">
        <v>181</v>
      </c>
      <c r="J15" s="111" t="s">
        <v>182</v>
      </c>
      <c r="K15" s="112">
        <v>120</v>
      </c>
      <c r="L15" s="113">
        <v>124</v>
      </c>
      <c r="M15" s="113">
        <v>127</v>
      </c>
      <c r="N15" s="112">
        <v>148</v>
      </c>
      <c r="O15" s="113">
        <v>154</v>
      </c>
      <c r="P15" s="113">
        <v>160</v>
      </c>
      <c r="Q15" s="114">
        <f>IF(MAX(K15:M15)&gt;0,IF(MAX(K15:M15)&lt;0,0,TRUNC(MAX(K15:M15)/1)*1),"")</f>
        <v>127</v>
      </c>
      <c r="R15" s="115">
        <f>IF(MAX(N15:P15)&gt;0,IF(MAX(N15:P15)&lt;0,0,TRUNC(MAX(N15:P15)/1)*1),"")</f>
        <v>160</v>
      </c>
      <c r="S15" s="115">
        <f>IF(Q15="","",IF(R15="","",IF(SUM(Q15:R15)=0,"",SUM(Q15:R15))))</f>
        <v>287</v>
      </c>
      <c r="T15" s="11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331.89690355701578</v>
      </c>
      <c r="U15" s="117" t="str">
        <f>IF(AF15=1,T15*AI15,"")</f>
        <v/>
      </c>
      <c r="V15" s="118">
        <v>9.2100000000000009</v>
      </c>
      <c r="W15" s="118">
        <v>13.98</v>
      </c>
      <c r="X15" s="118">
        <v>6.2</v>
      </c>
      <c r="Y15" s="119"/>
      <c r="Z15" s="120"/>
      <c r="AA15" s="120" t="s">
        <v>304</v>
      </c>
      <c r="AB15" s="121"/>
      <c r="AC15" s="66">
        <f>U5</f>
        <v>45914</v>
      </c>
      <c r="AD15" s="69" t="str">
        <f>IF(ISNUMBER(FIND("M",E15)),"m",IF(ISNUMBER(FIND("K",E15)),"k"))</f>
        <v>m</v>
      </c>
      <c r="AE15" s="67">
        <f>IF(OR(G15="",AC15=""),0,(YEAR(AC15)-YEAR(G15)))</f>
        <v>29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1.1564352040314139</v>
      </c>
    </row>
    <row r="16" spans="1:36" s="8" customFormat="1" ht="20" customHeight="1">
      <c r="B16" s="104"/>
      <c r="C16" s="94"/>
      <c r="D16" s="210"/>
      <c r="E16" s="94"/>
      <c r="F16" s="95"/>
      <c r="G16" s="96"/>
      <c r="H16" s="97"/>
      <c r="I16" s="98"/>
      <c r="J16" s="98"/>
      <c r="K16" s="215"/>
      <c r="L16" s="215"/>
      <c r="M16" s="215"/>
      <c r="N16" s="216"/>
      <c r="O16" s="216"/>
      <c r="P16" s="216"/>
      <c r="Q16" s="136"/>
      <c r="R16" s="137"/>
      <c r="S16" s="215">
        <f>IF(T15="","",T15*1.2)</f>
        <v>398.27628426841892</v>
      </c>
      <c r="T16" s="215"/>
      <c r="U16" s="94"/>
      <c r="V16" s="94">
        <f>IF(V15&gt;0,V15*20,"")</f>
        <v>184.20000000000002</v>
      </c>
      <c r="W16" s="94">
        <f>IF(W15="","",(W15*10)*AJ15)</f>
        <v>161.66964152359168</v>
      </c>
      <c r="X16" s="100">
        <f>IF(ROUNDUP(X15,1)&gt;0,IF((80+(8-ROUNDUP(X15,1))*40)&lt;0,0,80+(8-ROUNDUP(X15,1))*40),"")</f>
        <v>152</v>
      </c>
      <c r="Y16" s="101">
        <f>IF(SUM(V16,W16,X16)&gt;0,SUM(V16,W16,X16),"")</f>
        <v>497.86964152359167</v>
      </c>
      <c r="Z16" s="102">
        <f>IF(AE15&gt;34,(IF(OR(S16="",V16="",W16="",X16=""),"",SUM(S16,V16,W16,X16))*AI15),IF(OR(S16="",V16="",W16="",X16=""),"", SUM(S16,V16,W16,X16)))</f>
        <v>896.14592579201053</v>
      </c>
      <c r="AA16" s="102"/>
      <c r="AB16" s="103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2" t="s">
        <v>194</v>
      </c>
      <c r="C17" s="107" t="s">
        <v>323</v>
      </c>
      <c r="D17" s="211">
        <v>124.11</v>
      </c>
      <c r="E17" s="147" t="s">
        <v>88</v>
      </c>
      <c r="F17" s="148" t="s">
        <v>200</v>
      </c>
      <c r="G17" s="108">
        <v>37123</v>
      </c>
      <c r="H17" s="109">
        <v>11</v>
      </c>
      <c r="I17" s="124" t="s">
        <v>183</v>
      </c>
      <c r="J17" s="111" t="s">
        <v>134</v>
      </c>
      <c r="K17" s="112">
        <v>-110</v>
      </c>
      <c r="L17" s="113">
        <v>110</v>
      </c>
      <c r="M17" s="113">
        <v>115</v>
      </c>
      <c r="N17" s="112">
        <v>140</v>
      </c>
      <c r="O17" s="113">
        <v>145</v>
      </c>
      <c r="P17" s="113">
        <v>150</v>
      </c>
      <c r="Q17" s="114">
        <f>IF(MAX(K17:M17)&gt;0,IF(MAX(K17:M17)&lt;0,0,TRUNC(MAX(K17:M17)/1)*1),"")</f>
        <v>115</v>
      </c>
      <c r="R17" s="115">
        <f>IF(MAX(N17:P17)&gt;0,IF(MAX(N17:P17)&lt;0,0,TRUNC(MAX(N17:P17)/1)*1),"")</f>
        <v>150</v>
      </c>
      <c r="S17" s="125">
        <f>IF(Q17="","",IF(R17="","",IF(SUM(Q17:R17)=0,"",SUM(Q17:R17))))</f>
        <v>265</v>
      </c>
      <c r="T17" s="11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281.9688930797908</v>
      </c>
      <c r="U17" s="117" t="str">
        <f>IF(AF17=1,T17*AI17,"")</f>
        <v/>
      </c>
      <c r="V17" s="118">
        <v>14.08</v>
      </c>
      <c r="W17" s="118">
        <v>7.72</v>
      </c>
      <c r="X17" s="118">
        <v>10.6</v>
      </c>
      <c r="Y17" s="119"/>
      <c r="Z17" s="120"/>
      <c r="AA17" s="120" t="s">
        <v>306</v>
      </c>
      <c r="AB17" s="121"/>
      <c r="AC17" s="66">
        <f>U5</f>
        <v>45914</v>
      </c>
      <c r="AD17" s="69" t="str">
        <f>IF(ISNUMBER(FIND("M",E17)),"m",IF(ISNUMBER(FIND("K",E17)),"k"))</f>
        <v>m</v>
      </c>
      <c r="AE17" s="67">
        <f>IF(OR(G17="",AC17=""),0,(YEAR(AC17)-YEAR(G17)))</f>
        <v>24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1.0640335587916634</v>
      </c>
    </row>
    <row r="18" spans="2:36" s="8" customFormat="1" ht="20" customHeight="1">
      <c r="B18" s="104"/>
      <c r="C18" s="94"/>
      <c r="D18" s="210"/>
      <c r="E18" s="94"/>
      <c r="F18" s="95"/>
      <c r="G18" s="96"/>
      <c r="H18" s="97"/>
      <c r="I18" s="98"/>
      <c r="J18" s="98"/>
      <c r="K18" s="215"/>
      <c r="L18" s="215"/>
      <c r="M18" s="215"/>
      <c r="N18" s="216"/>
      <c r="O18" s="216"/>
      <c r="P18" s="216"/>
      <c r="Q18" s="99"/>
      <c r="R18" s="94"/>
      <c r="S18" s="215">
        <f>IF(T17="","",T17*1.2)</f>
        <v>338.36267169574893</v>
      </c>
      <c r="T18" s="215"/>
      <c r="U18" s="94"/>
      <c r="V18" s="94">
        <f>IF(V17&gt;0,V17*20,"")</f>
        <v>281.60000000000002</v>
      </c>
      <c r="W18" s="94">
        <f>IF(W17="","",(W17*10)*AJ17)</f>
        <v>82.14339073871642</v>
      </c>
      <c r="X18" s="100">
        <f>IF(ROUNDUP(X17,1)&gt;0,IF((80+(8-ROUNDUP(X17,1))*40)&lt;0,0,80+(8-ROUNDUP(X17,1))*40),"")</f>
        <v>0</v>
      </c>
      <c r="Y18" s="101">
        <f>IF(SUM(V18,W18,X18)&gt;0,SUM(V18,W18,X18),"")</f>
        <v>363.74339073871647</v>
      </c>
      <c r="Z18" s="102">
        <f>IF(AE17&gt;34,(IF(OR(S18="",V18="",W18="",X18=""),"",SUM(S18,V18,W18,X18))*AI17),IF(OR(S18="",V18="",W18="",X18=""),"", SUM(S18,V18,W18,X18)))</f>
        <v>702.10606243446534</v>
      </c>
      <c r="AA18" s="102"/>
      <c r="AB18" s="103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2">
        <v>0</v>
      </c>
      <c r="C19" s="105"/>
      <c r="D19" s="211"/>
      <c r="E19" s="105"/>
      <c r="F19" s="107"/>
      <c r="G19" s="108"/>
      <c r="H19" s="109">
        <v>0</v>
      </c>
      <c r="I19" s="124">
        <v>0</v>
      </c>
      <c r="J19" s="111">
        <v>0</v>
      </c>
      <c r="K19" s="112"/>
      <c r="L19" s="113"/>
      <c r="M19" s="113"/>
      <c r="N19" s="112"/>
      <c r="O19" s="113"/>
      <c r="P19" s="113"/>
      <c r="Q19" s="114" t="str">
        <f>IF(MAX(K19:M19)&gt;0,IF(MAX(K19:M19)&lt;0,0,TRUNC(MAX(K19:M19)/1)*1),"")</f>
        <v/>
      </c>
      <c r="R19" s="115" t="str">
        <f>IF(MAX(N19:P19)&gt;0,IF(MAX(N19:P19)&lt;0,0,TRUNC(MAX(N19:P19)/1)*1),"")</f>
        <v/>
      </c>
      <c r="S19" s="125" t="str">
        <f>IF(Q19="","",IF(R19="","",IF(SUM(Q19:R19)=0,"",SUM(Q19:R19))))</f>
        <v/>
      </c>
      <c r="T19" s="116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7" t="str">
        <f>IF(AF19=1,T19*AI19,"")</f>
        <v/>
      </c>
      <c r="V19" s="118"/>
      <c r="W19" s="118"/>
      <c r="X19" s="118"/>
      <c r="Y19" s="119"/>
      <c r="Z19" s="120"/>
      <c r="AA19" s="120"/>
      <c r="AB19" s="121"/>
      <c r="AC19" s="66">
        <f>U5</f>
        <v>45914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>
      <c r="B20" s="104"/>
      <c r="C20" s="94"/>
      <c r="D20" s="210"/>
      <c r="E20" s="94"/>
      <c r="F20" s="95"/>
      <c r="G20" s="96"/>
      <c r="H20" s="97"/>
      <c r="I20" s="98"/>
      <c r="J20" s="98"/>
      <c r="K20" s="215"/>
      <c r="L20" s="215"/>
      <c r="M20" s="215"/>
      <c r="N20" s="216"/>
      <c r="O20" s="216"/>
      <c r="P20" s="216"/>
      <c r="Q20" s="99"/>
      <c r="R20" s="94"/>
      <c r="S20" s="215" t="str">
        <f>IF(T19="","",T19*1.2)</f>
        <v/>
      </c>
      <c r="T20" s="215"/>
      <c r="U20" s="94"/>
      <c r="V20" s="94" t="str">
        <f>IF(V19&gt;0,V19*20,"")</f>
        <v/>
      </c>
      <c r="W20" s="94" t="str">
        <f>IF(W19="","",(W19*10)*AJ19)</f>
        <v/>
      </c>
      <c r="X20" s="100" t="str">
        <f>IF(ROUNDUP(X19,1)&gt;0,IF((80+(8-ROUNDUP(X19,1))*40)&lt;0,0,80+(8-ROUNDUP(X19,1))*40),"")</f>
        <v/>
      </c>
      <c r="Y20" s="101" t="str">
        <f>IF(SUM(V20,W20,X20)&gt;0,SUM(V20,W20,X20),"")</f>
        <v/>
      </c>
      <c r="Z20" s="102" t="str">
        <f>IF(AE19&gt;34,(IF(OR(S20="",V20="",W20="",X20=""),"",SUM(S20,V20,W20,X20))*AI19),IF(OR(S20="",V20="",W20="",X20=""),"", SUM(S20,V20,W20,X20)))</f>
        <v/>
      </c>
      <c r="AA20" s="102"/>
      <c r="AB20" s="103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2" t="s">
        <v>195</v>
      </c>
      <c r="C21" s="105" t="s">
        <v>321</v>
      </c>
      <c r="D21" s="211">
        <v>89.61</v>
      </c>
      <c r="E21" s="105" t="s">
        <v>245</v>
      </c>
      <c r="F21" s="107" t="s">
        <v>201</v>
      </c>
      <c r="G21" s="108">
        <v>25848</v>
      </c>
      <c r="H21" s="109">
        <v>1</v>
      </c>
      <c r="I21" s="110" t="s">
        <v>184</v>
      </c>
      <c r="J21" s="111" t="s">
        <v>62</v>
      </c>
      <c r="K21" s="112">
        <v>58</v>
      </c>
      <c r="L21" s="113">
        <v>60</v>
      </c>
      <c r="M21" s="113">
        <v>62</v>
      </c>
      <c r="N21" s="112">
        <v>75</v>
      </c>
      <c r="O21" s="113">
        <v>78</v>
      </c>
      <c r="P21" s="113">
        <v>-81</v>
      </c>
      <c r="Q21" s="114">
        <f>IF(MAX(K21:M21)&gt;0,IF(MAX(K21:M21)&lt;0,0,TRUNC(MAX(K21:M21)/1)*1),"")</f>
        <v>62</v>
      </c>
      <c r="R21" s="115">
        <f>IF(MAX(N21:P21)&gt;0,IF(MAX(N21:P21)&lt;0,0,TRUNC(MAX(N21:P21)/1)*1),"")</f>
        <v>78</v>
      </c>
      <c r="S21" s="125">
        <f>IF(Q21="","",IF(R21="","",IF(SUM(Q21:R21)=0,"",SUM(Q21:R21))))</f>
        <v>140</v>
      </c>
      <c r="T21" s="11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168.66754080828758</v>
      </c>
      <c r="U21" s="117">
        <f>IF(AF21=1,T21*AI21,"")</f>
        <v>233.60454401947831</v>
      </c>
      <c r="V21" s="118">
        <v>7.37</v>
      </c>
      <c r="W21" s="118">
        <v>8.14</v>
      </c>
      <c r="X21" s="118">
        <v>6.4</v>
      </c>
      <c r="Y21" s="119"/>
      <c r="Z21" s="120"/>
      <c r="AA21" s="120" t="s">
        <v>305</v>
      </c>
      <c r="AB21" s="121"/>
      <c r="AC21" s="66">
        <f>U5</f>
        <v>45914</v>
      </c>
      <c r="AD21" s="69" t="str">
        <f>IF(ISNUMBER(FIND("M",E21)),"m",IF(ISNUMBER(FIND("K",E21)),"k"))</f>
        <v>m</v>
      </c>
      <c r="AE21" s="67">
        <f>IF(OR(G21="",AC21=""),0,(YEAR(AC21)-YEAR(G21)))</f>
        <v>55</v>
      </c>
      <c r="AF21" s="34">
        <f t="shared" si="0"/>
        <v>1</v>
      </c>
      <c r="AG21" s="8">
        <f>IF(AF21=1,LOOKUP(AE21,'Meltzer-Faber'!A3:A63,'Meltzer-Faber'!B3:B63))</f>
        <v>1.385</v>
      </c>
      <c r="AH21" s="36">
        <f>IF(AF21=1,LOOKUP(AE21,'Meltzer-Faber'!A3:A63,'Meltzer-Faber'!C3:C63))</f>
        <v>1.5069999999999999</v>
      </c>
      <c r="AI21" s="36">
        <f t="shared" si="1"/>
        <v>1.385</v>
      </c>
      <c r="AJ21" s="86">
        <f>IF(D21="","",IF(D21&gt;193.609,1,IF(D21&lt;32,10^(0.722762521*LOG10(32/193.609)^2),10^(0.722762521*LOG10(D21/193.609)^2))))</f>
        <v>1.2047681486306256</v>
      </c>
    </row>
    <row r="22" spans="2:36" s="8" customFormat="1" ht="20" customHeight="1">
      <c r="B22" s="104"/>
      <c r="C22" s="94"/>
      <c r="D22" s="210"/>
      <c r="E22" s="94"/>
      <c r="F22" s="95"/>
      <c r="G22" s="96"/>
      <c r="H22" s="97"/>
      <c r="I22" s="98"/>
      <c r="J22" s="98"/>
      <c r="K22" s="215"/>
      <c r="L22" s="215"/>
      <c r="M22" s="215"/>
      <c r="N22" s="216"/>
      <c r="O22" s="216"/>
      <c r="P22" s="216"/>
      <c r="Q22" s="99"/>
      <c r="R22" s="94"/>
      <c r="S22" s="215">
        <f>IF(T21="","",T21*1.2)</f>
        <v>202.40104896994509</v>
      </c>
      <c r="T22" s="215"/>
      <c r="U22" s="94"/>
      <c r="V22" s="94">
        <f>IF(V21&gt;0,V21*20,"")</f>
        <v>147.4</v>
      </c>
      <c r="W22" s="94">
        <f>IF(W21="","",(W21*10)*AJ21)</f>
        <v>98.068127298532929</v>
      </c>
      <c r="X22" s="100">
        <f>IF(ROUNDUP(X21,1)&gt;0,IF((80+(8-ROUNDUP(X21,1))*40)&lt;0,0,80+(8-ROUNDUP(X21,1))*40),"")</f>
        <v>144</v>
      </c>
      <c r="Y22" s="101">
        <f>IF(SUM(V22,W22,X22)&gt;0,SUM(V22,W22,X22),"")</f>
        <v>389.46812729853292</v>
      </c>
      <c r="Z22" s="102">
        <f>IF(AE21&gt;34,(IF(OR(S22="",V22="",W22="",X22=""),"",SUM(S22,V22,W22,X22))*AI21),IF(OR(S22="",V22="",W22="",X22=""),"", SUM(S22,V22,W22,X22)))</f>
        <v>819.738809131842</v>
      </c>
      <c r="AA22" s="102"/>
      <c r="AB22" s="103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2" t="s">
        <v>196</v>
      </c>
      <c r="C23" s="107" t="s">
        <v>323</v>
      </c>
      <c r="D23" s="211">
        <v>112.14</v>
      </c>
      <c r="E23" s="105" t="s">
        <v>248</v>
      </c>
      <c r="F23" s="107" t="s">
        <v>201</v>
      </c>
      <c r="G23" s="108">
        <v>31934</v>
      </c>
      <c r="H23" s="109">
        <v>2</v>
      </c>
      <c r="I23" s="110" t="s">
        <v>185</v>
      </c>
      <c r="J23" s="111" t="s">
        <v>106</v>
      </c>
      <c r="K23" s="112">
        <v>-100</v>
      </c>
      <c r="L23" s="113">
        <v>102</v>
      </c>
      <c r="M23" s="113">
        <v>108</v>
      </c>
      <c r="N23" s="112">
        <v>118</v>
      </c>
      <c r="O23" s="113">
        <v>126</v>
      </c>
      <c r="P23" s="113">
        <v>-130</v>
      </c>
      <c r="Q23" s="114">
        <f>IF(MAX(K23:M23)&gt;0,IF(MAX(K23:M23)&lt;0,0,TRUNC(MAX(K23:M23)/1)*1),"")</f>
        <v>108</v>
      </c>
      <c r="R23" s="115">
        <f>IF(MAX(N23:P23)&gt;0,IF(MAX(N23:P23)&lt;0,0,TRUNC(MAX(N23:P23)/1)*1),"")</f>
        <v>126</v>
      </c>
      <c r="S23" s="125">
        <f>IF(Q23="","",IF(R23="","",IF(SUM(Q23:R23)=0,"",SUM(Q23:R23))))</f>
        <v>234</v>
      </c>
      <c r="T23" s="116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256.9622042114209</v>
      </c>
      <c r="U23" s="117">
        <f>IF(AF23=1,T23*AI23,"")</f>
        <v>284.97108447046577</v>
      </c>
      <c r="V23" s="118">
        <v>8.1300000000000008</v>
      </c>
      <c r="W23" s="118">
        <v>13.8</v>
      </c>
      <c r="X23" s="118">
        <v>6.8</v>
      </c>
      <c r="Y23" s="119"/>
      <c r="Z23" s="120"/>
      <c r="AA23" s="120" t="s">
        <v>303</v>
      </c>
      <c r="AB23" s="121"/>
      <c r="AC23" s="66">
        <f>U5</f>
        <v>45914</v>
      </c>
      <c r="AD23" s="69" t="str">
        <f>IF(ISNUMBER(FIND("M",E23)),"m",IF(ISNUMBER(FIND("K",E23)),"k"))</f>
        <v>m</v>
      </c>
      <c r="AE23" s="82">
        <f>IF(OR(G23="",AC23=""),0,(YEAR(AC23)-YEAR(G23)))</f>
        <v>38</v>
      </c>
      <c r="AF23" s="34">
        <f t="shared" si="0"/>
        <v>1</v>
      </c>
      <c r="AG23" s="8">
        <f>IF(AF23=1,LOOKUP(AE23,'Meltzer-Faber'!A3:A63,'Meltzer-Faber'!B3:B63))</f>
        <v>1.109</v>
      </c>
      <c r="AH23" s="36">
        <f>IF(AF23=1,LOOKUP(AE23,'Meltzer-Faber'!A3:A63,'Meltzer-Faber'!C3:C63))</f>
        <v>1.1100000000000001</v>
      </c>
      <c r="AI23" s="36">
        <f t="shared" si="1"/>
        <v>1.109</v>
      </c>
      <c r="AJ23" s="86">
        <f>IF(D23="","",IF(D23&gt;193.609,1,IF(D23&lt;32,10^(0.722762521*LOG10(32/193.609)^2),10^(0.722762521*LOG10(D23/193.609)^2))))</f>
        <v>1.0981290778265851</v>
      </c>
    </row>
    <row r="24" spans="2:36" s="8" customFormat="1" ht="20" customHeight="1">
      <c r="B24" s="104"/>
      <c r="C24" s="94"/>
      <c r="D24" s="210"/>
      <c r="E24" s="94"/>
      <c r="F24" s="95"/>
      <c r="G24" s="96"/>
      <c r="H24" s="97"/>
      <c r="I24" s="98"/>
      <c r="J24" s="98"/>
      <c r="K24" s="215"/>
      <c r="L24" s="215"/>
      <c r="M24" s="215"/>
      <c r="N24" s="216"/>
      <c r="O24" s="216"/>
      <c r="P24" s="216"/>
      <c r="Q24" s="99"/>
      <c r="R24" s="94"/>
      <c r="S24" s="215">
        <f>IF(T23="","",T23*1.2)</f>
        <v>308.35464505370504</v>
      </c>
      <c r="T24" s="215"/>
      <c r="U24" s="94"/>
      <c r="V24" s="94">
        <f>IF(V23&gt;0,V23*20,"")</f>
        <v>162.60000000000002</v>
      </c>
      <c r="W24" s="94">
        <f>IF(W23="","",(W23*10)*AJ23)</f>
        <v>151.54181274006874</v>
      </c>
      <c r="X24" s="100">
        <f>IF(ROUNDUP(X23,1)&gt;0,IF((80+(8-ROUNDUP(X23,1))*40)&lt;0,0,80+(8-ROUNDUP(X23,1))*40),"")</f>
        <v>128</v>
      </c>
      <c r="Y24" s="101">
        <f>IF(SUM(V24,W24,X24)&gt;0,SUM(V24,W24,X24),"")</f>
        <v>442.14181274006876</v>
      </c>
      <c r="Z24" s="102">
        <f>IF(AE23&gt;34,(IF(OR(S24="",V24="",W24="",X24=""),"",SUM(S24,V24,W24,X24))*AI23),IF(OR(S24="",V24="",W24="",X24=""),"", SUM(S24,V24,W24,X24)))</f>
        <v>832.30057169329507</v>
      </c>
      <c r="AA24" s="102"/>
      <c r="AB24" s="103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2" t="s">
        <v>197</v>
      </c>
      <c r="C25" s="105" t="s">
        <v>322</v>
      </c>
      <c r="D25" s="211">
        <v>83.15</v>
      </c>
      <c r="E25" s="105" t="s">
        <v>249</v>
      </c>
      <c r="F25" s="107" t="s">
        <v>201</v>
      </c>
      <c r="G25" s="108">
        <v>28941</v>
      </c>
      <c r="H25" s="109">
        <v>4</v>
      </c>
      <c r="I25" s="110" t="s">
        <v>186</v>
      </c>
      <c r="J25" s="111" t="s">
        <v>187</v>
      </c>
      <c r="K25" s="112">
        <v>-70</v>
      </c>
      <c r="L25" s="113">
        <v>-70</v>
      </c>
      <c r="M25" s="113">
        <v>70</v>
      </c>
      <c r="N25" s="112">
        <v>90</v>
      </c>
      <c r="O25" s="113">
        <v>95</v>
      </c>
      <c r="P25" s="113">
        <v>100</v>
      </c>
      <c r="Q25" s="114">
        <f>IF(MAX(K25:M25)&gt;0,IF(MAX(K25:M25)&lt;0,0,TRUNC(MAX(K25:M25)/1)*1),"")</f>
        <v>70</v>
      </c>
      <c r="R25" s="115">
        <f>IF(MAX(N25:P25)&gt;0,IF(MAX(N25:P25)&lt;0,0,TRUNC(MAX(N25:P25)/1)*1),"")</f>
        <v>100</v>
      </c>
      <c r="S25" s="125">
        <f>IF(Q25="","",IF(R25="","",IF(SUM(Q25:R25)=0,"",SUM(Q25:R25))))</f>
        <v>170</v>
      </c>
      <c r="T25" s="116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212.73094060936978</v>
      </c>
      <c r="U25" s="117">
        <f>IF(AF25=1,T25*AI25,"")</f>
        <v>259.10628566221237</v>
      </c>
      <c r="V25" s="118">
        <v>7.52</v>
      </c>
      <c r="W25" s="118">
        <v>9.49</v>
      </c>
      <c r="X25" s="118">
        <v>6.8</v>
      </c>
      <c r="Y25" s="119"/>
      <c r="Z25" s="120"/>
      <c r="AA25" s="120" t="s">
        <v>306</v>
      </c>
      <c r="AB25" s="121"/>
      <c r="AC25" s="66">
        <f>U5</f>
        <v>45914</v>
      </c>
      <c r="AD25" s="69" t="str">
        <f>IF(ISNUMBER(FIND("M",E25)),"m",IF(ISNUMBER(FIND("K",E25)),"k"))</f>
        <v>m</v>
      </c>
      <c r="AE25" s="82">
        <f>IF(OR(G25="",AC25=""),0,(YEAR(AC25)-YEAR(G25)))</f>
        <v>46</v>
      </c>
      <c r="AF25" s="34">
        <f t="shared" ref="AF25" si="2">IF(AE25&gt;34,1,0)</f>
        <v>1</v>
      </c>
      <c r="AG25" s="8">
        <f>IF(AF25=1,LOOKUP(AE25,'Meltzer-Faber'!A3:A63,'Meltzer-Faber'!B3:B63))</f>
        <v>1.218</v>
      </c>
      <c r="AH25" s="36">
        <f>IF(AF25=1,LOOKUP(AE25,'Meltzer-Faber'!A3:A63,'Meltzer-Faber'!C3:C63))</f>
        <v>1.244</v>
      </c>
      <c r="AI25" s="36">
        <f t="shared" ref="AI25" si="3">IF(AD25="m",AG25,IF(AD25="k",AH25,""))</f>
        <v>1.218</v>
      </c>
      <c r="AJ25" s="86">
        <f>IF(D25="","",IF(D25&gt;193.609,1,IF(D25&lt;32,10^(0.722762521*LOG10(32/193.609)^2),10^(0.722762521*LOG10(D25/193.609)^2))))</f>
        <v>1.2513584741727635</v>
      </c>
    </row>
    <row r="26" spans="2:36" s="8" customFormat="1" ht="20" customHeight="1">
      <c r="B26" s="104"/>
      <c r="C26" s="94"/>
      <c r="D26" s="210"/>
      <c r="E26" s="94"/>
      <c r="F26" s="95"/>
      <c r="G26" s="96"/>
      <c r="H26" s="97"/>
      <c r="I26" s="98"/>
      <c r="J26" s="98"/>
      <c r="K26" s="215"/>
      <c r="L26" s="215"/>
      <c r="M26" s="215"/>
      <c r="N26" s="216"/>
      <c r="O26" s="216"/>
      <c r="P26" s="216"/>
      <c r="Q26" s="99"/>
      <c r="R26" s="94"/>
      <c r="S26" s="215">
        <f>IF(T25="","",T25*1.2)</f>
        <v>255.27712873124372</v>
      </c>
      <c r="T26" s="215"/>
      <c r="U26" s="94"/>
      <c r="V26" s="94">
        <f>IF(V25&gt;0,V25*20,"")</f>
        <v>150.39999999999998</v>
      </c>
      <c r="W26" s="94">
        <f>IF(W25="","",(W25*10)*AJ25)</f>
        <v>118.75391919899526</v>
      </c>
      <c r="X26" s="100">
        <f>IF(ROUNDUP(X25,1)&gt;0,IF((80+(8-ROUNDUP(X25,1))*40)&lt;0,0,80+(8-ROUNDUP(X25,1))*40),"")</f>
        <v>128</v>
      </c>
      <c r="Y26" s="101">
        <f>IF(SUM(V26,W26,X26)&gt;0,SUM(V26,W26,X26),"")</f>
        <v>397.15391919899525</v>
      </c>
      <c r="Z26" s="102">
        <f>IF(AE25&gt;34,(IF(OR(S26="",V26="",W26="",X26=""),"",SUM(S26,V26,W26,X26))*AI25),IF(OR(S26="",V26="",W26="",X26=""),"", SUM(S26,V26,W26,X26)))</f>
        <v>794.66101637903103</v>
      </c>
      <c r="AA26" s="102"/>
      <c r="AB26" s="103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2" t="s">
        <v>198</v>
      </c>
      <c r="C27" s="126"/>
      <c r="D27" s="211"/>
      <c r="E27" s="127" t="s">
        <v>247</v>
      </c>
      <c r="F27" s="107" t="s">
        <v>201</v>
      </c>
      <c r="G27" s="129">
        <v>33128</v>
      </c>
      <c r="H27" s="105" t="s">
        <v>327</v>
      </c>
      <c r="I27" s="111" t="s">
        <v>188</v>
      </c>
      <c r="J27" s="111" t="s">
        <v>182</v>
      </c>
      <c r="K27" s="130"/>
      <c r="L27" s="131"/>
      <c r="M27" s="131"/>
      <c r="N27" s="131"/>
      <c r="O27" s="132"/>
      <c r="P27" s="132"/>
      <c r="Q27" s="114" t="str">
        <f>IF(MAX(K27:M27)&gt;0,IF(MAX(K27:M27)&lt;0,0,TRUNC(MAX(K27:M27)/1)*1),"")</f>
        <v/>
      </c>
      <c r="R27" s="115" t="str">
        <f>IF(MAX(N27:P27)&gt;0,IF(MAX(N27:P27)&lt;0,0,TRUNC(MAX(N27:P27)/1)*1),"")</f>
        <v/>
      </c>
      <c r="S27" s="125" t="str">
        <f>IF(Q27="","",IF(R27="","",IF(SUM(Q27:R27)=0,"",SUM(Q27:R27))))</f>
        <v/>
      </c>
      <c r="T27" s="116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7" t="e">
        <f>IF(AF27=1,T27*AI27,"")</f>
        <v>#VALUE!</v>
      </c>
      <c r="V27" s="133"/>
      <c r="W27" s="133"/>
      <c r="X27" s="134"/>
      <c r="Y27" s="119"/>
      <c r="Z27" s="120"/>
      <c r="AA27" s="120"/>
      <c r="AB27" s="121"/>
      <c r="AC27" s="66">
        <f>U5</f>
        <v>45914</v>
      </c>
      <c r="AD27" s="69" t="str">
        <f>IF(ISNUMBER(FIND("M",E27)),"m",IF(ISNUMBER(FIND("K",E27)),"k"))</f>
        <v>m</v>
      </c>
      <c r="AE27" s="82">
        <f>IF(OR(G27="",AC27=""),0,(YEAR(AC27)-YEAR(G27)))</f>
        <v>35</v>
      </c>
      <c r="AF27" s="34">
        <f t="shared" ref="AF27" si="4">IF(AE27&gt;34,1,0)</f>
        <v>1</v>
      </c>
      <c r="AG27" s="8">
        <f>IF(AF27=1,LOOKUP(AE27,'Meltzer-Faber'!A3:A63,'Meltzer-Faber'!B3:B63))</f>
        <v>1.0720000000000001</v>
      </c>
      <c r="AH27" s="36">
        <f>IF(AF27=1,LOOKUP(AE27,'Meltzer-Faber'!A3:A63,'Meltzer-Faber'!C3:C63))</f>
        <v>1.0720000000000001</v>
      </c>
      <c r="AI27" s="36">
        <f t="shared" ref="AI27" si="5">IF(AD27="m",AG27,IF(AD27="k",AH27,""))</f>
        <v>1.0720000000000001</v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4"/>
      <c r="C28" s="138"/>
      <c r="D28" s="210"/>
      <c r="E28" s="95"/>
      <c r="F28" s="95"/>
      <c r="G28" s="139"/>
      <c r="H28" s="96"/>
      <c r="I28" s="98"/>
      <c r="J28" s="98"/>
      <c r="K28" s="216"/>
      <c r="L28" s="216"/>
      <c r="M28" s="216"/>
      <c r="N28" s="216"/>
      <c r="O28" s="216"/>
      <c r="P28" s="216"/>
      <c r="Q28" s="99"/>
      <c r="R28" s="94"/>
      <c r="S28" s="215" t="str">
        <f>IF(T27="","",T27*1.2)</f>
        <v/>
      </c>
      <c r="T28" s="215"/>
      <c r="U28" s="94"/>
      <c r="V28" s="94" t="str">
        <f>IF(V27&gt;0,V27*20,"")</f>
        <v/>
      </c>
      <c r="W28" s="94" t="str">
        <f>IF(W27="","",(W27*10)*AJ27)</f>
        <v/>
      </c>
      <c r="X28" s="100" t="str">
        <f>IF(ROUNDUP(X27,1)&gt;0,IF((80+(8-ROUNDUP(X27,1))*40)&lt;0,0,80+(8-ROUNDUP(X27,1))*40),"")</f>
        <v/>
      </c>
      <c r="Y28" s="101" t="str">
        <f>IF(SUM(V28,W28,X28)&gt;0,SUM(V28,W28,X28),"")</f>
        <v/>
      </c>
      <c r="Z28" s="102" t="e">
        <f>IF(AE27&gt;34,(IF(OR(S28="",V28="",W28="",X28=""),"",SUM(S28,V28,W28,X28))*AI27),IF(OR(S28="",V28="",W28="",X28=""),"", SUM(S28,V28,W28,X28)))</f>
        <v>#VALUE!</v>
      </c>
      <c r="AA28" s="102"/>
      <c r="AB28" s="103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2" t="s">
        <v>199</v>
      </c>
      <c r="C29" s="126">
        <v>110</v>
      </c>
      <c r="D29" s="211">
        <v>95.29</v>
      </c>
      <c r="E29" s="127" t="s">
        <v>246</v>
      </c>
      <c r="F29" s="107" t="s">
        <v>201</v>
      </c>
      <c r="G29" s="129">
        <v>19656</v>
      </c>
      <c r="H29" s="105" t="s">
        <v>328</v>
      </c>
      <c r="I29" s="111" t="s">
        <v>189</v>
      </c>
      <c r="J29" s="111" t="s">
        <v>155</v>
      </c>
      <c r="K29" s="130">
        <v>47</v>
      </c>
      <c r="L29" s="131">
        <v>49</v>
      </c>
      <c r="M29" s="131">
        <v>51</v>
      </c>
      <c r="N29" s="131">
        <v>60</v>
      </c>
      <c r="O29" s="132">
        <v>65</v>
      </c>
      <c r="P29" s="132">
        <v>67</v>
      </c>
      <c r="Q29" s="114">
        <f>IF(MAX(K29:M29)&gt;0,IF(MAX(K29:M29)&lt;0,0,TRUNC(MAX(K29:M29)/1)*1),"")</f>
        <v>51</v>
      </c>
      <c r="R29" s="115">
        <f>IF(MAX(N29:P29)&gt;0,IF(MAX(N29:P29)&lt;0,0,TRUNC(MAX(N29:P29)/1)*1),"")</f>
        <v>67</v>
      </c>
      <c r="S29" s="125">
        <f>IF(Q29="","",IF(R29="","",IF(SUM(Q29:R29)=0,"",SUM(Q29:R29))))</f>
        <v>118</v>
      </c>
      <c r="T29" s="116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>138.16305908467439</v>
      </c>
      <c r="U29" s="117">
        <f>IF(AF29=1,T29*AI29,"")</f>
        <v>269.83245439236907</v>
      </c>
      <c r="V29" s="118"/>
      <c r="W29" s="118"/>
      <c r="X29" s="118"/>
      <c r="Y29" s="119"/>
      <c r="Z29" s="120"/>
      <c r="AA29" s="120"/>
      <c r="AB29" s="121"/>
      <c r="AC29" s="66">
        <f>U5</f>
        <v>45914</v>
      </c>
      <c r="AD29" s="69" t="str">
        <f>IF(ISNUMBER(FIND("M",E29)),"m",IF(ISNUMBER(FIND("K",E29)),"k"))</f>
        <v>m</v>
      </c>
      <c r="AE29" s="82">
        <f>IF(OR(G29="",AC29=""),0,(YEAR(AC29)-YEAR(G29)))</f>
        <v>72</v>
      </c>
      <c r="AF29" s="34">
        <f t="shared" ref="AF29" si="6">IF(AE29&gt;34,1,0)</f>
        <v>1</v>
      </c>
      <c r="AG29" s="8">
        <f>IF(AF29=1,LOOKUP(AE29,'Meltzer-Faber'!A3:A63,'Meltzer-Faber'!B3:B63))</f>
        <v>1.9530000000000001</v>
      </c>
      <c r="AH29" s="36">
        <f>IF(AF29=1,LOOKUP(AE29,'Meltzer-Faber'!A3:A63,'Meltzer-Faber'!C3:C63))</f>
        <v>2.1629999999999998</v>
      </c>
      <c r="AI29" s="36">
        <f t="shared" ref="AI29" si="7">IF(AD29="m",AG29,IF(AD29="k",AH29,""))</f>
        <v>1.9530000000000001</v>
      </c>
      <c r="AJ29" s="86">
        <f>IF(D29="","",IF(D29&gt;193.609,1,IF(D29&lt;32,10^(0.722762521*LOG10(32/193.609)^2),10^(0.722762521*LOG10(D29/193.609)^2))))</f>
        <v>1.1708733820735118</v>
      </c>
    </row>
    <row r="30" spans="2:36" s="8" customFormat="1" ht="20" customHeight="1">
      <c r="B30" s="104"/>
      <c r="C30" s="138"/>
      <c r="D30" s="210"/>
      <c r="E30" s="95"/>
      <c r="F30" s="95"/>
      <c r="G30" s="139"/>
      <c r="H30" s="96"/>
      <c r="I30" s="98"/>
      <c r="J30" s="98"/>
      <c r="K30" s="216"/>
      <c r="L30" s="216"/>
      <c r="M30" s="216"/>
      <c r="N30" s="216"/>
      <c r="O30" s="216"/>
      <c r="P30" s="216"/>
      <c r="Q30" s="99"/>
      <c r="R30" s="94"/>
      <c r="S30" s="215">
        <f>IF(T29="","",T29*1.2)</f>
        <v>165.79567090160927</v>
      </c>
      <c r="T30" s="215"/>
      <c r="U30" s="94"/>
      <c r="V30" s="94" t="str">
        <f>IF(V29&gt;0,V29*20,"")</f>
        <v/>
      </c>
      <c r="W30" s="94" t="str">
        <f>IF(W29="","",(W29*10)*AJ29)</f>
        <v/>
      </c>
      <c r="X30" s="100" t="str">
        <f>IF(ROUNDUP(X29,1)&gt;0,IF((80+(8-ROUNDUP(X29,1))*40)&lt;0,0,80+(8-ROUNDUP(X29,1))*40),"")</f>
        <v/>
      </c>
      <c r="Y30" s="101" t="str">
        <f>IF(SUM(V30,W30,X30)&gt;0,SUM(V30,W30,X30),"")</f>
        <v/>
      </c>
      <c r="Z30" s="102" t="e">
        <f>IF(AE29&gt;34,(IF(OR(S30="",V30="",W30="",X30=""),"",SUM(S30,V30,W30,X30))*AI29),IF(OR(S30="",V30="",W30="",X30=""),"", SUM(S30,V30,W30,X30)))</f>
        <v>#VALUE!</v>
      </c>
      <c r="AA30" s="102"/>
      <c r="AB30" s="103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2" t="s">
        <v>244</v>
      </c>
      <c r="C31" s="126">
        <v>88</v>
      </c>
      <c r="D31" s="211">
        <v>79.5</v>
      </c>
      <c r="E31" s="127" t="s">
        <v>245</v>
      </c>
      <c r="F31" s="107" t="s">
        <v>201</v>
      </c>
      <c r="G31" s="129">
        <v>24128</v>
      </c>
      <c r="H31" s="105" t="s">
        <v>329</v>
      </c>
      <c r="I31" s="111" t="s">
        <v>243</v>
      </c>
      <c r="J31" s="111" t="s">
        <v>62</v>
      </c>
      <c r="K31" s="130">
        <v>65</v>
      </c>
      <c r="L31" s="131">
        <v>72</v>
      </c>
      <c r="M31" s="131">
        <v>75</v>
      </c>
      <c r="N31" s="131">
        <v>85</v>
      </c>
      <c r="O31" s="132">
        <v>90</v>
      </c>
      <c r="P31" s="132">
        <v>93</v>
      </c>
      <c r="Q31" s="114">
        <f>IF(MAX(K31:M31)&gt;0,IF(MAX(K31:M31)&lt;0,0,TRUNC(MAX(K31:M31)/1)*1),"")</f>
        <v>75</v>
      </c>
      <c r="R31" s="115">
        <f>IF(MAX(N31:P31)&gt;0,IF(MAX(N31:P31)&lt;0,0,TRUNC(MAX(N31:P31)/1)*1),"")</f>
        <v>93</v>
      </c>
      <c r="S31" s="125">
        <f>IF(Q31="","",IF(R31="","",IF(SUM(Q31:R31)=0,"",SUM(Q31:R31))))</f>
        <v>168</v>
      </c>
      <c r="T31" s="116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>215.43180041168955</v>
      </c>
      <c r="U31" s="117">
        <f>IF(AF31=1,T31*AI31,"")</f>
        <v>320.56251901259407</v>
      </c>
      <c r="V31" s="133">
        <v>8.08</v>
      </c>
      <c r="W31" s="133">
        <v>10.79</v>
      </c>
      <c r="X31" s="134">
        <v>7.2</v>
      </c>
      <c r="Y31" s="119"/>
      <c r="Z31" s="120"/>
      <c r="AA31" s="120" t="s">
        <v>304</v>
      </c>
      <c r="AB31" s="121"/>
      <c r="AC31" s="66">
        <f>U5</f>
        <v>45914</v>
      </c>
      <c r="AD31" s="69" t="str">
        <f>IF(ISNUMBER(FIND("M",E31)),"m",IF(ISNUMBER(FIND("K",E31)),"k"))</f>
        <v>m</v>
      </c>
      <c r="AE31" s="82">
        <f>IF(OR(G31="",AC31=""),0,(YEAR(AC31)-YEAR(G31)))</f>
        <v>59</v>
      </c>
      <c r="AF31" s="34">
        <f t="shared" ref="AF31" si="8">IF(AE31&gt;34,1,0)</f>
        <v>1</v>
      </c>
      <c r="AG31" s="8">
        <f>IF(AF31=1,LOOKUP(AE31,'Meltzer-Faber'!A3:A63,'Meltzer-Faber'!B3:B63))</f>
        <v>1.488</v>
      </c>
      <c r="AH31" s="36">
        <f>IF(AF31=1,LOOKUP(AE31,'Meltzer-Faber'!A3:A63,'Meltzer-Faber'!C3:C63))</f>
        <v>1.665</v>
      </c>
      <c r="AI31" s="36">
        <f t="shared" ref="AI31" si="9">IF(AD31="m",AG31,IF(AD31="k",AH31,""))</f>
        <v>1.488</v>
      </c>
      <c r="AJ31" s="86">
        <f>IF(D31="","",IF(D31&gt;193.609,1,IF(D31&lt;32,10^(0.722762521*LOG10(32/193.609)^2),10^(0.722762521*LOG10(D31/193.609)^2))))</f>
        <v>1.2823321453076759</v>
      </c>
    </row>
    <row r="32" spans="2:36" s="8" customFormat="1" ht="20" customHeight="1">
      <c r="B32" s="104"/>
      <c r="C32" s="138"/>
      <c r="D32" s="210"/>
      <c r="E32" s="95"/>
      <c r="F32" s="95"/>
      <c r="G32" s="139"/>
      <c r="H32" s="96"/>
      <c r="I32" s="98"/>
      <c r="J32" s="98"/>
      <c r="K32" s="216"/>
      <c r="L32" s="216"/>
      <c r="M32" s="216"/>
      <c r="N32" s="216"/>
      <c r="O32" s="216"/>
      <c r="P32" s="216"/>
      <c r="Q32" s="99"/>
      <c r="R32" s="94"/>
      <c r="S32" s="215">
        <f>IF(T31="","",T31*1.2)</f>
        <v>258.51816049402743</v>
      </c>
      <c r="T32" s="215"/>
      <c r="U32" s="94"/>
      <c r="V32" s="94">
        <f>IF(V31&gt;0,V31*20,"")</f>
        <v>161.6</v>
      </c>
      <c r="W32" s="94">
        <f>IF(W31="","",(W31*10)*AJ31)</f>
        <v>138.36363847869822</v>
      </c>
      <c r="X32" s="100">
        <f>IF(ROUNDUP(X31,1)&gt;0,IF((80+(8-ROUNDUP(X31,1))*40)&lt;0,0,80+(8-ROUNDUP(X31,1))*40),"")</f>
        <v>112</v>
      </c>
      <c r="Y32" s="101">
        <f>IF(SUM(V32,W32,X32)&gt;0,SUM(V32,W32,X32),"")</f>
        <v>411.96363847869821</v>
      </c>
      <c r="Z32" s="102">
        <f>IF(AE31&gt;34,(IF(OR(S32="",V32="",W32="",X32=""),"",SUM(S32,V32,W32,X32))*AI31),IF(OR(S32="",V32="",W32="",X32=""),"", SUM(S32,V32,W32,X32)))</f>
        <v>997.67691687141576</v>
      </c>
      <c r="AA32" s="102"/>
      <c r="AB32" s="103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19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46" t="s">
        <v>34</v>
      </c>
      <c r="C35" s="248"/>
      <c r="D35" s="77" t="s">
        <v>33</v>
      </c>
      <c r="E35" s="246" t="s">
        <v>4</v>
      </c>
      <c r="F35" s="247"/>
      <c r="G35" s="247"/>
      <c r="H35" s="248"/>
      <c r="I35" s="50" t="s">
        <v>42</v>
      </c>
      <c r="J35" s="21"/>
      <c r="K35" s="246" t="s">
        <v>34</v>
      </c>
      <c r="L35" s="247"/>
      <c r="M35" s="248"/>
      <c r="N35" s="54" t="s">
        <v>33</v>
      </c>
      <c r="O35" s="244" t="s">
        <v>4</v>
      </c>
      <c r="P35" s="263"/>
      <c r="Q35" s="263"/>
      <c r="R35" s="245"/>
      <c r="S35" s="244" t="s">
        <v>42</v>
      </c>
      <c r="T35" s="2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49" t="s">
        <v>40</v>
      </c>
      <c r="C36" s="251"/>
      <c r="D36" s="78"/>
      <c r="E36" s="262" t="s">
        <v>281</v>
      </c>
      <c r="F36" s="250"/>
      <c r="G36" s="250"/>
      <c r="H36" s="251"/>
      <c r="I36" s="49"/>
      <c r="J36" s="4"/>
      <c r="K36" s="249" t="s">
        <v>35</v>
      </c>
      <c r="L36" s="250"/>
      <c r="M36" s="251"/>
      <c r="N36" s="51"/>
      <c r="O36" s="217" t="s">
        <v>282</v>
      </c>
      <c r="P36" s="264"/>
      <c r="Q36" s="264"/>
      <c r="R36" s="265"/>
      <c r="S36" s="217"/>
      <c r="T36" s="218"/>
      <c r="AF36" s="1"/>
      <c r="AH36" s="35"/>
      <c r="AI36" s="35"/>
    </row>
    <row r="37" spans="2:35" s="5" customFormat="1" ht="21" customHeight="1">
      <c r="B37" s="234" t="s">
        <v>36</v>
      </c>
      <c r="C37" s="222"/>
      <c r="D37" s="79"/>
      <c r="E37" s="220" t="s">
        <v>297</v>
      </c>
      <c r="F37" s="221"/>
      <c r="G37" s="221"/>
      <c r="H37" s="222"/>
      <c r="I37" s="47"/>
      <c r="J37" s="4"/>
      <c r="K37" s="234" t="s">
        <v>38</v>
      </c>
      <c r="L37" s="221"/>
      <c r="M37" s="222"/>
      <c r="N37" s="52"/>
      <c r="O37" s="228" t="s">
        <v>284</v>
      </c>
      <c r="P37" s="229"/>
      <c r="Q37" s="229"/>
      <c r="R37" s="230"/>
      <c r="S37" s="228"/>
      <c r="T37" s="231"/>
      <c r="AH37" s="35"/>
      <c r="AI37" s="35"/>
    </row>
    <row r="38" spans="2:35" s="5" customFormat="1" ht="19" customHeight="1">
      <c r="B38" s="234" t="s">
        <v>36</v>
      </c>
      <c r="C38" s="222"/>
      <c r="D38" s="79"/>
      <c r="E38" s="220" t="s">
        <v>281</v>
      </c>
      <c r="F38" s="221"/>
      <c r="G38" s="221"/>
      <c r="H38" s="222"/>
      <c r="I38" s="47"/>
      <c r="J38" s="4"/>
      <c r="K38" s="234" t="s">
        <v>37</v>
      </c>
      <c r="L38" s="221"/>
      <c r="M38" s="222"/>
      <c r="N38" s="52"/>
      <c r="O38" s="228" t="s">
        <v>299</v>
      </c>
      <c r="P38" s="229"/>
      <c r="Q38" s="229"/>
      <c r="R38" s="230"/>
      <c r="S38" s="228"/>
      <c r="T38" s="231"/>
      <c r="V38" s="5" t="s">
        <v>54</v>
      </c>
      <c r="AH38" s="35"/>
      <c r="AI38" s="35"/>
    </row>
    <row r="39" spans="2:35" s="5" customFormat="1" ht="21" customHeight="1">
      <c r="B39" s="234" t="s">
        <v>36</v>
      </c>
      <c r="C39" s="222"/>
      <c r="D39" s="79"/>
      <c r="E39" s="220" t="s">
        <v>298</v>
      </c>
      <c r="F39" s="221"/>
      <c r="G39" s="221"/>
      <c r="H39" s="222"/>
      <c r="I39" s="47"/>
      <c r="J39" s="4"/>
      <c r="K39" s="234" t="s">
        <v>55</v>
      </c>
      <c r="L39" s="221"/>
      <c r="M39" s="222"/>
      <c r="N39" s="52"/>
      <c r="O39" s="228" t="s">
        <v>283</v>
      </c>
      <c r="P39" s="229"/>
      <c r="Q39" s="229"/>
      <c r="R39" s="230"/>
      <c r="S39" s="228"/>
      <c r="T39" s="231"/>
      <c r="AD39" s="5" t="s">
        <v>13</v>
      </c>
      <c r="AH39" s="35"/>
      <c r="AI39" s="35"/>
    </row>
    <row r="40" spans="2:35" s="5" customFormat="1" ht="20" customHeight="1">
      <c r="B40" s="234" t="s">
        <v>36</v>
      </c>
      <c r="C40" s="222"/>
      <c r="D40" s="79"/>
      <c r="E40" s="220"/>
      <c r="F40" s="221"/>
      <c r="G40" s="221"/>
      <c r="H40" s="222"/>
      <c r="I40" s="47"/>
      <c r="J40" s="4"/>
      <c r="K40" s="234" t="s">
        <v>55</v>
      </c>
      <c r="L40" s="221"/>
      <c r="M40" s="222"/>
      <c r="N40" s="52"/>
      <c r="O40" s="228" t="s">
        <v>290</v>
      </c>
      <c r="P40" s="229"/>
      <c r="Q40" s="229"/>
      <c r="R40" s="230"/>
      <c r="S40" s="228"/>
      <c r="T40" s="231"/>
      <c r="AH40" s="35"/>
      <c r="AI40" s="35"/>
    </row>
    <row r="41" spans="2:35" ht="19" customHeight="1">
      <c r="B41" s="234" t="s">
        <v>36</v>
      </c>
      <c r="C41" s="222"/>
      <c r="D41" s="79"/>
      <c r="E41" s="220"/>
      <c r="F41" s="221"/>
      <c r="G41" s="221"/>
      <c r="H41" s="222"/>
      <c r="I41" s="47"/>
      <c r="J41" s="3"/>
      <c r="K41" s="234"/>
      <c r="L41" s="221"/>
      <c r="M41" s="222"/>
      <c r="N41" s="52"/>
      <c r="O41" s="228"/>
      <c r="P41" s="229"/>
      <c r="Q41" s="229"/>
      <c r="R41" s="230"/>
      <c r="S41" s="228"/>
      <c r="T41" s="231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234" t="s">
        <v>39</v>
      </c>
      <c r="C42" s="222"/>
      <c r="D42" s="79"/>
      <c r="E42" s="220" t="s">
        <v>289</v>
      </c>
      <c r="F42" s="221"/>
      <c r="G42" s="221"/>
      <c r="H42" s="222"/>
      <c r="I42" s="47"/>
      <c r="J42" s="3"/>
      <c r="K42" s="234"/>
      <c r="L42" s="221"/>
      <c r="M42" s="222"/>
      <c r="N42" s="52"/>
      <c r="O42" s="228"/>
      <c r="P42" s="229"/>
      <c r="Q42" s="229"/>
      <c r="R42" s="230"/>
      <c r="S42" s="228"/>
      <c r="T42" s="231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226"/>
      <c r="C43" s="225"/>
      <c r="D43" s="80"/>
      <c r="E43" s="223"/>
      <c r="F43" s="224"/>
      <c r="G43" s="224"/>
      <c r="H43" s="225"/>
      <c r="I43" s="48"/>
      <c r="J43" s="3"/>
      <c r="K43" s="226"/>
      <c r="L43" s="224"/>
      <c r="M43" s="225"/>
      <c r="N43" s="53"/>
      <c r="O43" s="240"/>
      <c r="P43" s="241"/>
      <c r="Q43" s="241"/>
      <c r="R43" s="242"/>
      <c r="S43" s="240"/>
      <c r="T43" s="24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33"/>
      <c r="C44" s="233"/>
      <c r="D44" s="232"/>
      <c r="E44" s="232"/>
      <c r="F44" s="56"/>
      <c r="G44" s="232"/>
      <c r="H44" s="232"/>
      <c r="I44" s="232"/>
      <c r="J44" s="3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37" t="s">
        <v>41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226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9"/>
      <c r="F50" s="219"/>
      <c r="G50" s="219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89" priority="24" stopIfTrue="1" operator="lessThanOrEqual">
      <formula>0</formula>
    </cfRule>
    <cfRule type="cellIs" dxfId="88" priority="23" stopIfTrue="1" operator="between">
      <formula>1</formula>
      <formula>300</formula>
    </cfRule>
  </conditionalFormatting>
  <conditionalFormatting sqref="K29">
    <cfRule type="cellIs" dxfId="87" priority="22" stopIfTrue="1" operator="lessThanOrEqual">
      <formula>0</formula>
    </cfRule>
    <cfRule type="cellIs" dxfId="86" priority="21" stopIfTrue="1" operator="between">
      <formula>1</formula>
      <formula>300</formula>
    </cfRule>
  </conditionalFormatting>
  <conditionalFormatting sqref="K31">
    <cfRule type="cellIs" dxfId="85" priority="19" stopIfTrue="1" operator="between">
      <formula>1</formula>
      <formula>300</formula>
    </cfRule>
    <cfRule type="cellIs" dxfId="84" priority="20" stopIfTrue="1" operator="lessThanOrEqual">
      <formula>0</formula>
    </cfRule>
  </conditionalFormatting>
  <conditionalFormatting sqref="K9:P9">
    <cfRule type="cellIs" dxfId="83" priority="13" stopIfTrue="1" operator="between">
      <formula>1</formula>
      <formula>300</formula>
    </cfRule>
    <cfRule type="cellIs" dxfId="82" priority="14" stopIfTrue="1" operator="lessThanOrEqual">
      <formula>0</formula>
    </cfRule>
  </conditionalFormatting>
  <conditionalFormatting sqref="K11:P11">
    <cfRule type="cellIs" dxfId="81" priority="11" stopIfTrue="1" operator="between">
      <formula>1</formula>
      <formula>300</formula>
    </cfRule>
    <cfRule type="cellIs" dxfId="80" priority="12" stopIfTrue="1" operator="lessThanOrEqual">
      <formula>0</formula>
    </cfRule>
  </conditionalFormatting>
  <conditionalFormatting sqref="K13:P13">
    <cfRule type="cellIs" dxfId="79" priority="7" stopIfTrue="1" operator="between">
      <formula>1</formula>
      <formula>300</formula>
    </cfRule>
    <cfRule type="cellIs" dxfId="78" priority="8" stopIfTrue="1" operator="lessThanOrEqual">
      <formula>0</formula>
    </cfRule>
  </conditionalFormatting>
  <conditionalFormatting sqref="K15:P15">
    <cfRule type="cellIs" dxfId="77" priority="9" stopIfTrue="1" operator="between">
      <formula>1</formula>
      <formula>300</formula>
    </cfRule>
    <cfRule type="cellIs" dxfId="76" priority="10" stopIfTrue="1" operator="lessThanOrEqual">
      <formula>0</formula>
    </cfRule>
  </conditionalFormatting>
  <conditionalFormatting sqref="K17:P17">
    <cfRule type="cellIs" dxfId="75" priority="15" stopIfTrue="1" operator="between">
      <formula>1</formula>
      <formula>300</formula>
    </cfRule>
    <cfRule type="cellIs" dxfId="74" priority="16" stopIfTrue="1" operator="lessThanOrEqual">
      <formula>0</formula>
    </cfRule>
  </conditionalFormatting>
  <conditionalFormatting sqref="K19:P19">
    <cfRule type="cellIs" dxfId="73" priority="1" stopIfTrue="1" operator="between">
      <formula>1</formula>
      <formula>300</formula>
    </cfRule>
    <cfRule type="cellIs" dxfId="72" priority="2" stopIfTrue="1" operator="lessThanOrEqual">
      <formula>0</formula>
    </cfRule>
  </conditionalFormatting>
  <conditionalFormatting sqref="K21:P21">
    <cfRule type="cellIs" dxfId="71" priority="4" stopIfTrue="1" operator="lessThanOrEqual">
      <formula>0</formula>
    </cfRule>
    <cfRule type="cellIs" dxfId="70" priority="3" stopIfTrue="1" operator="between">
      <formula>1</formula>
      <formula>300</formula>
    </cfRule>
  </conditionalFormatting>
  <conditionalFormatting sqref="K23:P23">
    <cfRule type="cellIs" dxfId="69" priority="6" stopIfTrue="1" operator="lessThanOrEqual">
      <formula>0</formula>
    </cfRule>
    <cfRule type="cellIs" dxfId="68" priority="5" stopIfTrue="1" operator="between">
      <formula>1</formula>
      <formula>300</formula>
    </cfRule>
  </conditionalFormatting>
  <conditionalFormatting sqref="K25:P25">
    <cfRule type="cellIs" dxfId="67" priority="18" stopIfTrue="1" operator="lessThanOrEqual">
      <formula>0</formula>
    </cfRule>
    <cfRule type="cellIs" dxfId="66" priority="17" stopIfTrue="1" operator="between">
      <formula>1</formula>
      <formula>300</formula>
    </cfRule>
  </conditionalFormatting>
  <conditionalFormatting sqref="L27:N27">
    <cfRule type="cellIs" dxfId="65" priority="29" stopIfTrue="1" operator="between">
      <formula>1</formula>
      <formula>300</formula>
    </cfRule>
    <cfRule type="cellIs" dxfId="64" priority="30" stopIfTrue="1" operator="lessThanOrEqual">
      <formula>0</formula>
    </cfRule>
  </conditionalFormatting>
  <conditionalFormatting sqref="L29:N29">
    <cfRule type="cellIs" dxfId="63" priority="27" stopIfTrue="1" operator="between">
      <formula>1</formula>
      <formula>300</formula>
    </cfRule>
    <cfRule type="cellIs" dxfId="62" priority="28" stopIfTrue="1" operator="lessThanOrEqual">
      <formula>0</formula>
    </cfRule>
  </conditionalFormatting>
  <conditionalFormatting sqref="L31:N31">
    <cfRule type="cellIs" dxfId="61" priority="25" stopIfTrue="1" operator="between">
      <formula>1</formula>
      <formula>300</formula>
    </cfRule>
    <cfRule type="cellIs" dxfId="60" priority="26" stopIfTrue="1" operator="lessThanOrEqual">
      <formula>0</formula>
    </cfRule>
  </conditionalFormatting>
  <dataValidations count="6">
    <dataValidation type="list" allowBlank="1" showInputMessage="1" showErrorMessage="1" sqref="B36:C43 K36:M43" xr:uid="{758F2C53-3575-4650-81DE-B0D7E34E7EBC}">
      <formula1>"Dommer,Stevnets leder,Jury,Sekretær,Speaker,Teknisk kontrollør, Chief Marshall,Tidtaker"</formula1>
    </dataValidation>
    <dataValidation type="list" allowBlank="1" showInputMessage="1" showErrorMessage="1" sqref="D5:I5" xr:uid="{0E708631-11FD-424F-802B-42D426D26EF2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13 C15 C17 C19 C21 C23 C25 C27 C29 C31" xr:uid="{8D9EE7C7-77E1-4DA3-B585-4CCB80B75A3E}">
      <formula1>"44,48,53,56,58,60,63,65,69,71,77,'+77,79,86,'+86,88,94,'+94,110,'+110"</formula1>
    </dataValidation>
    <dataValidation type="list" allowBlank="1" showInputMessage="1" showErrorMessage="1" sqref="E9 E25 E27 E29 E31 E19 E21 E23 E11 E13 E15 E17" xr:uid="{614D6DB5-8881-4EA3-8C5F-D5F18409C417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6DD1EDD9-D021-44C1-808D-02C164034C90}">
      <formula1>"11-12,13-14,15-16,17-18,19-23,24-34,+35,35+"</formula1>
    </dataValidation>
    <dataValidation type="list" allowBlank="1" showInputMessage="1" showErrorMessage="1" sqref="F9 F17 F11 F13 F15 F19 F21 F23 F25 F27 F29 F31" xr:uid="{DBF1B5C2-70EC-4029-997F-8DBB38484649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B4425-45B3-4781-9ED7-C434C5C6A050}">
  <sheetPr>
    <pageSetUpPr autoPageBreaks="0" fitToPage="1"/>
  </sheetPr>
  <dimension ref="A1:AJ50"/>
  <sheetViews>
    <sheetView showGridLines="0" showZeros="0" showOutlineSymbols="0" topLeftCell="A3" zoomScale="78" zoomScaleNormal="90" zoomScaleSheetLayoutView="75" zoomScalePageLayoutView="120" workbookViewId="0">
      <selection activeCell="G4" sqref="G1:G1048576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hidden="1" customWidth="1"/>
    <col min="5" max="6" width="6.3984375" style="16" customWidth="1"/>
    <col min="7" max="7" width="10.59765625" style="1" hidden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35" t="s">
        <v>57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83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36" t="s">
        <v>21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85" t="s">
        <v>59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55" t="s">
        <v>61</v>
      </c>
      <c r="E5" s="255"/>
      <c r="F5" s="255"/>
      <c r="G5" s="255"/>
      <c r="H5" s="255"/>
      <c r="I5" s="255"/>
      <c r="J5" s="24" t="s">
        <v>0</v>
      </c>
      <c r="K5" s="255" t="s">
        <v>62</v>
      </c>
      <c r="L5" s="255"/>
      <c r="M5" s="255"/>
      <c r="N5" s="255"/>
      <c r="O5" s="24" t="s">
        <v>1</v>
      </c>
      <c r="P5" s="254" t="s">
        <v>63</v>
      </c>
      <c r="Q5" s="254"/>
      <c r="R5" s="254"/>
      <c r="S5" s="254"/>
      <c r="T5" s="24" t="s">
        <v>2</v>
      </c>
      <c r="U5" s="266">
        <v>45914</v>
      </c>
      <c r="V5" s="266"/>
      <c r="W5" s="55"/>
      <c r="X5" s="55"/>
      <c r="Y5" s="55"/>
      <c r="Z5" s="25" t="s">
        <v>15</v>
      </c>
      <c r="AA5" s="25"/>
      <c r="AB5" s="26">
        <v>8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4" t="s">
        <v>56</v>
      </c>
    </row>
    <row r="7" spans="1:36" s="1" customFormat="1">
      <c r="B7" s="252" t="s">
        <v>33</v>
      </c>
      <c r="C7" s="256" t="s">
        <v>52</v>
      </c>
      <c r="D7" s="256" t="s">
        <v>51</v>
      </c>
      <c r="E7" s="258" t="s">
        <v>53</v>
      </c>
      <c r="F7" s="260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4"/>
    </row>
    <row r="8" spans="1:36" s="1" customFormat="1">
      <c r="B8" s="253"/>
      <c r="C8" s="257"/>
      <c r="D8" s="257"/>
      <c r="E8" s="259"/>
      <c r="F8" s="261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206" t="s">
        <v>214</v>
      </c>
      <c r="C9" s="148" t="s">
        <v>311</v>
      </c>
      <c r="D9" s="212">
        <v>63.99</v>
      </c>
      <c r="E9" s="147" t="s">
        <v>316</v>
      </c>
      <c r="F9" s="148" t="s">
        <v>87</v>
      </c>
      <c r="G9" s="149">
        <v>38515</v>
      </c>
      <c r="H9" s="150">
        <v>10</v>
      </c>
      <c r="I9" s="151" t="s">
        <v>202</v>
      </c>
      <c r="J9" s="152" t="s">
        <v>75</v>
      </c>
      <c r="K9" s="153">
        <v>-45</v>
      </c>
      <c r="L9" s="154">
        <v>45</v>
      </c>
      <c r="M9" s="154">
        <v>-51</v>
      </c>
      <c r="N9" s="153">
        <v>55</v>
      </c>
      <c r="O9" s="154">
        <v>-59</v>
      </c>
      <c r="P9" s="154">
        <v>-62</v>
      </c>
      <c r="Q9" s="155">
        <f>IF(MAX(K9:M9)&gt;0,IF(MAX(K9:M9)&lt;0,0,TRUNC(MAX(K9:M9)/1)*1),"")</f>
        <v>45</v>
      </c>
      <c r="R9" s="156">
        <f>IF(MAX(N9:P9)&gt;0,IF(MAX(N9:P9)&lt;0,0,TRUNC(MAX(N9:P9)/1)*1),"")</f>
        <v>55</v>
      </c>
      <c r="S9" s="156">
        <f>IF(Q9="","",IF(R9="","",IF(SUM(Q9:R9)=0,"",SUM(Q9:R9))))</f>
        <v>100</v>
      </c>
      <c r="T9" s="157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130.03975826000294</v>
      </c>
      <c r="U9" s="158" t="str">
        <f>IF(AF9=1,T9*AI9,"")</f>
        <v/>
      </c>
      <c r="V9" s="159">
        <v>5.13</v>
      </c>
      <c r="W9" s="159">
        <v>6.97</v>
      </c>
      <c r="X9" s="159">
        <v>8.4</v>
      </c>
      <c r="Y9" s="157"/>
      <c r="Z9" s="160"/>
      <c r="AA9" s="160" t="s">
        <v>307</v>
      </c>
      <c r="AB9" s="161"/>
      <c r="AC9" s="68">
        <f>U5</f>
        <v>45914</v>
      </c>
      <c r="AD9" s="69" t="str">
        <f>IF(ISNUMBER(FIND("M",E9)),"m",IF(ISNUMBER(FIND("K",E9)),"k"))</f>
        <v>k</v>
      </c>
      <c r="AE9" s="67">
        <f>IF(OR(G9="",AC9=""),0,(YEAR(AC9)-YEAR(G9)))</f>
        <v>20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1.4692285679554862</v>
      </c>
    </row>
    <row r="10" spans="1:36" s="8" customFormat="1" ht="20" customHeight="1">
      <c r="B10" s="207"/>
      <c r="C10" s="94"/>
      <c r="D10" s="210"/>
      <c r="E10" s="94"/>
      <c r="F10" s="95"/>
      <c r="G10" s="96"/>
      <c r="H10" s="97"/>
      <c r="I10" s="98"/>
      <c r="J10" s="98"/>
      <c r="K10" s="215"/>
      <c r="L10" s="215"/>
      <c r="M10" s="215"/>
      <c r="N10" s="216"/>
      <c r="O10" s="216"/>
      <c r="P10" s="216"/>
      <c r="Q10" s="99"/>
      <c r="R10" s="94"/>
      <c r="S10" s="215">
        <f>IF(T9="","",T9*1.2)</f>
        <v>156.04770991200351</v>
      </c>
      <c r="T10" s="215"/>
      <c r="U10" s="94"/>
      <c r="V10" s="94">
        <f>IF(V9&gt;0,V9*20,"")</f>
        <v>102.6</v>
      </c>
      <c r="W10" s="94">
        <f>IF(W9="","",(W9*10)*AJ9)</f>
        <v>102.40523118649739</v>
      </c>
      <c r="X10" s="100">
        <f>IF(ROUNDUP(X9,1)&gt;0,IF((80+(8-ROUNDUP(X9,1))*40)&lt;0,0,80+(8-ROUNDUP(X9,1))*40),"")</f>
        <v>63.999999999999986</v>
      </c>
      <c r="Y10" s="101">
        <f>IF(SUM(V10,W10,X10)&gt;0,SUM(V10,W10,X10),"")</f>
        <v>269.00523118649738</v>
      </c>
      <c r="Z10" s="102">
        <f>IF(AE9&gt;34,(IF(OR(S10="",V10="",W10="",X10=""),"",SUM(S10,V10,W10,X10))*AI9),IF(OR(S10="",V10="",W10="",X10=""),"", SUM(S10,V10,W10,X10)))</f>
        <v>425.05294109850092</v>
      </c>
      <c r="AA10" s="102"/>
      <c r="AB10" s="103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208" t="s">
        <v>215</v>
      </c>
      <c r="C11" s="107" t="s">
        <v>318</v>
      </c>
      <c r="D11" s="211">
        <v>73.75</v>
      </c>
      <c r="E11" s="147" t="s">
        <v>316</v>
      </c>
      <c r="F11" s="148" t="s">
        <v>87</v>
      </c>
      <c r="G11" s="108">
        <v>38610</v>
      </c>
      <c r="H11" s="109">
        <v>11</v>
      </c>
      <c r="I11" s="110" t="s">
        <v>203</v>
      </c>
      <c r="J11" s="111" t="s">
        <v>69</v>
      </c>
      <c r="K11" s="112">
        <v>70</v>
      </c>
      <c r="L11" s="113">
        <v>73</v>
      </c>
      <c r="M11" s="113">
        <v>75</v>
      </c>
      <c r="N11" s="112">
        <v>88</v>
      </c>
      <c r="O11" s="113">
        <v>91</v>
      </c>
      <c r="P11" s="113">
        <v>-93</v>
      </c>
      <c r="Q11" s="114">
        <f>IF(MAX(K11:M11)&gt;0,IF(MAX(K11:M11)&lt;0,0,TRUNC(MAX(K11:M11)/1)*1),"")</f>
        <v>75</v>
      </c>
      <c r="R11" s="115">
        <f>IF(MAX(N11:P11)&gt;0,IF(MAX(N11:P11)&lt;0,0,TRUNC(MAX(N11:P11)/1)*1),"")</f>
        <v>91</v>
      </c>
      <c r="S11" s="115">
        <f>IF(Q11="","",IF(R11="","",IF(SUM(Q11:R11)=0,"",SUM(Q11:R11))))</f>
        <v>166</v>
      </c>
      <c r="T11" s="116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199.6324012671092</v>
      </c>
      <c r="U11" s="117" t="str">
        <f>IF(AF11=1,T11*AI11,"")</f>
        <v/>
      </c>
      <c r="V11" s="118">
        <v>6.79</v>
      </c>
      <c r="W11" s="118">
        <v>12.85</v>
      </c>
      <c r="X11" s="118">
        <v>7.7</v>
      </c>
      <c r="Y11" s="119"/>
      <c r="Z11" s="120"/>
      <c r="AA11" s="120" t="s">
        <v>303</v>
      </c>
      <c r="AB11" s="121"/>
      <c r="AC11" s="66">
        <f>U5</f>
        <v>45914</v>
      </c>
      <c r="AD11" s="69" t="str">
        <f>IF(ISNUMBER(FIND("M",E11)),"m",IF(ISNUMBER(FIND("K",E11)),"k"))</f>
        <v>k</v>
      </c>
      <c r="AE11" s="67">
        <f>IF(OR(G11="",AC11=""),0,(YEAR(AC11)-YEAR(G11)))</f>
        <v>20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1.3396395742308942</v>
      </c>
    </row>
    <row r="12" spans="1:36" s="8" customFormat="1" ht="20" customHeight="1">
      <c r="B12" s="104"/>
      <c r="C12" s="94"/>
      <c r="D12" s="210"/>
      <c r="E12" s="94"/>
      <c r="F12" s="95"/>
      <c r="G12" s="96"/>
      <c r="H12" s="97"/>
      <c r="I12" s="98"/>
      <c r="J12" s="98"/>
      <c r="K12" s="215"/>
      <c r="L12" s="215"/>
      <c r="M12" s="215"/>
      <c r="N12" s="216"/>
      <c r="O12" s="216"/>
      <c r="P12" s="216"/>
      <c r="Q12" s="99"/>
      <c r="R12" s="94"/>
      <c r="S12" s="215">
        <f>IF(T11="","",T11*1.2)</f>
        <v>239.55888152053103</v>
      </c>
      <c r="T12" s="215"/>
      <c r="U12" s="102"/>
      <c r="V12" s="94">
        <f>IF(V11&gt;0,V11*20,"")</f>
        <v>135.80000000000001</v>
      </c>
      <c r="W12" s="94">
        <f>IF(W11="","",(W11*10)*AJ11)</f>
        <v>172.1436852886699</v>
      </c>
      <c r="X12" s="100">
        <f>IF(ROUNDUP(X11,1)&gt;0,IF((80+(8-ROUNDUP(X11,1))*40)&lt;0,0,80+(8-ROUNDUP(X11,1))*40),"")</f>
        <v>92</v>
      </c>
      <c r="Y12" s="101">
        <f>IF(SUM(V12,W12,X12)&gt;0,SUM(V12,W12,X12),"")</f>
        <v>399.94368528866994</v>
      </c>
      <c r="Z12" s="102">
        <f>IF(AE11&gt;34,(IF(OR(S12="",V12="",W12="",X12=""),"",SUM(S12,V12,W12,X12))*AI11),IF(OR(S12="",V12="",W12="",X12=""),"", SUM(S12,V12,W12,X12)))</f>
        <v>639.50256680920097</v>
      </c>
      <c r="AA12" s="102"/>
      <c r="AB12" s="103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2" t="s">
        <v>216</v>
      </c>
      <c r="C13" s="105" t="s">
        <v>314</v>
      </c>
      <c r="D13" s="211">
        <v>83.59</v>
      </c>
      <c r="E13" s="147" t="s">
        <v>316</v>
      </c>
      <c r="F13" s="148" t="s">
        <v>87</v>
      </c>
      <c r="G13" s="108">
        <v>38882</v>
      </c>
      <c r="H13" s="109">
        <v>1</v>
      </c>
      <c r="I13" s="110" t="s">
        <v>204</v>
      </c>
      <c r="J13" s="111" t="s">
        <v>205</v>
      </c>
      <c r="K13" s="112">
        <v>77</v>
      </c>
      <c r="L13" s="113">
        <v>80</v>
      </c>
      <c r="M13" s="113">
        <v>-83</v>
      </c>
      <c r="N13" s="112">
        <v>99</v>
      </c>
      <c r="O13" s="113">
        <v>103</v>
      </c>
      <c r="P13" s="113">
        <v>106</v>
      </c>
      <c r="Q13" s="114">
        <f>IF(MAX(K13:M13)&gt;0,IF(MAX(K13:M13)&lt;0,0,TRUNC(MAX(K13:M13)/1)*1),"")</f>
        <v>80</v>
      </c>
      <c r="R13" s="115">
        <f>IF(MAX(N13:P13)&gt;0,IF(MAX(N13:P13)&lt;0,0,TRUNC(MAX(N13:P13)/1)*1),"")</f>
        <v>106</v>
      </c>
      <c r="S13" s="115">
        <f>IF(Q13="","",IF(R13="","",IF(SUM(Q13:R13)=0,"",SUM(Q13:R13))))</f>
        <v>186</v>
      </c>
      <c r="T13" s="11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211.177267857591</v>
      </c>
      <c r="U13" s="117" t="str">
        <f>IF(AF13=1,T13*AI13,"")</f>
        <v/>
      </c>
      <c r="V13" s="118">
        <v>6.63</v>
      </c>
      <c r="W13" s="118">
        <v>11.68</v>
      </c>
      <c r="X13" s="118">
        <v>7.5</v>
      </c>
      <c r="Y13" s="123"/>
      <c r="Z13" s="120"/>
      <c r="AA13" s="120" t="s">
        <v>304</v>
      </c>
      <c r="AB13" s="121" t="s">
        <v>302</v>
      </c>
      <c r="AC13" s="66">
        <f>U5</f>
        <v>45914</v>
      </c>
      <c r="AD13" s="69" t="str">
        <f>IF(ISNUMBER(FIND("M",E13)),"m",IF(ISNUMBER(FIND("K",E13)),"k"))</f>
        <v>k</v>
      </c>
      <c r="AE13" s="67">
        <f>IF(OR(G13="",AC13=""),0,(YEAR(AC13)-YEAR(G13)))</f>
        <v>19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1.2478700596815517</v>
      </c>
    </row>
    <row r="14" spans="1:36" s="8" customFormat="1" ht="20" customHeight="1">
      <c r="B14" s="104"/>
      <c r="C14" s="94"/>
      <c r="D14" s="210"/>
      <c r="E14" s="94"/>
      <c r="F14" s="95"/>
      <c r="G14" s="96"/>
      <c r="H14" s="97"/>
      <c r="I14" s="98"/>
      <c r="J14" s="98"/>
      <c r="K14" s="215"/>
      <c r="L14" s="215"/>
      <c r="M14" s="215"/>
      <c r="N14" s="216"/>
      <c r="O14" s="216"/>
      <c r="P14" s="216"/>
      <c r="Q14" s="99"/>
      <c r="R14" s="94"/>
      <c r="S14" s="215">
        <f>IF(T13="","",T13*1.2)</f>
        <v>253.41272142910918</v>
      </c>
      <c r="T14" s="215"/>
      <c r="U14" s="94"/>
      <c r="V14" s="94">
        <f>IF(V13&gt;0,V13*20,"")</f>
        <v>132.6</v>
      </c>
      <c r="W14" s="94">
        <f>IF(W13="","",(W13*10)*AJ13)</f>
        <v>145.75122297080523</v>
      </c>
      <c r="X14" s="100">
        <f>IF(ROUNDUP(X13,1)&gt;0,IF((80+(8-ROUNDUP(X13,1))*40)&lt;0,0,80+(8-ROUNDUP(X13,1))*40),"")</f>
        <v>100</v>
      </c>
      <c r="Y14" s="101">
        <f>IF(SUM(V14,W14,X14)&gt;0,SUM(V14,W14,X14),"")</f>
        <v>378.35122297080522</v>
      </c>
      <c r="Z14" s="102">
        <f>IF(AE13&gt;34,(IF(OR(S14="",V14="",W14="",X14=""),"",SUM(S14,V14,W14,X14))*AI13),IF(OR(S14="",V14="",W14="",X14=""),"", SUM(S14,V14,W14,X14)))</f>
        <v>631.76394439991441</v>
      </c>
      <c r="AA14" s="102"/>
      <c r="AB14" s="103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2" t="s">
        <v>217</v>
      </c>
      <c r="C15" s="105" t="s">
        <v>319</v>
      </c>
      <c r="D15" s="211">
        <v>52.51</v>
      </c>
      <c r="E15" s="147" t="s">
        <v>225</v>
      </c>
      <c r="F15" s="148" t="s">
        <v>87</v>
      </c>
      <c r="G15" s="108">
        <v>37301</v>
      </c>
      <c r="H15" s="109">
        <v>2</v>
      </c>
      <c r="I15" s="110" t="s">
        <v>206</v>
      </c>
      <c r="J15" s="111" t="s">
        <v>134</v>
      </c>
      <c r="K15" s="112">
        <v>40</v>
      </c>
      <c r="L15" s="113">
        <v>42</v>
      </c>
      <c r="M15" s="113">
        <v>44</v>
      </c>
      <c r="N15" s="112">
        <v>52</v>
      </c>
      <c r="O15" s="113">
        <v>55</v>
      </c>
      <c r="P15" s="113">
        <v>58</v>
      </c>
      <c r="Q15" s="114">
        <f>IF(MAX(K15:M15)&gt;0,IF(MAX(K15:M15)&lt;0,0,TRUNC(MAX(K15:M15)/1)*1),"")</f>
        <v>44</v>
      </c>
      <c r="R15" s="115">
        <f>IF(MAX(N15:P15)&gt;0,IF(MAX(N15:P15)&lt;0,0,TRUNC(MAX(N15:P15)/1)*1),"")</f>
        <v>58</v>
      </c>
      <c r="S15" s="115">
        <f>IF(Q15="","",IF(R15="","",IF(SUM(Q15:R15)=0,"",SUM(Q15:R15))))</f>
        <v>102</v>
      </c>
      <c r="T15" s="11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151.33453001309906</v>
      </c>
      <c r="U15" s="117" t="str">
        <f>IF(AF15=1,T15*AI15,"")</f>
        <v/>
      </c>
      <c r="V15" s="118">
        <v>6.2</v>
      </c>
      <c r="W15" s="118">
        <v>8.7899999999999991</v>
      </c>
      <c r="X15" s="118">
        <v>7.4</v>
      </c>
      <c r="Y15" s="119"/>
      <c r="Z15" s="120"/>
      <c r="AA15" s="120" t="s">
        <v>306</v>
      </c>
      <c r="AB15" s="121"/>
      <c r="AC15" s="66">
        <f>U5</f>
        <v>45914</v>
      </c>
      <c r="AD15" s="69" t="str">
        <f>IF(ISNUMBER(FIND("M",E15)),"m",IF(ISNUMBER(FIND("K",E15)),"k"))</f>
        <v>k</v>
      </c>
      <c r="AE15" s="67">
        <f>IF(OR(G15="",AC15=""),0,(YEAR(AC15)-YEAR(G15)))</f>
        <v>23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1.7064787491704352</v>
      </c>
    </row>
    <row r="16" spans="1:36" s="8" customFormat="1" ht="20" customHeight="1">
      <c r="B16" s="104"/>
      <c r="C16" s="94"/>
      <c r="D16" s="210"/>
      <c r="E16" s="94"/>
      <c r="F16" s="95"/>
      <c r="G16" s="96"/>
      <c r="H16" s="97"/>
      <c r="I16" s="98"/>
      <c r="J16" s="98"/>
      <c r="K16" s="215"/>
      <c r="L16" s="215"/>
      <c r="M16" s="215"/>
      <c r="N16" s="216"/>
      <c r="O16" s="216"/>
      <c r="P16" s="216"/>
      <c r="Q16" s="136"/>
      <c r="R16" s="137"/>
      <c r="S16" s="215">
        <f>IF(T15="","",T15*1.2)</f>
        <v>181.60143601571886</v>
      </c>
      <c r="T16" s="215"/>
      <c r="U16" s="94"/>
      <c r="V16" s="94">
        <f>IF(V15&gt;0,V15*20,"")</f>
        <v>124</v>
      </c>
      <c r="W16" s="94">
        <f>IF(W15="","",(W15*10)*AJ15)</f>
        <v>149.99948205208125</v>
      </c>
      <c r="X16" s="100">
        <f>IF(ROUNDUP(X15,1)&gt;0,IF((80+(8-ROUNDUP(X15,1))*40)&lt;0,0,80+(8-ROUNDUP(X15,1))*40),"")</f>
        <v>103.99999999999999</v>
      </c>
      <c r="Y16" s="101">
        <f>IF(SUM(V16,W16,X16)&gt;0,SUM(V16,W16,X16),"")</f>
        <v>377.99948205208125</v>
      </c>
      <c r="Z16" s="102">
        <f>IF(AE15&gt;34,(IF(OR(S16="",V16="",W16="",X16=""),"",SUM(S16,V16,W16,X16))*AI15),IF(OR(S16="",V16="",W16="",X16=""),"", SUM(S16,V16,W16,X16)))</f>
        <v>559.60091806780008</v>
      </c>
      <c r="AA16" s="102"/>
      <c r="AB16" s="103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2" t="s">
        <v>218</v>
      </c>
      <c r="C17" s="105" t="s">
        <v>314</v>
      </c>
      <c r="D17" s="211">
        <v>80.569999999999993</v>
      </c>
      <c r="E17" s="147" t="s">
        <v>225</v>
      </c>
      <c r="F17" s="148" t="s">
        <v>87</v>
      </c>
      <c r="G17" s="108">
        <v>37377</v>
      </c>
      <c r="H17" s="109">
        <v>3</v>
      </c>
      <c r="I17" s="124" t="s">
        <v>207</v>
      </c>
      <c r="J17" s="111" t="s">
        <v>182</v>
      </c>
      <c r="K17" s="112">
        <v>63</v>
      </c>
      <c r="L17" s="113">
        <v>66</v>
      </c>
      <c r="M17" s="113">
        <v>-70</v>
      </c>
      <c r="N17" s="112">
        <v>83</v>
      </c>
      <c r="O17" s="113">
        <v>87</v>
      </c>
      <c r="P17" s="113">
        <v>-90</v>
      </c>
      <c r="Q17" s="114">
        <f>IF(MAX(K17:M17)&gt;0,IF(MAX(K17:M17)&lt;0,0,TRUNC(MAX(K17:M17)/1)*1),"")</f>
        <v>66</v>
      </c>
      <c r="R17" s="115">
        <f>IF(MAX(N17:P17)&gt;0,IF(MAX(N17:P17)&lt;0,0,TRUNC(MAX(N17:P17)/1)*1),"")</f>
        <v>87</v>
      </c>
      <c r="S17" s="125">
        <f>IF(Q17="","",IF(R17="","",IF(SUM(Q17:R17)=0,"",SUM(Q17:R17))))</f>
        <v>153</v>
      </c>
      <c r="T17" s="11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176.47551910244567</v>
      </c>
      <c r="U17" s="117" t="str">
        <f>IF(AF17=1,T17*AI17,"")</f>
        <v/>
      </c>
      <c r="V17" s="118">
        <v>7.17</v>
      </c>
      <c r="W17" s="118">
        <v>9.7200000000000006</v>
      </c>
      <c r="X17" s="118">
        <v>7.1</v>
      </c>
      <c r="Y17" s="119"/>
      <c r="Z17" s="120"/>
      <c r="AA17" s="120" t="s">
        <v>305</v>
      </c>
      <c r="AB17" s="121"/>
      <c r="AC17" s="66">
        <f>U5</f>
        <v>45914</v>
      </c>
      <c r="AD17" s="69" t="str">
        <f>IF(ISNUMBER(FIND("M",E17)),"m",IF(ISNUMBER(FIND("K",E17)),"k"))</f>
        <v>k</v>
      </c>
      <c r="AE17" s="67">
        <f>IF(OR(G17="",AC17=""),0,(YEAR(AC17)-YEAR(G17)))</f>
        <v>23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1.2728595579849846</v>
      </c>
    </row>
    <row r="18" spans="2:36" s="8" customFormat="1" ht="20" customHeight="1">
      <c r="B18" s="104"/>
      <c r="C18" s="94"/>
      <c r="D18" s="210"/>
      <c r="E18" s="94"/>
      <c r="F18" s="95"/>
      <c r="G18" s="96"/>
      <c r="H18" s="97"/>
      <c r="I18" s="98"/>
      <c r="J18" s="98"/>
      <c r="K18" s="215"/>
      <c r="L18" s="215"/>
      <c r="M18" s="215"/>
      <c r="N18" s="216"/>
      <c r="O18" s="216"/>
      <c r="P18" s="216"/>
      <c r="Q18" s="99"/>
      <c r="R18" s="94"/>
      <c r="S18" s="215">
        <f>IF(T17="","",T17*1.2)</f>
        <v>211.77062292293479</v>
      </c>
      <c r="T18" s="215"/>
      <c r="U18" s="94"/>
      <c r="V18" s="94">
        <f>IF(V17&gt;0,V17*20,"")</f>
        <v>143.4</v>
      </c>
      <c r="W18" s="94">
        <f>IF(W17="","",(W17*10)*AJ17)</f>
        <v>123.72194903614051</v>
      </c>
      <c r="X18" s="100">
        <f>IF(ROUNDUP(X17,1)&gt;0,IF((80+(8-ROUNDUP(X17,1))*40)&lt;0,0,80+(8-ROUNDUP(X17,1))*40),"")</f>
        <v>116.00000000000001</v>
      </c>
      <c r="Y18" s="101">
        <f>IF(SUM(V18,W18,X18)&gt;0,SUM(V18,W18,X18),"")</f>
        <v>383.12194903614051</v>
      </c>
      <c r="Z18" s="102">
        <f>IF(AE17&gt;34,(IF(OR(S18="",V18="",W18="",X18=""),"",SUM(S18,V18,W18,X18))*AI17),IF(OR(S18="",V18="",W18="",X18=""),"", SUM(S18,V18,W18,X18)))</f>
        <v>594.89257195907533</v>
      </c>
      <c r="AA18" s="102"/>
      <c r="AB18" s="103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2"/>
      <c r="C19" s="105"/>
      <c r="D19" s="211"/>
      <c r="E19" s="105"/>
      <c r="F19" s="107"/>
      <c r="G19" s="108"/>
      <c r="H19" s="109"/>
      <c r="I19" s="124"/>
      <c r="J19" s="111"/>
      <c r="K19" s="112"/>
      <c r="L19" s="113"/>
      <c r="M19" s="113"/>
      <c r="N19" s="112"/>
      <c r="O19" s="113"/>
      <c r="P19" s="113"/>
      <c r="Q19" s="114" t="str">
        <f>IF(MAX(K19:M19)&gt;0,IF(MAX(K19:M19)&lt;0,0,TRUNC(MAX(K19:M19)/1)*1),"")</f>
        <v/>
      </c>
      <c r="R19" s="115" t="str">
        <f>IF(MAX(N19:P19)&gt;0,IF(MAX(N19:P19)&lt;0,0,TRUNC(MAX(N19:P19)/1)*1),"")</f>
        <v/>
      </c>
      <c r="S19" s="125" t="str">
        <f>IF(Q19="","",IF(R19="","",IF(SUM(Q19:R19)=0,"",SUM(Q19:R19))))</f>
        <v/>
      </c>
      <c r="T19" s="116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7" t="str">
        <f>IF(AF19=1,T19*AI19,"")</f>
        <v/>
      </c>
      <c r="V19" s="118"/>
      <c r="W19" s="118"/>
      <c r="X19" s="118"/>
      <c r="Y19" s="119"/>
      <c r="Z19" s="120"/>
      <c r="AA19" s="120"/>
      <c r="AB19" s="121"/>
      <c r="AC19" s="66">
        <f>U5</f>
        <v>45914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>
      <c r="B20" s="104"/>
      <c r="C20" s="94"/>
      <c r="D20" s="210"/>
      <c r="E20" s="94"/>
      <c r="F20" s="95"/>
      <c r="G20" s="96"/>
      <c r="H20" s="97"/>
      <c r="I20" s="98"/>
      <c r="J20" s="98"/>
      <c r="K20" s="215"/>
      <c r="L20" s="215"/>
      <c r="M20" s="215"/>
      <c r="N20" s="216"/>
      <c r="O20" s="216"/>
      <c r="P20" s="216"/>
      <c r="Q20" s="99"/>
      <c r="R20" s="94"/>
      <c r="S20" s="215" t="str">
        <f>IF(T19="","",T19*1.2)</f>
        <v/>
      </c>
      <c r="T20" s="215"/>
      <c r="U20" s="94"/>
      <c r="V20" s="94" t="str">
        <f>IF(V19&gt;0,V19*20,"")</f>
        <v/>
      </c>
      <c r="W20" s="94" t="str">
        <f>IF(W19="","",(W19*10)*AJ19)</f>
        <v/>
      </c>
      <c r="X20" s="100" t="str">
        <f>IF(ROUNDUP(X19,1)&gt;0,IF((80+(8-ROUNDUP(X19,1))*40)&lt;0,0,80+(8-ROUNDUP(X19,1))*40),"")</f>
        <v/>
      </c>
      <c r="Y20" s="101" t="str">
        <f>IF(SUM(V20,W20,X20)&gt;0,SUM(V20,W20,X20),"")</f>
        <v/>
      </c>
      <c r="Z20" s="102" t="str">
        <f>IF(AE19&gt;34,(IF(OR(S20="",V20="",W20="",X20=""),"",SUM(S20,V20,W20,X20))*AI19),IF(OR(S20="",V20="",W20="",X20=""),"", SUM(S20,V20,W20,X20)))</f>
        <v/>
      </c>
      <c r="AA20" s="102"/>
      <c r="AB20" s="103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2" t="s">
        <v>219</v>
      </c>
      <c r="C21" s="105" t="s">
        <v>318</v>
      </c>
      <c r="D21" s="211">
        <v>72.069999999999993</v>
      </c>
      <c r="E21" s="105" t="s">
        <v>317</v>
      </c>
      <c r="F21" s="107" t="s">
        <v>201</v>
      </c>
      <c r="G21" s="108">
        <v>30609</v>
      </c>
      <c r="H21" s="109">
        <v>4</v>
      </c>
      <c r="I21" s="110" t="s">
        <v>208</v>
      </c>
      <c r="J21" s="111" t="s">
        <v>155</v>
      </c>
      <c r="K21" s="112">
        <v>-75</v>
      </c>
      <c r="L21" s="113">
        <v>75</v>
      </c>
      <c r="M21" s="113">
        <v>80</v>
      </c>
      <c r="N21" s="112">
        <v>85</v>
      </c>
      <c r="O21" s="113">
        <v>90</v>
      </c>
      <c r="P21" s="113">
        <v>-95</v>
      </c>
      <c r="Q21" s="114">
        <f>IF(MAX(K21:M21)&gt;0,IF(MAX(K21:M21)&lt;0,0,TRUNC(MAX(K21:M21)/1)*1),"")</f>
        <v>80</v>
      </c>
      <c r="R21" s="115">
        <f>IF(MAX(N21:P21)&gt;0,IF(MAX(N21:P21)&lt;0,0,TRUNC(MAX(N21:P21)/1)*1),"")</f>
        <v>90</v>
      </c>
      <c r="S21" s="125">
        <f>IF(Q21="","",IF(R21="","",IF(SUM(Q21:R21)=0,"",SUM(Q21:R21))))</f>
        <v>170</v>
      </c>
      <c r="T21" s="11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206.86007855939803</v>
      </c>
      <c r="U21" s="117">
        <f>IF(AF21=1,T21*AI21,"")</f>
        <v>242.02629191449569</v>
      </c>
      <c r="V21" s="118">
        <v>7.84</v>
      </c>
      <c r="W21" s="118">
        <v>13.51</v>
      </c>
      <c r="X21" s="118">
        <v>6.4</v>
      </c>
      <c r="Y21" s="119"/>
      <c r="Z21" s="120"/>
      <c r="AA21" s="120" t="s">
        <v>304</v>
      </c>
      <c r="AB21" s="121"/>
      <c r="AC21" s="66">
        <f>U5</f>
        <v>45914</v>
      </c>
      <c r="AD21" s="69" t="str">
        <f>IF(ISNUMBER(FIND("M",E21)),"m",IF(ISNUMBER(FIND("K",E21)),"k"))</f>
        <v>k</v>
      </c>
      <c r="AE21" s="67">
        <f>IF(OR(G21="",AC21=""),0,(YEAR(AC21)-YEAR(G21)))</f>
        <v>42</v>
      </c>
      <c r="AF21" s="34">
        <f t="shared" si="0"/>
        <v>1</v>
      </c>
      <c r="AG21" s="8">
        <f>IF(AF21=1,LOOKUP(AE21,'Meltzer-Faber'!A3:A63,'Meltzer-Faber'!B3:B63))</f>
        <v>1.1619999999999999</v>
      </c>
      <c r="AH21" s="36">
        <f>IF(AF21=1,LOOKUP(AE21,'Meltzer-Faber'!A3:A63,'Meltzer-Faber'!C3:C63))</f>
        <v>1.17</v>
      </c>
      <c r="AI21" s="36">
        <f t="shared" si="1"/>
        <v>1.17</v>
      </c>
      <c r="AJ21" s="86">
        <f>IF(D21="","",IF(D21&gt;193.609,1,IF(D21&lt;32,10^(0.722762521*LOG10(32/193.609)^2),10^(0.722762521*LOG10(D21/193.609)^2))))</f>
        <v>1.35870136836968</v>
      </c>
    </row>
    <row r="22" spans="2:36" s="8" customFormat="1" ht="20" customHeight="1">
      <c r="B22" s="104"/>
      <c r="C22" s="94"/>
      <c r="D22" s="210"/>
      <c r="E22" s="94"/>
      <c r="F22" s="95"/>
      <c r="G22" s="96"/>
      <c r="H22" s="97"/>
      <c r="I22" s="98"/>
      <c r="J22" s="98"/>
      <c r="K22" s="215"/>
      <c r="L22" s="215"/>
      <c r="M22" s="215"/>
      <c r="N22" s="216"/>
      <c r="O22" s="216"/>
      <c r="P22" s="216"/>
      <c r="Q22" s="99"/>
      <c r="R22" s="94"/>
      <c r="S22" s="215">
        <f>IF(T21="","",T21*1.2)</f>
        <v>248.23209427127762</v>
      </c>
      <c r="T22" s="215"/>
      <c r="U22" s="94"/>
      <c r="V22" s="94">
        <f>IF(V21&gt;0,V21*20,"")</f>
        <v>156.80000000000001</v>
      </c>
      <c r="W22" s="94">
        <f>IF(W21="","",(W21*10)*AJ21)</f>
        <v>183.56055486674376</v>
      </c>
      <c r="X22" s="100">
        <f>IF(ROUNDUP(X21,1)&gt;0,IF((80+(8-ROUNDUP(X21,1))*40)&lt;0,0,80+(8-ROUNDUP(X21,1))*40),"")</f>
        <v>144</v>
      </c>
      <c r="Y22" s="101">
        <f>IF(SUM(V22,W22,X22)&gt;0,SUM(V22,W22,X22),"")</f>
        <v>484.36055486674377</v>
      </c>
      <c r="Z22" s="102">
        <f>IF(AE21&gt;34,(IF(OR(S22="",V22="",W22="",X22=""),"",SUM(S22,V22,W22,X22))*AI21),IF(OR(S22="",V22="",W22="",X22=""),"", SUM(S22,V22,W22,X22)))</f>
        <v>857.13339949148508</v>
      </c>
      <c r="AA22" s="102"/>
      <c r="AB22" s="103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2" t="s">
        <v>220</v>
      </c>
      <c r="C23" s="105" t="s">
        <v>310</v>
      </c>
      <c r="D23" s="211">
        <v>60.83</v>
      </c>
      <c r="E23" s="105" t="s">
        <v>317</v>
      </c>
      <c r="F23" s="107" t="s">
        <v>201</v>
      </c>
      <c r="G23" s="108">
        <v>30529</v>
      </c>
      <c r="H23" s="109">
        <v>5</v>
      </c>
      <c r="I23" s="110" t="s">
        <v>209</v>
      </c>
      <c r="J23" s="111" t="s">
        <v>187</v>
      </c>
      <c r="K23" s="112">
        <v>50</v>
      </c>
      <c r="L23" s="113">
        <v>53</v>
      </c>
      <c r="M23" s="113">
        <v>56</v>
      </c>
      <c r="N23" s="112">
        <v>70</v>
      </c>
      <c r="O23" s="113">
        <v>73</v>
      </c>
      <c r="P23" s="113">
        <v>76</v>
      </c>
      <c r="Q23" s="114">
        <f>IF(MAX(K23:M23)&gt;0,IF(MAX(K23:M23)&lt;0,0,TRUNC(MAX(K23:M23)/1)*1),"")</f>
        <v>56</v>
      </c>
      <c r="R23" s="115">
        <f>IF(MAX(N23:P23)&gt;0,IF(MAX(N23:P23)&lt;0,0,TRUNC(MAX(N23:P23)/1)*1),"")</f>
        <v>76</v>
      </c>
      <c r="S23" s="125">
        <f>IF(Q23="","",IF(R23="","",IF(SUM(Q23:R23)=0,"",SUM(Q23:R23))))</f>
        <v>132</v>
      </c>
      <c r="T23" s="116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177.09696520483641</v>
      </c>
      <c r="U23" s="117">
        <f>IF(AF23=1,T23*AI23,"")</f>
        <v>207.20344928965858</v>
      </c>
      <c r="V23" s="118">
        <v>6.45</v>
      </c>
      <c r="W23" s="118">
        <v>8.58</v>
      </c>
      <c r="X23" s="118">
        <v>7.2</v>
      </c>
      <c r="Y23" s="119"/>
      <c r="Z23" s="120"/>
      <c r="AA23" s="120" t="s">
        <v>305</v>
      </c>
      <c r="AB23" s="121" t="s">
        <v>279</v>
      </c>
      <c r="AC23" s="66">
        <f>U5</f>
        <v>45914</v>
      </c>
      <c r="AD23" s="69" t="str">
        <f>IF(ISNUMBER(FIND("M",E23)),"m",IF(ISNUMBER(FIND("K",E23)),"k"))</f>
        <v>k</v>
      </c>
      <c r="AE23" s="82">
        <f>IF(OR(G23="",AC23=""),0,(YEAR(AC23)-YEAR(G23)))</f>
        <v>42</v>
      </c>
      <c r="AF23" s="34">
        <f t="shared" si="0"/>
        <v>1</v>
      </c>
      <c r="AG23" s="8">
        <f>IF(AF23=1,LOOKUP(AE23,'Meltzer-Faber'!A3:A63,'Meltzer-Faber'!B3:B63))</f>
        <v>1.1619999999999999</v>
      </c>
      <c r="AH23" s="36">
        <f>IF(AF23=1,LOOKUP(AE23,'Meltzer-Faber'!A3:A63,'Meltzer-Faber'!C3:C63))</f>
        <v>1.17</v>
      </c>
      <c r="AI23" s="36">
        <f t="shared" si="1"/>
        <v>1.17</v>
      </c>
      <c r="AJ23" s="86">
        <f>IF(D23="","",IF(D23&gt;193.609,1,IF(D23&lt;32,10^(0.722762521*LOG10(32/193.609)^2),10^(0.722762521*LOG10(D23/193.609)^2))))</f>
        <v>1.5230902803595092</v>
      </c>
    </row>
    <row r="24" spans="2:36" s="8" customFormat="1" ht="20" customHeight="1">
      <c r="B24" s="104"/>
      <c r="C24" s="94"/>
      <c r="D24" s="210"/>
      <c r="E24" s="94"/>
      <c r="F24" s="95"/>
      <c r="G24" s="96"/>
      <c r="H24" s="97"/>
      <c r="I24" s="98"/>
      <c r="J24" s="98"/>
      <c r="K24" s="215"/>
      <c r="L24" s="215"/>
      <c r="M24" s="215"/>
      <c r="N24" s="216"/>
      <c r="O24" s="216"/>
      <c r="P24" s="216"/>
      <c r="Q24" s="99"/>
      <c r="R24" s="94"/>
      <c r="S24" s="215">
        <f>IF(T23="","",T23*1.2)</f>
        <v>212.51635824580367</v>
      </c>
      <c r="T24" s="215"/>
      <c r="U24" s="94"/>
      <c r="V24" s="94">
        <f>IF(V23&gt;0,V23*20,"")</f>
        <v>129</v>
      </c>
      <c r="W24" s="94">
        <f>IF(W23="","",(W23*10)*AJ23)</f>
        <v>130.6811460548459</v>
      </c>
      <c r="X24" s="100">
        <f>IF(ROUNDUP(X23,1)&gt;0,IF((80+(8-ROUNDUP(X23,1))*40)&lt;0,0,80+(8-ROUNDUP(X23,1))*40),"")</f>
        <v>112</v>
      </c>
      <c r="Y24" s="101">
        <f>IF(SUM(V24,W24,X24)&gt;0,SUM(V24,W24,X24),"")</f>
        <v>371.6811460548459</v>
      </c>
      <c r="Z24" s="102">
        <f>IF(AE23&gt;34,(IF(OR(S24="",V24="",W24="",X24=""),"",SUM(S24,V24,W24,X24))*AI23),IF(OR(S24="",V24="",W24="",X24=""),"", SUM(S24,V24,W24,X24)))</f>
        <v>683.51108003176</v>
      </c>
      <c r="AA24" s="102"/>
      <c r="AB24" s="103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2" t="s">
        <v>221</v>
      </c>
      <c r="C25" s="105" t="s">
        <v>314</v>
      </c>
      <c r="D25" s="211">
        <v>78.650000000000006</v>
      </c>
      <c r="E25" s="105" t="s">
        <v>317</v>
      </c>
      <c r="F25" s="107" t="s">
        <v>201</v>
      </c>
      <c r="G25" s="108">
        <v>29937</v>
      </c>
      <c r="H25" s="109">
        <v>6</v>
      </c>
      <c r="I25" s="110" t="s">
        <v>210</v>
      </c>
      <c r="J25" s="111" t="s">
        <v>62</v>
      </c>
      <c r="K25" s="112">
        <v>65</v>
      </c>
      <c r="L25" s="113">
        <v>68</v>
      </c>
      <c r="M25" s="113">
        <v>70</v>
      </c>
      <c r="N25" s="112">
        <v>85</v>
      </c>
      <c r="O25" s="113">
        <v>90</v>
      </c>
      <c r="P25" s="113">
        <v>95</v>
      </c>
      <c r="Q25" s="114">
        <f>IF(MAX(K25:M25)&gt;0,IF(MAX(K25:M25)&lt;0,0,TRUNC(MAX(K25:M25)/1)*1),"")</f>
        <v>70</v>
      </c>
      <c r="R25" s="115">
        <f>IF(MAX(N25:P25)&gt;0,IF(MAX(N25:P25)&lt;0,0,TRUNC(MAX(N25:P25)/1)*1),"")</f>
        <v>95</v>
      </c>
      <c r="S25" s="125">
        <f>IF(Q25="","",IF(R25="","",IF(SUM(Q25:R25)=0,"",SUM(Q25:R25))))</f>
        <v>165</v>
      </c>
      <c r="T25" s="116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192.39361022068849</v>
      </c>
      <c r="U25" s="117">
        <f>IF(AF25=1,T25*AI25,"")</f>
        <v>231.83430031592965</v>
      </c>
      <c r="V25" s="118">
        <v>7</v>
      </c>
      <c r="W25" s="118">
        <v>12.61</v>
      </c>
      <c r="X25" s="118">
        <v>7.3</v>
      </c>
      <c r="Y25" s="119"/>
      <c r="Z25" s="120"/>
      <c r="AA25" s="120" t="s">
        <v>303</v>
      </c>
      <c r="AB25" s="121" t="s">
        <v>302</v>
      </c>
      <c r="AC25" s="66">
        <f>U5</f>
        <v>45914</v>
      </c>
      <c r="AD25" s="69" t="str">
        <f>IF(ISNUMBER(FIND("M",E25)),"m",IF(ISNUMBER(FIND("K",E25)),"k"))</f>
        <v>k</v>
      </c>
      <c r="AE25" s="82">
        <f>IF(OR(G25="",AC25=""),0,(YEAR(AC25)-YEAR(G25)))</f>
        <v>44</v>
      </c>
      <c r="AF25" s="34">
        <f t="shared" ref="AF25" si="2">IF(AE25&gt;34,1,0)</f>
        <v>1</v>
      </c>
      <c r="AG25" s="8">
        <f>IF(AF25=1,LOOKUP(AE25,'Meltzer-Faber'!A3:A63,'Meltzer-Faber'!B3:B63))</f>
        <v>1.1890000000000001</v>
      </c>
      <c r="AH25" s="36">
        <f>IF(AF25=1,LOOKUP(AE25,'Meltzer-Faber'!A3:A63,'Meltzer-Faber'!C3:C63))</f>
        <v>1.2050000000000001</v>
      </c>
      <c r="AI25" s="36">
        <f t="shared" ref="AI25" si="3">IF(AD25="m",AG25,IF(AD25="k",AH25,""))</f>
        <v>1.2050000000000001</v>
      </c>
      <c r="AJ25" s="86">
        <f>IF(D25="","",IF(D25&gt;193.609,1,IF(D25&lt;32,10^(0.722762521*LOG10(32/193.609)^2),10^(0.722762521*LOG10(D25/193.609)^2))))</f>
        <v>1.290104499651656</v>
      </c>
    </row>
    <row r="26" spans="2:36" s="8" customFormat="1" ht="20" customHeight="1">
      <c r="B26" s="104"/>
      <c r="C26" s="94"/>
      <c r="D26" s="210"/>
      <c r="E26" s="94"/>
      <c r="F26" s="95"/>
      <c r="G26" s="96"/>
      <c r="H26" s="97"/>
      <c r="I26" s="98"/>
      <c r="J26" s="98"/>
      <c r="K26" s="215"/>
      <c r="L26" s="215"/>
      <c r="M26" s="215"/>
      <c r="N26" s="216"/>
      <c r="O26" s="216"/>
      <c r="P26" s="216"/>
      <c r="Q26" s="99"/>
      <c r="R26" s="94"/>
      <c r="S26" s="215">
        <f>IF(T25="","",T25*1.2)</f>
        <v>230.87233226482618</v>
      </c>
      <c r="T26" s="215"/>
      <c r="U26" s="94"/>
      <c r="V26" s="94">
        <f>IF(V25&gt;0,V25*20,"")</f>
        <v>140</v>
      </c>
      <c r="W26" s="94">
        <f>IF(W25="","",(W25*10)*AJ25)</f>
        <v>162.68217740607381</v>
      </c>
      <c r="X26" s="100">
        <f>IF(ROUNDUP(X25,1)&gt;0,IF((80+(8-ROUNDUP(X25,1))*40)&lt;0,0,80+(8-ROUNDUP(X25,1))*40),"")</f>
        <v>108</v>
      </c>
      <c r="Y26" s="101">
        <f>IF(SUM(V26,W26,X26)&gt;0,SUM(V26,W26,X26),"")</f>
        <v>410.68217740607383</v>
      </c>
      <c r="Z26" s="102">
        <f>IF(AE25&gt;34,(IF(OR(S26="",V26="",W26="",X26=""),"",SUM(S26,V26,W26,X26))*AI25),IF(OR(S26="",V26="",W26="",X26=""),"", SUM(S26,V26,W26,X26)))</f>
        <v>773.07318415343445</v>
      </c>
      <c r="AA26" s="102"/>
      <c r="AB26" s="103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2" t="s">
        <v>222</v>
      </c>
      <c r="C27" s="126"/>
      <c r="D27" s="211"/>
      <c r="E27" s="127" t="s">
        <v>317</v>
      </c>
      <c r="F27" s="107" t="s">
        <v>201</v>
      </c>
      <c r="G27" s="129">
        <v>30000</v>
      </c>
      <c r="H27" s="105" t="s">
        <v>324</v>
      </c>
      <c r="I27" s="111" t="s">
        <v>211</v>
      </c>
      <c r="J27" s="111" t="s">
        <v>129</v>
      </c>
      <c r="K27" s="130"/>
      <c r="L27" s="131"/>
      <c r="M27" s="131"/>
      <c r="N27" s="131"/>
      <c r="O27" s="132"/>
      <c r="P27" s="132"/>
      <c r="Q27" s="114" t="str">
        <f>IF(MAX(K27:M27)&gt;0,IF(MAX(K27:M27)&lt;0,0,TRUNC(MAX(K27:M27)/1)*1),"")</f>
        <v/>
      </c>
      <c r="R27" s="115" t="str">
        <f>IF(MAX(N27:P27)&gt;0,IF(MAX(N27:P27)&lt;0,0,TRUNC(MAX(N27:P27)/1)*1),"")</f>
        <v/>
      </c>
      <c r="S27" s="125" t="str">
        <f>IF(Q27="","",IF(R27="","",IF(SUM(Q27:R27)=0,"",SUM(Q27:R27))))</f>
        <v/>
      </c>
      <c r="T27" s="116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7" t="e">
        <f>IF(AF27=1,T27*AI27,"")</f>
        <v>#VALUE!</v>
      </c>
      <c r="V27" s="133"/>
      <c r="W27" s="133"/>
      <c r="X27" s="134"/>
      <c r="Y27" s="119"/>
      <c r="Z27" s="120"/>
      <c r="AA27" s="120"/>
      <c r="AB27" s="121"/>
      <c r="AC27" s="66">
        <f>U5</f>
        <v>45914</v>
      </c>
      <c r="AD27" s="69" t="str">
        <f>IF(ISNUMBER(FIND("M",E27)),"m",IF(ISNUMBER(FIND("K",E27)),"k"))</f>
        <v>k</v>
      </c>
      <c r="AE27" s="82">
        <f>IF(OR(G27="",AC27=""),0,(YEAR(AC27)-YEAR(G27)))</f>
        <v>43</v>
      </c>
      <c r="AF27" s="34">
        <f t="shared" ref="AF27" si="4">IF(AE27&gt;34,1,0)</f>
        <v>1</v>
      </c>
      <c r="AG27" s="8">
        <f>IF(AF27=1,LOOKUP(AE27,'Meltzer-Faber'!A3:A63,'Meltzer-Faber'!B3:B63))</f>
        <v>1.1759999999999999</v>
      </c>
      <c r="AH27" s="36">
        <f>IF(AF27=1,LOOKUP(AE27,'Meltzer-Faber'!A3:A63,'Meltzer-Faber'!C3:C63))</f>
        <v>1.1870000000000001</v>
      </c>
      <c r="AI27" s="36">
        <f t="shared" ref="AI27" si="5">IF(AD27="m",AG27,IF(AD27="k",AH27,""))</f>
        <v>1.1870000000000001</v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4"/>
      <c r="C28" s="138"/>
      <c r="D28" s="210"/>
      <c r="E28" s="95"/>
      <c r="F28" s="95"/>
      <c r="G28" s="139"/>
      <c r="H28" s="96"/>
      <c r="I28" s="98"/>
      <c r="J28" s="98"/>
      <c r="K28" s="216"/>
      <c r="L28" s="216"/>
      <c r="M28" s="216"/>
      <c r="N28" s="216"/>
      <c r="O28" s="216"/>
      <c r="P28" s="216"/>
      <c r="Q28" s="99"/>
      <c r="R28" s="94"/>
      <c r="S28" s="215" t="str">
        <f>IF(T27="","",T27*1.2)</f>
        <v/>
      </c>
      <c r="T28" s="215"/>
      <c r="U28" s="94"/>
      <c r="V28" s="94" t="str">
        <f>IF(V27&gt;0,V27*20,"")</f>
        <v/>
      </c>
      <c r="W28" s="94" t="str">
        <f>IF(W27="","",(W27*10)*AJ27)</f>
        <v/>
      </c>
      <c r="X28" s="100" t="str">
        <f>IF(ROUNDUP(X27,1)&gt;0,IF((80+(8-ROUNDUP(X27,1))*40)&lt;0,0,80+(8-ROUNDUP(X27,1))*40),"")</f>
        <v/>
      </c>
      <c r="Y28" s="101" t="str">
        <f>IF(SUM(V28,W28,X28)&gt;0,SUM(V28,W28,X28),"")</f>
        <v/>
      </c>
      <c r="Z28" s="102" t="e">
        <f>IF(AE27&gt;34,(IF(OR(S28="",V28="",W28="",X28=""),"",SUM(S28,V28,W28,X28))*AI27),IF(OR(S28="",V28="",W28="",X28=""),"", SUM(S28,V28,W28,X28)))</f>
        <v>#VALUE!</v>
      </c>
      <c r="AA28" s="102"/>
      <c r="AB28" s="103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2" t="s">
        <v>223</v>
      </c>
      <c r="C29" s="126">
        <v>86</v>
      </c>
      <c r="D29" s="211">
        <v>85.51</v>
      </c>
      <c r="E29" s="127" t="s">
        <v>242</v>
      </c>
      <c r="F29" s="107" t="s">
        <v>201</v>
      </c>
      <c r="G29" s="129">
        <v>28012</v>
      </c>
      <c r="H29" s="105" t="s">
        <v>325</v>
      </c>
      <c r="I29" s="111" t="s">
        <v>212</v>
      </c>
      <c r="J29" s="111" t="s">
        <v>75</v>
      </c>
      <c r="K29" s="130">
        <v>38</v>
      </c>
      <c r="L29" s="131">
        <v>-41</v>
      </c>
      <c r="M29" s="131">
        <v>-41</v>
      </c>
      <c r="N29" s="131">
        <v>48</v>
      </c>
      <c r="O29" s="132">
        <v>52</v>
      </c>
      <c r="P29" s="132">
        <v>55</v>
      </c>
      <c r="Q29" s="114">
        <f>IF(MAX(K29:M29)&gt;0,IF(MAX(K29:M29)&lt;0,0,TRUNC(MAX(K29:M29)/1)*1),"")</f>
        <v>38</v>
      </c>
      <c r="R29" s="115">
        <f>IF(MAX(N29:P29)&gt;0,IF(MAX(N29:P29)&lt;0,0,TRUNC(MAX(N29:P29)/1)*1),"")</f>
        <v>55</v>
      </c>
      <c r="S29" s="125">
        <f>IF(Q29="","",IF(R29="","",IF(SUM(Q29:R29)=0,"",SUM(Q29:R29))))</f>
        <v>93</v>
      </c>
      <c r="T29" s="116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>104.61281251812134</v>
      </c>
      <c r="U29" s="117">
        <f>IF(AF29=1,T29*AI29,"")</f>
        <v>137.35662283629333</v>
      </c>
      <c r="V29" s="118">
        <v>4.92</v>
      </c>
      <c r="W29" s="118">
        <v>4.62</v>
      </c>
      <c r="X29" s="118">
        <v>8.9</v>
      </c>
      <c r="Y29" s="119"/>
      <c r="Z29" s="120"/>
      <c r="AA29" s="120" t="s">
        <v>307</v>
      </c>
      <c r="AB29" s="121"/>
      <c r="AC29" s="66">
        <f>U5</f>
        <v>45914</v>
      </c>
      <c r="AD29" s="69" t="str">
        <f>IF(ISNUMBER(FIND("M",E29)),"m",IF(ISNUMBER(FIND("K",E29)),"k"))</f>
        <v>k</v>
      </c>
      <c r="AE29" s="82">
        <f>IF(OR(G29="",AC29=""),0,(YEAR(AC29)-YEAR(G29)))</f>
        <v>49</v>
      </c>
      <c r="AF29" s="34">
        <f t="shared" ref="AF29" si="6">IF(AE29&gt;34,1,0)</f>
        <v>1</v>
      </c>
      <c r="AG29" s="8">
        <f>IF(AF29=1,LOOKUP(AE29,'Meltzer-Faber'!A3:A63,'Meltzer-Faber'!B3:B63))</f>
        <v>1.2629999999999999</v>
      </c>
      <c r="AH29" s="36">
        <f>IF(AF29=1,LOOKUP(AE29,'Meltzer-Faber'!A3:A63,'Meltzer-Faber'!C3:C63))</f>
        <v>1.3129999999999999</v>
      </c>
      <c r="AI29" s="36">
        <f t="shared" ref="AI29" si="7">IF(AD29="m",AG29,IF(AD29="k",AH29,""))</f>
        <v>1.3129999999999999</v>
      </c>
      <c r="AJ29" s="86">
        <f>IF(D29="","",IF(D29&gt;193.609,1,IF(D29&lt;32,10^(0.722762521*LOG10(32/193.609)^2),10^(0.722762521*LOG10(D29/193.609)^2))))</f>
        <v>1.2332163328802386</v>
      </c>
    </row>
    <row r="30" spans="2:36" s="8" customFormat="1" ht="20" customHeight="1">
      <c r="B30" s="104"/>
      <c r="C30" s="138"/>
      <c r="D30" s="210"/>
      <c r="E30" s="95"/>
      <c r="F30" s="95"/>
      <c r="G30" s="139"/>
      <c r="H30" s="96"/>
      <c r="I30" s="98"/>
      <c r="J30" s="98"/>
      <c r="K30" s="216"/>
      <c r="L30" s="216"/>
      <c r="M30" s="216"/>
      <c r="N30" s="216"/>
      <c r="O30" s="216"/>
      <c r="P30" s="216"/>
      <c r="Q30" s="99"/>
      <c r="R30" s="94"/>
      <c r="S30" s="215">
        <f>IF(T29="","",T29*1.2)</f>
        <v>125.53537502174561</v>
      </c>
      <c r="T30" s="215"/>
      <c r="U30" s="94"/>
      <c r="V30" s="94">
        <f>IF(V29&gt;0,V29*20,"")</f>
        <v>98.4</v>
      </c>
      <c r="W30" s="94">
        <f>IF(W29="","",(W29*10)*AJ29)</f>
        <v>56.974594579067023</v>
      </c>
      <c r="X30" s="100">
        <f>IF(ROUNDUP(X29,1)&gt;0,IF((80+(8-ROUNDUP(X29,1))*40)&lt;0,0,80+(8-ROUNDUP(X29,1))*40),"")</f>
        <v>43.999999999999986</v>
      </c>
      <c r="Y30" s="101">
        <f>IF(SUM(V30,W30,X30)&gt;0,SUM(V30,W30,X30),"")</f>
        <v>199.37459457906704</v>
      </c>
      <c r="Z30" s="102">
        <f>IF(AE29&gt;34,(IF(OR(S30="",V30="",W30="",X30=""),"",SUM(S30,V30,W30,X30))*AI29),IF(OR(S30="",V30="",W30="",X30=""),"", SUM(S30,V30,W30,X30)))</f>
        <v>426.60679008586698</v>
      </c>
      <c r="AA30" s="102"/>
      <c r="AB30" s="103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2" t="s">
        <v>224</v>
      </c>
      <c r="C31" s="126">
        <v>86</v>
      </c>
      <c r="D31" s="211">
        <v>78.650000000000006</v>
      </c>
      <c r="E31" s="127" t="s">
        <v>241</v>
      </c>
      <c r="F31" s="107" t="s">
        <v>201</v>
      </c>
      <c r="G31" s="129">
        <v>27503</v>
      </c>
      <c r="H31" s="105" t="s">
        <v>326</v>
      </c>
      <c r="I31" s="111" t="s">
        <v>213</v>
      </c>
      <c r="J31" s="111" t="s">
        <v>75</v>
      </c>
      <c r="K31" s="130">
        <v>40</v>
      </c>
      <c r="L31" s="131">
        <v>43</v>
      </c>
      <c r="M31" s="131">
        <v>46</v>
      </c>
      <c r="N31" s="131">
        <v>58</v>
      </c>
      <c r="O31" s="132">
        <v>62</v>
      </c>
      <c r="P31" s="132">
        <v>63</v>
      </c>
      <c r="Q31" s="114">
        <f>IF(MAX(K31:M31)&gt;0,IF(MAX(K31:M31)&lt;0,0,TRUNC(MAX(K31:M31)/1)*1),"")</f>
        <v>46</v>
      </c>
      <c r="R31" s="115">
        <f>IF(MAX(N31:P31)&gt;0,IF(MAX(N31:P31)&lt;0,0,TRUNC(MAX(N31:P31)/1)*1),"")</f>
        <v>63</v>
      </c>
      <c r="S31" s="125">
        <f>IF(Q31="","",IF(R31="","",IF(SUM(Q31:R31)=0,"",SUM(Q31:R31))))</f>
        <v>109</v>
      </c>
      <c r="T31" s="116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>127.09638493366694</v>
      </c>
      <c r="U31" s="117">
        <f>IF(AF31=1,T31*AI31,"")</f>
        <v>170.3091558111137</v>
      </c>
      <c r="V31" s="133">
        <v>4.82</v>
      </c>
      <c r="W31" s="133">
        <v>9.07</v>
      </c>
      <c r="X31" s="134">
        <v>9</v>
      </c>
      <c r="Y31" s="119"/>
      <c r="Z31" s="120"/>
      <c r="AA31" s="120" t="s">
        <v>306</v>
      </c>
      <c r="AB31" s="121" t="s">
        <v>279</v>
      </c>
      <c r="AC31" s="66">
        <f>U5</f>
        <v>45914</v>
      </c>
      <c r="AD31" s="69" t="str">
        <f>IF(ISNUMBER(FIND("M",E31)),"m",IF(ISNUMBER(FIND("K",E31)),"k"))</f>
        <v>k</v>
      </c>
      <c r="AE31" s="82">
        <f>IF(OR(G31="",AC31=""),0,(YEAR(AC31)-YEAR(G31)))</f>
        <v>50</v>
      </c>
      <c r="AF31" s="34">
        <f t="shared" ref="AF31" si="8">IF(AE31&gt;34,1,0)</f>
        <v>1</v>
      </c>
      <c r="AG31" s="8">
        <f>IF(AF31=1,LOOKUP(AE31,'Meltzer-Faber'!A3:A63,'Meltzer-Faber'!B3:B63))</f>
        <v>1.2789999999999999</v>
      </c>
      <c r="AH31" s="36">
        <f>IF(AF31=1,LOOKUP(AE31,'Meltzer-Faber'!A3:A63,'Meltzer-Faber'!C3:C63))</f>
        <v>1.34</v>
      </c>
      <c r="AI31" s="36">
        <f t="shared" ref="AI31" si="9">IF(AD31="m",AG31,IF(AD31="k",AH31,""))</f>
        <v>1.34</v>
      </c>
      <c r="AJ31" s="86">
        <f>IF(D31="","",IF(D31&gt;193.609,1,IF(D31&lt;32,10^(0.722762521*LOG10(32/193.609)^2),10^(0.722762521*LOG10(D31/193.609)^2))))</f>
        <v>1.290104499651656</v>
      </c>
    </row>
    <row r="32" spans="2:36" s="8" customFormat="1" ht="20" customHeight="1">
      <c r="B32" s="104"/>
      <c r="C32" s="138"/>
      <c r="D32" s="210"/>
      <c r="E32" s="95"/>
      <c r="F32" s="95"/>
      <c r="G32" s="139"/>
      <c r="H32" s="96"/>
      <c r="I32" s="98"/>
      <c r="J32" s="98"/>
      <c r="K32" s="216"/>
      <c r="L32" s="216"/>
      <c r="M32" s="216"/>
      <c r="N32" s="216"/>
      <c r="O32" s="216"/>
      <c r="P32" s="216"/>
      <c r="Q32" s="99"/>
      <c r="R32" s="94"/>
      <c r="S32" s="215">
        <f>IF(T31="","",T31*1.2)</f>
        <v>152.51566192040033</v>
      </c>
      <c r="T32" s="215"/>
      <c r="U32" s="94"/>
      <c r="V32" s="94">
        <f>IF(V31&gt;0,V31*20,"")</f>
        <v>96.4</v>
      </c>
      <c r="W32" s="94">
        <f>IF(W31="","",(W31*10)*AJ31)</f>
        <v>117.0124781184052</v>
      </c>
      <c r="X32" s="100">
        <f>IF(ROUNDUP(X31,1)&gt;0,IF((80+(8-ROUNDUP(X31,1))*40)&lt;0,0,80+(8-ROUNDUP(X31,1))*40),"")</f>
        <v>40</v>
      </c>
      <c r="Y32" s="101">
        <f>IF(SUM(V32,W32,X32)&gt;0,SUM(V32,W32,X32),"")</f>
        <v>253.4124781184052</v>
      </c>
      <c r="Z32" s="102">
        <f>IF(AE31&gt;34,(IF(OR(S32="",V32="",W32="",X32=""),"",SUM(S32,V32,W32,X32))*AI31),IF(OR(S32="",V32="",W32="",X32=""),"", SUM(S32,V32,W32,X32)))</f>
        <v>543.94370765199938</v>
      </c>
      <c r="AA32" s="102"/>
      <c r="AB32" s="103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213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19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46" t="s">
        <v>34</v>
      </c>
      <c r="C35" s="248"/>
      <c r="D35" s="77" t="s">
        <v>33</v>
      </c>
      <c r="E35" s="246" t="s">
        <v>4</v>
      </c>
      <c r="F35" s="247"/>
      <c r="G35" s="247"/>
      <c r="H35" s="248"/>
      <c r="I35" s="50" t="s">
        <v>42</v>
      </c>
      <c r="J35" s="21"/>
      <c r="K35" s="246" t="s">
        <v>34</v>
      </c>
      <c r="L35" s="247"/>
      <c r="M35" s="248"/>
      <c r="N35" s="54" t="s">
        <v>33</v>
      </c>
      <c r="O35" s="244" t="s">
        <v>4</v>
      </c>
      <c r="P35" s="263"/>
      <c r="Q35" s="263"/>
      <c r="R35" s="245"/>
      <c r="S35" s="244" t="s">
        <v>42</v>
      </c>
      <c r="T35" s="2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49" t="s">
        <v>40</v>
      </c>
      <c r="C36" s="251"/>
      <c r="D36" s="78"/>
      <c r="E36" s="262" t="s">
        <v>281</v>
      </c>
      <c r="F36" s="250"/>
      <c r="G36" s="250"/>
      <c r="H36" s="251"/>
      <c r="I36" s="49"/>
      <c r="J36" s="4"/>
      <c r="K36" s="249" t="s">
        <v>35</v>
      </c>
      <c r="L36" s="250"/>
      <c r="M36" s="251"/>
      <c r="N36" s="51"/>
      <c r="O36" s="217" t="s">
        <v>282</v>
      </c>
      <c r="P36" s="264"/>
      <c r="Q36" s="264"/>
      <c r="R36" s="265"/>
      <c r="S36" s="217"/>
      <c r="T36" s="218"/>
      <c r="AF36" s="1"/>
      <c r="AH36" s="35"/>
      <c r="AI36" s="35"/>
    </row>
    <row r="37" spans="2:35" s="5" customFormat="1" ht="21" customHeight="1">
      <c r="B37" s="234" t="s">
        <v>36</v>
      </c>
      <c r="C37" s="222"/>
      <c r="D37" s="79"/>
      <c r="E37" s="220" t="s">
        <v>297</v>
      </c>
      <c r="F37" s="221"/>
      <c r="G37" s="221"/>
      <c r="H37" s="222"/>
      <c r="I37" s="47"/>
      <c r="J37" s="4"/>
      <c r="K37" s="234" t="s">
        <v>38</v>
      </c>
      <c r="L37" s="221"/>
      <c r="M37" s="222"/>
      <c r="N37" s="52"/>
      <c r="O37" s="228" t="s">
        <v>284</v>
      </c>
      <c r="P37" s="229"/>
      <c r="Q37" s="229"/>
      <c r="R37" s="230"/>
      <c r="S37" s="228"/>
      <c r="T37" s="231"/>
      <c r="AH37" s="35"/>
      <c r="AI37" s="35"/>
    </row>
    <row r="38" spans="2:35" s="5" customFormat="1" ht="19" customHeight="1">
      <c r="B38" s="234" t="s">
        <v>36</v>
      </c>
      <c r="C38" s="222"/>
      <c r="D38" s="79"/>
      <c r="E38" s="220" t="s">
        <v>300</v>
      </c>
      <c r="F38" s="221"/>
      <c r="G38" s="221"/>
      <c r="H38" s="222"/>
      <c r="I38" s="47"/>
      <c r="J38" s="4"/>
      <c r="K38" s="234" t="s">
        <v>37</v>
      </c>
      <c r="L38" s="221"/>
      <c r="M38" s="222"/>
      <c r="N38" s="52"/>
      <c r="O38" s="228"/>
      <c r="P38" s="229"/>
      <c r="Q38" s="229"/>
      <c r="R38" s="230"/>
      <c r="S38" s="228"/>
      <c r="T38" s="231"/>
      <c r="V38" s="5" t="s">
        <v>54</v>
      </c>
      <c r="AH38" s="35"/>
      <c r="AI38" s="35"/>
    </row>
    <row r="39" spans="2:35" s="5" customFormat="1" ht="21" customHeight="1">
      <c r="B39" s="234" t="s">
        <v>36</v>
      </c>
      <c r="C39" s="222"/>
      <c r="D39" s="79"/>
      <c r="E39" s="220" t="s">
        <v>293</v>
      </c>
      <c r="F39" s="221"/>
      <c r="G39" s="221"/>
      <c r="H39" s="222"/>
      <c r="I39" s="47"/>
      <c r="J39" s="4"/>
      <c r="K39" s="234" t="s">
        <v>55</v>
      </c>
      <c r="L39" s="221"/>
      <c r="M39" s="222"/>
      <c r="N39" s="52"/>
      <c r="O39" s="228" t="s">
        <v>283</v>
      </c>
      <c r="P39" s="229"/>
      <c r="Q39" s="229"/>
      <c r="R39" s="230"/>
      <c r="S39" s="228"/>
      <c r="T39" s="231"/>
      <c r="AD39" s="5" t="s">
        <v>13</v>
      </c>
      <c r="AH39" s="35"/>
      <c r="AI39" s="35"/>
    </row>
    <row r="40" spans="2:35" s="5" customFormat="1" ht="20" customHeight="1">
      <c r="B40" s="234" t="s">
        <v>36</v>
      </c>
      <c r="C40" s="222"/>
      <c r="D40" s="79"/>
      <c r="E40" s="220"/>
      <c r="F40" s="221"/>
      <c r="G40" s="221"/>
      <c r="H40" s="222"/>
      <c r="I40" s="47"/>
      <c r="J40" s="4"/>
      <c r="K40" s="234" t="s">
        <v>55</v>
      </c>
      <c r="L40" s="221"/>
      <c r="M40" s="222"/>
      <c r="N40" s="52"/>
      <c r="O40" s="228" t="s">
        <v>290</v>
      </c>
      <c r="P40" s="229"/>
      <c r="Q40" s="229"/>
      <c r="R40" s="230"/>
      <c r="S40" s="228"/>
      <c r="T40" s="231"/>
      <c r="AH40" s="35"/>
      <c r="AI40" s="35"/>
    </row>
    <row r="41" spans="2:35" ht="19" customHeight="1">
      <c r="B41" s="234" t="s">
        <v>36</v>
      </c>
      <c r="C41" s="222"/>
      <c r="D41" s="79"/>
      <c r="E41" s="220"/>
      <c r="F41" s="221"/>
      <c r="G41" s="221"/>
      <c r="H41" s="222"/>
      <c r="I41" s="47"/>
      <c r="J41" s="3"/>
      <c r="K41" s="234"/>
      <c r="L41" s="221"/>
      <c r="M41" s="222"/>
      <c r="N41" s="52"/>
      <c r="O41" s="228"/>
      <c r="P41" s="229"/>
      <c r="Q41" s="229"/>
      <c r="R41" s="230"/>
      <c r="S41" s="228"/>
      <c r="T41" s="231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234" t="s">
        <v>39</v>
      </c>
      <c r="C42" s="222"/>
      <c r="D42" s="79"/>
      <c r="E42" s="220" t="s">
        <v>289</v>
      </c>
      <c r="F42" s="221"/>
      <c r="G42" s="221"/>
      <c r="H42" s="222"/>
      <c r="I42" s="47"/>
      <c r="J42" s="3"/>
      <c r="K42" s="234"/>
      <c r="L42" s="221"/>
      <c r="M42" s="222"/>
      <c r="N42" s="52"/>
      <c r="O42" s="228"/>
      <c r="P42" s="229"/>
      <c r="Q42" s="229"/>
      <c r="R42" s="230"/>
      <c r="S42" s="228"/>
      <c r="T42" s="231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226"/>
      <c r="C43" s="225"/>
      <c r="D43" s="80"/>
      <c r="E43" s="223"/>
      <c r="F43" s="224"/>
      <c r="G43" s="224"/>
      <c r="H43" s="225"/>
      <c r="I43" s="48"/>
      <c r="J43" s="3"/>
      <c r="K43" s="226"/>
      <c r="L43" s="224"/>
      <c r="M43" s="225"/>
      <c r="N43" s="53"/>
      <c r="O43" s="240"/>
      <c r="P43" s="241"/>
      <c r="Q43" s="241"/>
      <c r="R43" s="242"/>
      <c r="S43" s="240"/>
      <c r="T43" s="24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33"/>
      <c r="C44" s="233"/>
      <c r="D44" s="232"/>
      <c r="E44" s="232"/>
      <c r="F44" s="56"/>
      <c r="G44" s="232"/>
      <c r="H44" s="232"/>
      <c r="I44" s="232"/>
      <c r="J44" s="3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37" t="s">
        <v>320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226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9"/>
      <c r="F50" s="219"/>
      <c r="G50" s="219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59" priority="24" stopIfTrue="1" operator="lessThanOrEqual">
      <formula>0</formula>
    </cfRule>
    <cfRule type="cellIs" dxfId="58" priority="23" stopIfTrue="1" operator="between">
      <formula>1</formula>
      <formula>300</formula>
    </cfRule>
  </conditionalFormatting>
  <conditionalFormatting sqref="K29">
    <cfRule type="cellIs" dxfId="57" priority="22" stopIfTrue="1" operator="lessThanOrEqual">
      <formula>0</formula>
    </cfRule>
    <cfRule type="cellIs" dxfId="56" priority="21" stopIfTrue="1" operator="between">
      <formula>1</formula>
      <formula>300</formula>
    </cfRule>
  </conditionalFormatting>
  <conditionalFormatting sqref="K31">
    <cfRule type="cellIs" dxfId="55" priority="19" stopIfTrue="1" operator="between">
      <formula>1</formula>
      <formula>300</formula>
    </cfRule>
    <cfRule type="cellIs" dxfId="54" priority="20" stopIfTrue="1" operator="lessThanOrEqual">
      <formula>0</formula>
    </cfRule>
  </conditionalFormatting>
  <conditionalFormatting sqref="K9:P9">
    <cfRule type="cellIs" dxfId="53" priority="13" stopIfTrue="1" operator="between">
      <formula>1</formula>
      <formula>300</formula>
    </cfRule>
    <cfRule type="cellIs" dxfId="52" priority="14" stopIfTrue="1" operator="lessThanOrEqual">
      <formula>0</formula>
    </cfRule>
  </conditionalFormatting>
  <conditionalFormatting sqref="K11:P11">
    <cfRule type="cellIs" dxfId="51" priority="11" stopIfTrue="1" operator="between">
      <formula>1</formula>
      <formula>300</formula>
    </cfRule>
    <cfRule type="cellIs" dxfId="50" priority="12" stopIfTrue="1" operator="lessThanOrEqual">
      <formula>0</formula>
    </cfRule>
  </conditionalFormatting>
  <conditionalFormatting sqref="K13:P13">
    <cfRule type="cellIs" dxfId="49" priority="7" stopIfTrue="1" operator="between">
      <formula>1</formula>
      <formula>300</formula>
    </cfRule>
    <cfRule type="cellIs" dxfId="48" priority="8" stopIfTrue="1" operator="lessThanOrEqual">
      <formula>0</formula>
    </cfRule>
  </conditionalFormatting>
  <conditionalFormatting sqref="K15:P15">
    <cfRule type="cellIs" dxfId="47" priority="9" stopIfTrue="1" operator="between">
      <formula>1</formula>
      <formula>300</formula>
    </cfRule>
    <cfRule type="cellIs" dxfId="46" priority="10" stopIfTrue="1" operator="lessThanOrEqual">
      <formula>0</formula>
    </cfRule>
  </conditionalFormatting>
  <conditionalFormatting sqref="K17:P17">
    <cfRule type="cellIs" dxfId="45" priority="15" stopIfTrue="1" operator="between">
      <formula>1</formula>
      <formula>300</formula>
    </cfRule>
    <cfRule type="cellIs" dxfId="44" priority="16" stopIfTrue="1" operator="lessThanOrEqual">
      <formula>0</formula>
    </cfRule>
  </conditionalFormatting>
  <conditionalFormatting sqref="K19:P19">
    <cfRule type="cellIs" dxfId="43" priority="1" stopIfTrue="1" operator="between">
      <formula>1</formula>
      <formula>300</formula>
    </cfRule>
    <cfRule type="cellIs" dxfId="42" priority="2" stopIfTrue="1" operator="lessThanOrEqual">
      <formula>0</formula>
    </cfRule>
  </conditionalFormatting>
  <conditionalFormatting sqref="K21:P21">
    <cfRule type="cellIs" dxfId="41" priority="4" stopIfTrue="1" operator="lessThanOrEqual">
      <formula>0</formula>
    </cfRule>
    <cfRule type="cellIs" dxfId="40" priority="3" stopIfTrue="1" operator="between">
      <formula>1</formula>
      <formula>300</formula>
    </cfRule>
  </conditionalFormatting>
  <conditionalFormatting sqref="K23:P23">
    <cfRule type="cellIs" dxfId="39" priority="6" stopIfTrue="1" operator="lessThanOrEqual">
      <formula>0</formula>
    </cfRule>
    <cfRule type="cellIs" dxfId="38" priority="5" stopIfTrue="1" operator="between">
      <formula>1</formula>
      <formula>300</formula>
    </cfRule>
  </conditionalFormatting>
  <conditionalFormatting sqref="K25:P25">
    <cfRule type="cellIs" dxfId="37" priority="18" stopIfTrue="1" operator="lessThanOrEqual">
      <formula>0</formula>
    </cfRule>
    <cfRule type="cellIs" dxfId="36" priority="17" stopIfTrue="1" operator="between">
      <formula>1</formula>
      <formula>300</formula>
    </cfRule>
  </conditionalFormatting>
  <conditionalFormatting sqref="L27:N27">
    <cfRule type="cellIs" dxfId="35" priority="29" stopIfTrue="1" operator="between">
      <formula>1</formula>
      <formula>300</formula>
    </cfRule>
    <cfRule type="cellIs" dxfId="34" priority="30" stopIfTrue="1" operator="lessThanOrEqual">
      <formula>0</formula>
    </cfRule>
  </conditionalFormatting>
  <conditionalFormatting sqref="L29:N29">
    <cfRule type="cellIs" dxfId="33" priority="27" stopIfTrue="1" operator="between">
      <formula>1</formula>
      <formula>300</formula>
    </cfRule>
    <cfRule type="cellIs" dxfId="32" priority="28" stopIfTrue="1" operator="lessThanOrEqual">
      <formula>0</formula>
    </cfRule>
  </conditionalFormatting>
  <conditionalFormatting sqref="L31:N31">
    <cfRule type="cellIs" dxfId="31" priority="25" stopIfTrue="1" operator="between">
      <formula>1</formula>
      <formula>300</formula>
    </cfRule>
    <cfRule type="cellIs" dxfId="30" priority="26" stopIfTrue="1" operator="lessThanOrEqual">
      <formula>0</formula>
    </cfRule>
  </conditionalFormatting>
  <dataValidations count="6">
    <dataValidation type="list" allowBlank="1" showInputMessage="1" showErrorMessage="1" sqref="F9 F17 F11 F13 F15 F19 F21 F23 F25 F27 F29 F31" xr:uid="{E1F1A61F-6278-4466-AD34-0759E894CE69}">
      <formula1>"11-12,13-14,15-16,17-18,19-23,24-34,+35"</formula1>
    </dataValidation>
    <dataValidation type="list" allowBlank="1" showInputMessage="1" showErrorMessage="1" prompt="Feil_i_kat. 5-kamp - Feil verdi i kategori 5-kamp" sqref="G12" xr:uid="{8E2DD225-4F46-450B-BAD7-B985FD709A73}">
      <formula1>"11-12,13-14,15-16,17-18,19-23,24-34,+35,35+"</formula1>
    </dataValidation>
    <dataValidation type="list" allowBlank="1" showInputMessage="1" showErrorMessage="1" sqref="E9 E25 E27 E29 E31 E19 E21 E23 E11 E13 E15 E17" xr:uid="{D869BCC9-FD5C-4146-A395-AEC37B0900BD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2C3071A5-7015-440D-B201-92C2366E3079}">
      <formula1>"44,48,53,56,58,60,63,65,69,71,77,'+77,79,86,'+86,88,94,'+94,110,'+110"</formula1>
    </dataValidation>
    <dataValidation type="list" allowBlank="1" showInputMessage="1" showErrorMessage="1" sqref="D5:I5" xr:uid="{8D65E7CD-1D75-415B-9705-D1CDFF23433C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ABE03A48-94FB-43C1-B041-5C38FE720DBB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A68D-734D-402E-B89C-D22BE13B5EDF}">
  <sheetPr>
    <pageSetUpPr autoPageBreaks="0" fitToPage="1"/>
  </sheetPr>
  <dimension ref="A1:AJ50"/>
  <sheetViews>
    <sheetView showGridLines="0" showZeros="0" showOutlineSymbols="0" zoomScaleNormal="100" zoomScaleSheetLayoutView="75" zoomScalePageLayoutView="120" workbookViewId="0">
      <selection activeCell="G1" sqref="G1:G1048576"/>
    </sheetView>
  </sheetViews>
  <sheetFormatPr baseColWidth="10" defaultColWidth="9.19921875" defaultRowHeight="13"/>
  <cols>
    <col min="1" max="1" width="4.3984375" style="3" customWidth="1"/>
    <col min="2" max="2" width="10.19921875" style="3" bestFit="1" customWidth="1"/>
    <col min="3" max="3" width="6.3984375" style="1" customWidth="1"/>
    <col min="4" max="4" width="8.59765625" style="1" hidden="1" customWidth="1"/>
    <col min="5" max="6" width="6.3984375" style="16" customWidth="1"/>
    <col min="7" max="7" width="10.59765625" style="1" hidden="1" customWidth="1"/>
    <col min="8" max="8" width="3.796875" style="1" customWidth="1"/>
    <col min="9" max="9" width="27.796875" style="4" customWidth="1"/>
    <col min="10" max="10" width="21" style="4" customWidth="1"/>
    <col min="11" max="11" width="6.796875" style="1" customWidth="1"/>
    <col min="12" max="12" width="6.796875" style="18" customWidth="1"/>
    <col min="13" max="13" width="6.796875" style="1" customWidth="1"/>
    <col min="14" max="14" width="8.796875" style="1" customWidth="1"/>
    <col min="15" max="19" width="6.796875" style="1" customWidth="1"/>
    <col min="20" max="23" width="8" style="17" customWidth="1"/>
    <col min="24" max="24" width="9" style="17" customWidth="1"/>
    <col min="25" max="26" width="8" style="17" customWidth="1"/>
    <col min="27" max="27" width="4.3984375" style="17" customWidth="1"/>
    <col min="28" max="28" width="5.59765625" style="17" customWidth="1"/>
    <col min="29" max="29" width="9.59765625" style="3" hidden="1" customWidth="1"/>
    <col min="30" max="31" width="9.19921875" style="3" hidden="1" customWidth="1"/>
    <col min="32" max="32" width="7.796875" style="3" hidden="1" customWidth="1"/>
    <col min="33" max="33" width="9.19921875" style="3" hidden="1" customWidth="1"/>
    <col min="34" max="35" width="9.19921875" style="2" hidden="1" customWidth="1"/>
    <col min="36" max="36" width="9.19921875" style="3" hidden="1" customWidth="1"/>
    <col min="37" max="37" width="9.19921875" style="3" customWidth="1"/>
    <col min="38" max="16384" width="9.19921875" style="3"/>
  </cols>
  <sheetData>
    <row r="1" spans="1:36" customFormat="1" ht="19" customHeight="1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>
      <c r="A2" s="15"/>
      <c r="B2" s="15"/>
      <c r="C2" s="15"/>
      <c r="D2" s="15"/>
      <c r="E2" s="15"/>
      <c r="F2" s="15"/>
      <c r="G2" s="235" t="s">
        <v>57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15"/>
      <c r="T2" s="15"/>
      <c r="U2" s="83" t="s">
        <v>58</v>
      </c>
      <c r="V2" s="15"/>
      <c r="W2" s="15"/>
      <c r="X2" s="15"/>
      <c r="Y2" s="15"/>
    </row>
    <row r="3" spans="1:36" customFormat="1" ht="29">
      <c r="A3" s="15"/>
      <c r="B3" s="15"/>
      <c r="C3" s="15"/>
      <c r="D3" s="15"/>
      <c r="E3" s="84"/>
      <c r="F3" s="15"/>
      <c r="G3" s="236" t="s">
        <v>21</v>
      </c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85" t="s">
        <v>59</v>
      </c>
      <c r="T3" s="85"/>
      <c r="U3" s="85"/>
      <c r="V3" s="85"/>
      <c r="W3" s="85"/>
      <c r="X3" s="85"/>
      <c r="Y3" s="85"/>
      <c r="Z3" s="85"/>
    </row>
    <row r="4" spans="1:36" customFormat="1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6">
      <c r="C5" s="24" t="s">
        <v>16</v>
      </c>
      <c r="D5" s="255" t="s">
        <v>61</v>
      </c>
      <c r="E5" s="255"/>
      <c r="F5" s="255"/>
      <c r="G5" s="255"/>
      <c r="H5" s="255"/>
      <c r="I5" s="255"/>
      <c r="J5" s="24" t="s">
        <v>0</v>
      </c>
      <c r="K5" s="255" t="s">
        <v>62</v>
      </c>
      <c r="L5" s="255"/>
      <c r="M5" s="255"/>
      <c r="N5" s="255"/>
      <c r="O5" s="24" t="s">
        <v>1</v>
      </c>
      <c r="P5" s="254" t="s">
        <v>63</v>
      </c>
      <c r="Q5" s="254"/>
      <c r="R5" s="254"/>
      <c r="S5" s="254"/>
      <c r="T5" s="24" t="s">
        <v>2</v>
      </c>
      <c r="U5" s="266">
        <v>45914</v>
      </c>
      <c r="V5" s="266"/>
      <c r="W5" s="55"/>
      <c r="X5" s="55"/>
      <c r="Y5" s="55"/>
      <c r="Z5" s="25" t="s">
        <v>15</v>
      </c>
      <c r="AA5" s="25"/>
      <c r="AB5" s="26">
        <v>9</v>
      </c>
      <c r="AH5" s="35"/>
      <c r="AI5" s="35"/>
    </row>
    <row r="6" spans="1:36">
      <c r="AG6" s="38" t="s">
        <v>27</v>
      </c>
      <c r="AH6" s="38" t="s">
        <v>27</v>
      </c>
      <c r="AI6" s="38" t="s">
        <v>27</v>
      </c>
      <c r="AJ6" s="214" t="s">
        <v>56</v>
      </c>
    </row>
    <row r="7" spans="1:36" s="1" customFormat="1">
      <c r="B7" s="252" t="s">
        <v>33</v>
      </c>
      <c r="C7" s="256" t="s">
        <v>52</v>
      </c>
      <c r="D7" s="256" t="s">
        <v>51</v>
      </c>
      <c r="E7" s="258" t="s">
        <v>53</v>
      </c>
      <c r="F7" s="260" t="s">
        <v>50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44</v>
      </c>
      <c r="W7" s="63" t="s">
        <v>45</v>
      </c>
      <c r="X7" s="63" t="s">
        <v>46</v>
      </c>
      <c r="Y7" s="71" t="s">
        <v>47</v>
      </c>
      <c r="Z7" s="72" t="s">
        <v>43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14"/>
    </row>
    <row r="8" spans="1:36" s="1" customFormat="1">
      <c r="B8" s="253"/>
      <c r="C8" s="257"/>
      <c r="D8" s="257"/>
      <c r="E8" s="259"/>
      <c r="F8" s="261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48</v>
      </c>
      <c r="Z8" s="65" t="s">
        <v>49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>
      <c r="B9" s="206" t="s">
        <v>234</v>
      </c>
      <c r="C9" s="148" t="s">
        <v>312</v>
      </c>
      <c r="D9" s="212">
        <v>93.79</v>
      </c>
      <c r="E9" s="147" t="s">
        <v>225</v>
      </c>
      <c r="F9" s="148" t="s">
        <v>200</v>
      </c>
      <c r="G9" s="149">
        <v>34954</v>
      </c>
      <c r="H9" s="150">
        <v>1</v>
      </c>
      <c r="I9" s="151" t="s">
        <v>226</v>
      </c>
      <c r="J9" s="152" t="s">
        <v>65</v>
      </c>
      <c r="K9" s="153">
        <v>70</v>
      </c>
      <c r="L9" s="154">
        <v>75</v>
      </c>
      <c r="M9" s="154">
        <v>80</v>
      </c>
      <c r="N9" s="153">
        <v>94</v>
      </c>
      <c r="O9" s="154">
        <v>100</v>
      </c>
      <c r="P9" s="154">
        <v>105</v>
      </c>
      <c r="Q9" s="155">
        <f>IF(MAX(K9:M9)&gt;0,IF(MAX(K9:M9)&lt;0,0,TRUNC(MAX(K9:M9)/1)*1),"")</f>
        <v>80</v>
      </c>
      <c r="R9" s="156">
        <f>IF(MAX(N9:P9)&gt;0,IF(MAX(N9:P9)&lt;0,0,TRUNC(MAX(N9:P9)/1)*1),"")</f>
        <v>105</v>
      </c>
      <c r="S9" s="156">
        <f>IF(Q9="","",IF(R9="","",IF(SUM(Q9:R9)=0,"",SUM(Q9:R9))))</f>
        <v>185</v>
      </c>
      <c r="T9" s="157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>201.11396995680022</v>
      </c>
      <c r="U9" s="158" t="str">
        <f>IF(AF9=1,T9*AI9,"")</f>
        <v/>
      </c>
      <c r="V9" s="159">
        <v>7.2</v>
      </c>
      <c r="W9" s="159">
        <v>15.15</v>
      </c>
      <c r="X9" s="159">
        <v>7.2</v>
      </c>
      <c r="Y9" s="157"/>
      <c r="Z9" s="160"/>
      <c r="AA9" s="160" t="s">
        <v>303</v>
      </c>
      <c r="AB9" s="161"/>
      <c r="AC9" s="68">
        <f>U5</f>
        <v>45914</v>
      </c>
      <c r="AD9" s="69" t="str">
        <f>IF(ISNUMBER(FIND("M",E9)),"m",IF(ISNUMBER(FIND("K",E9)),"k"))</f>
        <v>k</v>
      </c>
      <c r="AE9" s="67">
        <f>IF(OR(G9="",AC9=""),0,(YEAR(AC9)-YEAR(G9)))</f>
        <v>30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1.179263804445597</v>
      </c>
    </row>
    <row r="10" spans="1:36" s="8" customFormat="1" ht="20" customHeight="1">
      <c r="B10" s="207"/>
      <c r="C10" s="94"/>
      <c r="D10" s="210"/>
      <c r="E10" s="94"/>
      <c r="F10" s="95"/>
      <c r="G10" s="96"/>
      <c r="H10" s="97"/>
      <c r="I10" s="98"/>
      <c r="J10" s="98"/>
      <c r="K10" s="215"/>
      <c r="L10" s="215"/>
      <c r="M10" s="215"/>
      <c r="N10" s="216"/>
      <c r="O10" s="216"/>
      <c r="P10" s="216"/>
      <c r="Q10" s="99"/>
      <c r="R10" s="94"/>
      <c r="S10" s="215">
        <f>IF(T9="","",T9*1.2)</f>
        <v>241.33676394816024</v>
      </c>
      <c r="T10" s="215"/>
      <c r="U10" s="94"/>
      <c r="V10" s="94">
        <f>IF(V9&gt;0,V9*20,"")</f>
        <v>144</v>
      </c>
      <c r="W10" s="94">
        <f>IF(W9="","",(W9*10)*AJ9)</f>
        <v>178.65846637350793</v>
      </c>
      <c r="X10" s="100">
        <f>IF(ROUNDUP(X9,1)&gt;0,IF((80+(8-ROUNDUP(X9,1))*40)&lt;0,0,80+(8-ROUNDUP(X9,1))*40),"")</f>
        <v>112</v>
      </c>
      <c r="Y10" s="101">
        <f>IF(SUM(V10,W10,X10)&gt;0,SUM(V10,W10,X10),"")</f>
        <v>434.65846637350796</v>
      </c>
      <c r="Z10" s="102">
        <f>IF(AE9&gt;34,(IF(OR(S10="",V10="",W10="",X10=""),"",SUM(S10,V10,W10,X10))*AI9),IF(OR(S10="",V10="",W10="",X10=""),"", SUM(S10,V10,W10,X10)))</f>
        <v>675.99523032166815</v>
      </c>
      <c r="AA10" s="102"/>
      <c r="AB10" s="103"/>
      <c r="AC10" s="66"/>
      <c r="AD10" s="1"/>
      <c r="AE10" s="67"/>
      <c r="AF10" s="40"/>
      <c r="AH10" s="36"/>
      <c r="AI10" s="36"/>
      <c r="AJ10" s="86"/>
    </row>
    <row r="11" spans="1:36" s="8" customFormat="1" ht="20" customHeight="1">
      <c r="B11" s="208" t="s">
        <v>235</v>
      </c>
      <c r="C11" s="107" t="s">
        <v>311</v>
      </c>
      <c r="D11" s="211">
        <v>64.95</v>
      </c>
      <c r="E11" s="147" t="s">
        <v>225</v>
      </c>
      <c r="F11" s="148" t="s">
        <v>200</v>
      </c>
      <c r="G11" s="108">
        <v>36509</v>
      </c>
      <c r="H11" s="109">
        <v>2</v>
      </c>
      <c r="I11" s="110" t="s">
        <v>227</v>
      </c>
      <c r="J11" s="111" t="s">
        <v>228</v>
      </c>
      <c r="K11" s="112">
        <v>62</v>
      </c>
      <c r="L11" s="113">
        <v>65</v>
      </c>
      <c r="M11" s="113">
        <v>-67</v>
      </c>
      <c r="N11" s="112">
        <v>80</v>
      </c>
      <c r="O11" s="113">
        <v>83</v>
      </c>
      <c r="P11" s="113">
        <v>-84</v>
      </c>
      <c r="Q11" s="114">
        <f>IF(MAX(K11:M11)&gt;0,IF(MAX(K11:M11)&lt;0,0,TRUNC(MAX(K11:M11)/1)*1),"")</f>
        <v>65</v>
      </c>
      <c r="R11" s="115">
        <f>IF(MAX(N11:P11)&gt;0,IF(MAX(N11:P11)&lt;0,0,TRUNC(MAX(N11:P11)/1)*1),"")</f>
        <v>83</v>
      </c>
      <c r="S11" s="115">
        <f>IF(Q11="","",IF(R11="","",IF(SUM(Q11:R11)=0,"",SUM(Q11:R11))))</f>
        <v>148</v>
      </c>
      <c r="T11" s="116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190.76352359430456</v>
      </c>
      <c r="U11" s="117" t="str">
        <f>IF(AF11=1,T11*AI11,"")</f>
        <v/>
      </c>
      <c r="V11" s="118">
        <v>6.55</v>
      </c>
      <c r="W11" s="118">
        <v>9.94</v>
      </c>
      <c r="X11" s="118">
        <v>7.3</v>
      </c>
      <c r="Y11" s="119"/>
      <c r="Z11" s="120"/>
      <c r="AA11" s="120" t="s">
        <v>308</v>
      </c>
      <c r="AB11" s="121"/>
      <c r="AC11" s="66">
        <f>U5</f>
        <v>45914</v>
      </c>
      <c r="AD11" s="69" t="str">
        <f>IF(ISNUMBER(FIND("M",E11)),"m",IF(ISNUMBER(FIND("K",E11)),"k"))</f>
        <v>k</v>
      </c>
      <c r="AE11" s="67">
        <f>IF(OR(G11="",AC11=""),0,(YEAR(AC11)-YEAR(G11)))</f>
        <v>26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1.4542022609366887</v>
      </c>
    </row>
    <row r="12" spans="1:36" s="8" customFormat="1" ht="20" customHeight="1">
      <c r="B12" s="104"/>
      <c r="C12" s="94"/>
      <c r="D12" s="210"/>
      <c r="E12" s="94"/>
      <c r="F12" s="95"/>
      <c r="G12" s="96"/>
      <c r="H12" s="97"/>
      <c r="I12" s="98"/>
      <c r="J12" s="98"/>
      <c r="K12" s="215"/>
      <c r="L12" s="215"/>
      <c r="M12" s="215"/>
      <c r="N12" s="216"/>
      <c r="O12" s="216"/>
      <c r="P12" s="216"/>
      <c r="Q12" s="99"/>
      <c r="R12" s="94"/>
      <c r="S12" s="215">
        <f>IF(T11="","",T11*1.2)</f>
        <v>228.91622831316548</v>
      </c>
      <c r="T12" s="215"/>
      <c r="U12" s="102"/>
      <c r="V12" s="94">
        <f>IF(V11&gt;0,V11*20,"")</f>
        <v>131</v>
      </c>
      <c r="W12" s="94">
        <f>IF(W11="","",(W11*10)*AJ11)</f>
        <v>144.54770473710684</v>
      </c>
      <c r="X12" s="100">
        <f>IF(ROUNDUP(X11,1)&gt;0,IF((80+(8-ROUNDUP(X11,1))*40)&lt;0,0,80+(8-ROUNDUP(X11,1))*40),"")</f>
        <v>108</v>
      </c>
      <c r="Y12" s="101">
        <f>IF(SUM(V12,W12,X12)&gt;0,SUM(V12,W12,X12),"")</f>
        <v>383.54770473710687</v>
      </c>
      <c r="Z12" s="102">
        <f>IF(AE11&gt;34,(IF(OR(S12="",V12="",W12="",X12=""),"",SUM(S12,V12,W12,X12))*AI11),IF(OR(S12="",V12="",W12="",X12=""),"", SUM(S12,V12,W12,X12)))</f>
        <v>612.46393305027232</v>
      </c>
      <c r="AA12" s="102"/>
      <c r="AB12" s="103"/>
      <c r="AC12" s="66"/>
      <c r="AD12" s="1"/>
      <c r="AE12" s="67"/>
      <c r="AF12" s="34"/>
      <c r="AH12" s="36"/>
      <c r="AI12" s="36"/>
      <c r="AJ12" s="86"/>
    </row>
    <row r="13" spans="1:36" s="8" customFormat="1" ht="20" customHeight="1">
      <c r="B13" s="122" t="s">
        <v>236</v>
      </c>
      <c r="C13" s="105" t="s">
        <v>310</v>
      </c>
      <c r="D13" s="211">
        <v>60.05</v>
      </c>
      <c r="E13" s="147" t="s">
        <v>225</v>
      </c>
      <c r="F13" s="148" t="s">
        <v>200</v>
      </c>
      <c r="G13" s="108">
        <v>37213</v>
      </c>
      <c r="H13" s="109">
        <v>3</v>
      </c>
      <c r="I13" s="110" t="s">
        <v>229</v>
      </c>
      <c r="J13" s="111" t="s">
        <v>75</v>
      </c>
      <c r="K13" s="112">
        <v>55</v>
      </c>
      <c r="L13" s="113">
        <v>-58</v>
      </c>
      <c r="M13" s="113">
        <v>-58</v>
      </c>
      <c r="N13" s="112">
        <v>73</v>
      </c>
      <c r="O13" s="113">
        <v>-78</v>
      </c>
      <c r="P13" s="113">
        <v>-78</v>
      </c>
      <c r="Q13" s="114">
        <f>IF(MAX(K13:M13)&gt;0,IF(MAX(K13:M13)&lt;0,0,TRUNC(MAX(K13:M13)/1)*1),"")</f>
        <v>55</v>
      </c>
      <c r="R13" s="115">
        <f>IF(MAX(N13:P13)&gt;0,IF(MAX(N13:P13)&lt;0,0,TRUNC(MAX(N13:P13)/1)*1),"")</f>
        <v>73</v>
      </c>
      <c r="S13" s="115">
        <f>IF(Q13="","",IF(R13="","",IF(SUM(Q13:R13)=0,"",SUM(Q13:R13))))</f>
        <v>128</v>
      </c>
      <c r="T13" s="116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173.15086079784928</v>
      </c>
      <c r="U13" s="117" t="str">
        <f>IF(AF13=1,T13*AI13,"")</f>
        <v/>
      </c>
      <c r="V13" s="118">
        <v>7.06</v>
      </c>
      <c r="W13" s="118">
        <v>10.83</v>
      </c>
      <c r="X13" s="118">
        <v>6.9</v>
      </c>
      <c r="Y13" s="123"/>
      <c r="Z13" s="120"/>
      <c r="AA13" s="120" t="s">
        <v>306</v>
      </c>
      <c r="AB13" s="121"/>
      <c r="AC13" s="66">
        <f>U5</f>
        <v>45914</v>
      </c>
      <c r="AD13" s="69" t="str">
        <f>IF(ISNUMBER(FIND("M",E13)),"m",IF(ISNUMBER(FIND("K",E13)),"k"))</f>
        <v>k</v>
      </c>
      <c r="AE13" s="67">
        <f>IF(OR(G13="",AC13=""),0,(YEAR(AC13)-YEAR(G13)))</f>
        <v>24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1.5375244901549678</v>
      </c>
    </row>
    <row r="14" spans="1:36" s="8" customFormat="1" ht="20" customHeight="1">
      <c r="B14" s="104"/>
      <c r="C14" s="94"/>
      <c r="D14" s="210"/>
      <c r="E14" s="94"/>
      <c r="F14" s="95"/>
      <c r="G14" s="96"/>
      <c r="H14" s="97"/>
      <c r="I14" s="98"/>
      <c r="J14" s="98"/>
      <c r="K14" s="215"/>
      <c r="L14" s="215"/>
      <c r="M14" s="215"/>
      <c r="N14" s="216"/>
      <c r="O14" s="216"/>
      <c r="P14" s="216"/>
      <c r="Q14" s="99"/>
      <c r="R14" s="94"/>
      <c r="S14" s="215">
        <f>IF(T13="","",T13*1.2)</f>
        <v>207.78103295741911</v>
      </c>
      <c r="T14" s="215"/>
      <c r="U14" s="94"/>
      <c r="V14" s="94">
        <f>IF(V13&gt;0,V13*20,"")</f>
        <v>141.19999999999999</v>
      </c>
      <c r="W14" s="94">
        <f>IF(W13="","",(W13*10)*AJ13)</f>
        <v>166.51390228378301</v>
      </c>
      <c r="X14" s="100">
        <f>IF(ROUNDUP(X13,1)&gt;0,IF((80+(8-ROUNDUP(X13,1))*40)&lt;0,0,80+(8-ROUNDUP(X13,1))*40),"")</f>
        <v>123.99999999999999</v>
      </c>
      <c r="Y14" s="101">
        <f>IF(SUM(V14,W14,X14)&gt;0,SUM(V14,W14,X14),"")</f>
        <v>431.713902283783</v>
      </c>
      <c r="Z14" s="102">
        <f>IF(AE13&gt;34,(IF(OR(S14="",V14="",W14="",X14=""),"",SUM(S14,V14,W14,X14))*AI13),IF(OR(S14="",V14="",W14="",X14=""),"", SUM(S14,V14,W14,X14)))</f>
        <v>639.49493524120203</v>
      </c>
      <c r="AA14" s="102"/>
      <c r="AB14" s="103"/>
      <c r="AC14" s="66"/>
      <c r="AD14" s="1"/>
      <c r="AE14" s="67"/>
      <c r="AF14" s="34"/>
      <c r="AH14" s="36"/>
      <c r="AI14" s="36"/>
      <c r="AJ14" s="86"/>
    </row>
    <row r="15" spans="1:36" s="8" customFormat="1" ht="20" customHeight="1">
      <c r="B15" s="122" t="s">
        <v>237</v>
      </c>
      <c r="C15" s="105" t="s">
        <v>310</v>
      </c>
      <c r="D15" s="211">
        <v>61.95</v>
      </c>
      <c r="E15" s="147" t="s">
        <v>225</v>
      </c>
      <c r="F15" s="148" t="s">
        <v>200</v>
      </c>
      <c r="G15" s="108">
        <v>36144</v>
      </c>
      <c r="H15" s="109">
        <v>4</v>
      </c>
      <c r="I15" s="110" t="s">
        <v>230</v>
      </c>
      <c r="J15" s="111" t="s">
        <v>182</v>
      </c>
      <c r="K15" s="112">
        <v>-55</v>
      </c>
      <c r="L15" s="113">
        <v>55</v>
      </c>
      <c r="M15" s="113">
        <v>-60</v>
      </c>
      <c r="N15" s="112">
        <v>70</v>
      </c>
      <c r="O15" s="113">
        <v>75</v>
      </c>
      <c r="P15" s="113">
        <v>80</v>
      </c>
      <c r="Q15" s="114">
        <f>IF(MAX(K15:M15)&gt;0,IF(MAX(K15:M15)&lt;0,0,TRUNC(MAX(K15:M15)/1)*1),"")</f>
        <v>55</v>
      </c>
      <c r="R15" s="115">
        <f>IF(MAX(N15:P15)&gt;0,IF(MAX(N15:P15)&lt;0,0,TRUNC(MAX(N15:P15)/1)*1),"")</f>
        <v>80</v>
      </c>
      <c r="S15" s="115">
        <f>IF(Q15="","",IF(R15="","",IF(SUM(Q15:R15)=0,"",SUM(Q15:R15))))</f>
        <v>135</v>
      </c>
      <c r="T15" s="116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179.05968653468886</v>
      </c>
      <c r="U15" s="117" t="str">
        <f>IF(AF15=1,T15*AI15,"")</f>
        <v/>
      </c>
      <c r="V15" s="118">
        <v>7.31</v>
      </c>
      <c r="W15" s="118">
        <v>10.16</v>
      </c>
      <c r="X15" s="118">
        <v>6.8</v>
      </c>
      <c r="Y15" s="119"/>
      <c r="Z15" s="120"/>
      <c r="AA15" s="120" t="s">
        <v>305</v>
      </c>
      <c r="AB15" s="121"/>
      <c r="AC15" s="66">
        <f>U5</f>
        <v>45914</v>
      </c>
      <c r="AD15" s="69" t="str">
        <f>IF(ISNUMBER(FIND("M",E15)),"m",IF(ISNUMBER(FIND("K",E15)),"k"))</f>
        <v>k</v>
      </c>
      <c r="AE15" s="67">
        <f>IF(OR(G15="",AC15=""),0,(YEAR(AC15)-YEAR(G15)))</f>
        <v>27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1.5031837066711633</v>
      </c>
    </row>
    <row r="16" spans="1:36" s="8" customFormat="1" ht="20" customHeight="1">
      <c r="B16" s="104"/>
      <c r="C16" s="94"/>
      <c r="D16" s="210"/>
      <c r="E16" s="94"/>
      <c r="F16" s="95"/>
      <c r="G16" s="96"/>
      <c r="H16" s="97"/>
      <c r="I16" s="98"/>
      <c r="J16" s="98"/>
      <c r="K16" s="215"/>
      <c r="L16" s="215"/>
      <c r="M16" s="215"/>
      <c r="N16" s="216"/>
      <c r="O16" s="216"/>
      <c r="P16" s="216"/>
      <c r="Q16" s="136"/>
      <c r="R16" s="137"/>
      <c r="S16" s="215">
        <f>IF(T15="","",T15*1.2)</f>
        <v>214.87162384162664</v>
      </c>
      <c r="T16" s="215"/>
      <c r="U16" s="94"/>
      <c r="V16" s="94">
        <f>IF(V15&gt;0,V15*20,"")</f>
        <v>146.19999999999999</v>
      </c>
      <c r="W16" s="94">
        <f>IF(W15="","",(W15*10)*AJ15)</f>
        <v>152.72346459779018</v>
      </c>
      <c r="X16" s="100">
        <f>IF(ROUNDUP(X15,1)&gt;0,IF((80+(8-ROUNDUP(X15,1))*40)&lt;0,0,80+(8-ROUNDUP(X15,1))*40),"")</f>
        <v>128</v>
      </c>
      <c r="Y16" s="101">
        <f>IF(SUM(V16,W16,X16)&gt;0,SUM(V16,W16,X16),"")</f>
        <v>426.92346459779014</v>
      </c>
      <c r="Z16" s="102">
        <f>IF(AE15&gt;34,(IF(OR(S16="",V16="",W16="",X16=""),"",SUM(S16,V16,W16,X16))*AI15),IF(OR(S16="",V16="",W16="",X16=""),"", SUM(S16,V16,W16,X16)))</f>
        <v>641.79508843941687</v>
      </c>
      <c r="AA16" s="102"/>
      <c r="AB16" s="103"/>
      <c r="AC16" s="66"/>
      <c r="AD16" s="1"/>
      <c r="AE16" s="67"/>
      <c r="AF16" s="34"/>
      <c r="AH16" s="36"/>
      <c r="AI16" s="36"/>
      <c r="AJ16" s="86"/>
    </row>
    <row r="17" spans="2:36" s="8" customFormat="1" ht="20" customHeight="1">
      <c r="B17" s="122" t="s">
        <v>238</v>
      </c>
      <c r="C17" s="105" t="s">
        <v>313</v>
      </c>
      <c r="D17" s="211">
        <v>53.95</v>
      </c>
      <c r="E17" s="147" t="s">
        <v>225</v>
      </c>
      <c r="F17" s="148" t="s">
        <v>200</v>
      </c>
      <c r="G17" s="108">
        <v>35320</v>
      </c>
      <c r="H17" s="109">
        <v>5</v>
      </c>
      <c r="I17" s="124" t="s">
        <v>231</v>
      </c>
      <c r="J17" s="111" t="s">
        <v>62</v>
      </c>
      <c r="K17" s="112">
        <v>77</v>
      </c>
      <c r="L17" s="113">
        <v>79</v>
      </c>
      <c r="M17" s="113">
        <v>-80</v>
      </c>
      <c r="N17" s="112">
        <v>102</v>
      </c>
      <c r="O17" s="113">
        <v>105</v>
      </c>
      <c r="P17" s="113">
        <v>106</v>
      </c>
      <c r="Q17" s="114">
        <f>IF(MAX(K17:M17)&gt;0,IF(MAX(K17:M17)&lt;0,0,TRUNC(MAX(K17:M17)/1)*1),"")</f>
        <v>79</v>
      </c>
      <c r="R17" s="115">
        <f>IF(MAX(N17:P17)&gt;0,IF(MAX(N17:P17)&lt;0,0,TRUNC(MAX(N17:P17)/1)*1),"")</f>
        <v>106</v>
      </c>
      <c r="S17" s="125">
        <f>IF(Q17="","",IF(R17="","",IF(SUM(Q17:R17)=0,"",SUM(Q17:R17))))</f>
        <v>185</v>
      </c>
      <c r="T17" s="116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269.14678888275898</v>
      </c>
      <c r="U17" s="117" t="str">
        <f>IF(AF17=1,T17*AI17,"")</f>
        <v/>
      </c>
      <c r="V17" s="118">
        <v>7.05</v>
      </c>
      <c r="W17" s="118">
        <v>9.75</v>
      </c>
      <c r="X17" s="118">
        <v>6.9</v>
      </c>
      <c r="Y17" s="119"/>
      <c r="Z17" s="120"/>
      <c r="AA17" s="120" t="s">
        <v>304</v>
      </c>
      <c r="AB17" s="121" t="s">
        <v>302</v>
      </c>
      <c r="AC17" s="66">
        <f>U5</f>
        <v>45914</v>
      </c>
      <c r="AD17" s="69" t="str">
        <f>IF(ISNUMBER(FIND("M",E17)),"m",IF(ISNUMBER(FIND("K",E17)),"k"))</f>
        <v>k</v>
      </c>
      <c r="AE17" s="67">
        <f>IF(OR(G17="",AC17=""),0,(YEAR(AC17)-YEAR(G17)))</f>
        <v>29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b">
        <f t="shared" si="1"/>
        <v>0</v>
      </c>
      <c r="AJ17" s="86">
        <f>IF(D17="","",IF(D17&gt;193.609,1,IF(D17&lt;32,10^(0.722762521*LOG10(32/193.609)^2),10^(0.722762521*LOG10(D17/193.609)^2))))</f>
        <v>1.6694601370268545</v>
      </c>
    </row>
    <row r="18" spans="2:36" s="8" customFormat="1" ht="20" customHeight="1">
      <c r="B18" s="104"/>
      <c r="C18" s="94"/>
      <c r="D18" s="210"/>
      <c r="E18" s="94"/>
      <c r="F18" s="95"/>
      <c r="G18" s="96"/>
      <c r="H18" s="97"/>
      <c r="I18" s="98"/>
      <c r="J18" s="98"/>
      <c r="K18" s="215"/>
      <c r="L18" s="215"/>
      <c r="M18" s="215"/>
      <c r="N18" s="216"/>
      <c r="O18" s="216"/>
      <c r="P18" s="216"/>
      <c r="Q18" s="99"/>
      <c r="R18" s="94"/>
      <c r="S18" s="215">
        <f>IF(T17="","",T17*1.2)</f>
        <v>322.97614665931076</v>
      </c>
      <c r="T18" s="215"/>
      <c r="U18" s="94"/>
      <c r="V18" s="94">
        <f>IF(V17&gt;0,V17*20,"")</f>
        <v>141</v>
      </c>
      <c r="W18" s="94">
        <f>IF(W17="","",(W17*10)*AJ17)</f>
        <v>162.77236336011831</v>
      </c>
      <c r="X18" s="100">
        <f>IF(ROUNDUP(X17,1)&gt;0,IF((80+(8-ROUNDUP(X17,1))*40)&lt;0,0,80+(8-ROUNDUP(X17,1))*40),"")</f>
        <v>123.99999999999999</v>
      </c>
      <c r="Y18" s="101">
        <f>IF(SUM(V18,W18,X18)&gt;0,SUM(V18,W18,X18),"")</f>
        <v>427.77236336011833</v>
      </c>
      <c r="Z18" s="102">
        <f>IF(AE17&gt;34,(IF(OR(S18="",V18="",W18="",X18=""),"",SUM(S18,V18,W18,X18))*AI17),IF(OR(S18="",V18="",W18="",X18=""),"", SUM(S18,V18,W18,X18)))</f>
        <v>750.74851001942909</v>
      </c>
      <c r="AA18" s="102"/>
      <c r="AB18" s="103"/>
      <c r="AC18" s="66"/>
      <c r="AD18" s="1"/>
      <c r="AE18" s="67"/>
      <c r="AF18" s="34"/>
      <c r="AH18" s="36"/>
      <c r="AI18" s="36"/>
      <c r="AJ18" s="86"/>
    </row>
    <row r="19" spans="2:36" s="8" customFormat="1" ht="20" customHeight="1">
      <c r="B19" s="122" t="s">
        <v>239</v>
      </c>
      <c r="C19" s="105" t="s">
        <v>314</v>
      </c>
      <c r="D19" s="211">
        <v>80.930000000000007</v>
      </c>
      <c r="E19" s="147" t="s">
        <v>225</v>
      </c>
      <c r="F19" s="148" t="s">
        <v>200</v>
      </c>
      <c r="G19" s="108">
        <v>36829</v>
      </c>
      <c r="H19" s="109">
        <v>6</v>
      </c>
      <c r="I19" s="124" t="s">
        <v>232</v>
      </c>
      <c r="J19" s="111" t="s">
        <v>65</v>
      </c>
      <c r="K19" s="112">
        <v>67</v>
      </c>
      <c r="L19" s="113">
        <v>70</v>
      </c>
      <c r="M19" s="113">
        <v>73</v>
      </c>
      <c r="N19" s="112">
        <v>87</v>
      </c>
      <c r="O19" s="113">
        <v>92</v>
      </c>
      <c r="P19" s="113">
        <v>-94</v>
      </c>
      <c r="Q19" s="114">
        <f>IF(MAX(K19:M19)&gt;0,IF(MAX(K19:M19)&lt;0,0,TRUNC(MAX(K19:M19)/1)*1),"")</f>
        <v>73</v>
      </c>
      <c r="R19" s="115">
        <f>IF(MAX(N19:P19)&gt;0,IF(MAX(N19:P19)&lt;0,0,TRUNC(MAX(N19:P19)/1)*1),"")</f>
        <v>92</v>
      </c>
      <c r="S19" s="125">
        <f>IF(Q19="","",IF(R19="","",IF(SUM(Q19:R19)=0,"",SUM(Q19:R19))))</f>
        <v>165</v>
      </c>
      <c r="T19" s="116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>189.94357123804843</v>
      </c>
      <c r="U19" s="117" t="str">
        <f>IF(AF19=1,T19*AI19,"")</f>
        <v/>
      </c>
      <c r="V19" s="118">
        <v>6.84</v>
      </c>
      <c r="W19" s="118">
        <v>10.88</v>
      </c>
      <c r="X19" s="118">
        <v>7.4</v>
      </c>
      <c r="Y19" s="119"/>
      <c r="Z19" s="120"/>
      <c r="AA19" s="120" t="s">
        <v>309</v>
      </c>
      <c r="AB19" s="121"/>
      <c r="AC19" s="66">
        <f>U5</f>
        <v>45914</v>
      </c>
      <c r="AD19" s="69" t="str">
        <f>IF(ISNUMBER(FIND("M",E19)),"m",IF(ISNUMBER(FIND("K",E19)),"k"))</f>
        <v>k</v>
      </c>
      <c r="AE19" s="67">
        <f>IF(OR(G19="",AC19=""),0,(YEAR(AC19)-YEAR(G19)))</f>
        <v>25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b">
        <f t="shared" si="1"/>
        <v>0</v>
      </c>
      <c r="AJ19" s="86">
        <f>IF(D19="","",IF(D19&gt;193.609,1,IF(D19&lt;32,10^(0.722762521*LOG10(32/193.609)^2),10^(0.722762521*LOG10(D19/193.609)^2))))</f>
        <v>1.2697480408003277</v>
      </c>
    </row>
    <row r="20" spans="2:36" s="8" customFormat="1" ht="20" customHeight="1">
      <c r="B20" s="104"/>
      <c r="C20" s="94"/>
      <c r="D20" s="210"/>
      <c r="E20" s="94"/>
      <c r="F20" s="95"/>
      <c r="G20" s="96"/>
      <c r="H20" s="97"/>
      <c r="I20" s="98"/>
      <c r="J20" s="98"/>
      <c r="K20" s="215"/>
      <c r="L20" s="215"/>
      <c r="M20" s="215"/>
      <c r="N20" s="216"/>
      <c r="O20" s="216"/>
      <c r="P20" s="216"/>
      <c r="Q20" s="99"/>
      <c r="R20" s="94"/>
      <c r="S20" s="215">
        <f>IF(T19="","",T19*1.2)</f>
        <v>227.93228548565813</v>
      </c>
      <c r="T20" s="215"/>
      <c r="U20" s="94"/>
      <c r="V20" s="94">
        <f>IF(V19&gt;0,V19*20,"")</f>
        <v>136.80000000000001</v>
      </c>
      <c r="W20" s="94">
        <f>IF(W19="","",(W19*10)*AJ19)</f>
        <v>138.14858683907568</v>
      </c>
      <c r="X20" s="100">
        <f>IF(ROUNDUP(X19,1)&gt;0,IF((80+(8-ROUNDUP(X19,1))*40)&lt;0,0,80+(8-ROUNDUP(X19,1))*40),"")</f>
        <v>103.99999999999999</v>
      </c>
      <c r="Y20" s="101">
        <f>IF(SUM(V20,W20,X20)&gt;0,SUM(V20,W20,X20),"")</f>
        <v>378.94858683907569</v>
      </c>
      <c r="Z20" s="102">
        <f>IF(AE19&gt;34,(IF(OR(S20="",V20="",W20="",X20=""),"",SUM(S20,V20,W20,X20))*AI19),IF(OR(S20="",V20="",W20="",X20=""),"", SUM(S20,V20,W20,X20)))</f>
        <v>606.88087232473379</v>
      </c>
      <c r="AA20" s="102"/>
      <c r="AB20" s="103"/>
      <c r="AC20" s="66"/>
      <c r="AD20" s="1"/>
      <c r="AE20" s="67"/>
      <c r="AF20" s="34"/>
      <c r="AH20" s="36"/>
      <c r="AI20" s="36"/>
      <c r="AJ20" s="86"/>
    </row>
    <row r="21" spans="2:36" s="8" customFormat="1" ht="20" customHeight="1">
      <c r="B21" s="122" t="s">
        <v>240</v>
      </c>
      <c r="C21" s="105" t="s">
        <v>310</v>
      </c>
      <c r="D21" s="211">
        <v>60.09</v>
      </c>
      <c r="E21" s="147" t="s">
        <v>225</v>
      </c>
      <c r="F21" s="148" t="s">
        <v>200</v>
      </c>
      <c r="G21" s="108">
        <v>35936</v>
      </c>
      <c r="H21" s="109">
        <v>7</v>
      </c>
      <c r="I21" s="110" t="s">
        <v>233</v>
      </c>
      <c r="J21" s="111" t="s">
        <v>228</v>
      </c>
      <c r="K21" s="112">
        <v>62</v>
      </c>
      <c r="L21" s="113">
        <v>65</v>
      </c>
      <c r="M21" s="113">
        <v>-69</v>
      </c>
      <c r="N21" s="112">
        <v>80</v>
      </c>
      <c r="O21" s="113">
        <v>83</v>
      </c>
      <c r="P21" s="113">
        <v>-85</v>
      </c>
      <c r="Q21" s="114">
        <f>IF(MAX(K21:M21)&gt;0,IF(MAX(K21:M21)&lt;0,0,TRUNC(MAX(K21:M21)/1)*1),"")</f>
        <v>65</v>
      </c>
      <c r="R21" s="115">
        <f>IF(MAX(N21:P21)&gt;0,IF(MAX(N21:P21)&lt;0,0,TRUNC(MAX(N21:P21)/1)*1),"")</f>
        <v>83</v>
      </c>
      <c r="S21" s="125">
        <f>IF(Q21="","",IF(R21="","",IF(SUM(Q21:R21)=0,"",SUM(Q21:R21))))</f>
        <v>148</v>
      </c>
      <c r="T21" s="116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200.12004966316729</v>
      </c>
      <c r="U21" s="117" t="str">
        <f>IF(AF21=1,T21*AI21,"")</f>
        <v/>
      </c>
      <c r="V21" s="118">
        <v>7</v>
      </c>
      <c r="W21" s="118">
        <v>9.18</v>
      </c>
      <c r="X21" s="118">
        <v>7.1</v>
      </c>
      <c r="Y21" s="119"/>
      <c r="Z21" s="120"/>
      <c r="AA21" s="120" t="s">
        <v>307</v>
      </c>
      <c r="AB21" s="121"/>
      <c r="AC21" s="66">
        <f>U5</f>
        <v>45914</v>
      </c>
      <c r="AD21" s="69" t="str">
        <f>IF(ISNUMBER(FIND("M",E21)),"m",IF(ISNUMBER(FIND("K",E21)),"k"))</f>
        <v>k</v>
      </c>
      <c r="AE21" s="67">
        <f>IF(OR(G21="",AC21=""),0,(YEAR(AC21)-YEAR(G21)))</f>
        <v>27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6">
        <f>IF(D21="","",IF(D21&gt;193.609,1,IF(D21&lt;32,10^(0.722762521*LOG10(32/193.609)^2),10^(0.722762521*LOG10(D21/193.609)^2))))</f>
        <v>1.5367724578167399</v>
      </c>
    </row>
    <row r="22" spans="2:36" s="8" customFormat="1" ht="20" customHeight="1">
      <c r="B22" s="104"/>
      <c r="C22" s="94"/>
      <c r="D22" s="210"/>
      <c r="E22" s="94"/>
      <c r="F22" s="95"/>
      <c r="G22" s="96"/>
      <c r="H22" s="97"/>
      <c r="I22" s="98"/>
      <c r="J22" s="98"/>
      <c r="K22" s="215"/>
      <c r="L22" s="215"/>
      <c r="M22" s="215"/>
      <c r="N22" s="216"/>
      <c r="O22" s="216"/>
      <c r="P22" s="216"/>
      <c r="Q22" s="99"/>
      <c r="R22" s="94"/>
      <c r="S22" s="215">
        <f>IF(T21="","",T21*1.2)</f>
        <v>240.14405959580074</v>
      </c>
      <c r="T22" s="215"/>
      <c r="U22" s="94"/>
      <c r="V22" s="94">
        <f>IF(V21&gt;0,V21*20,"")</f>
        <v>140</v>
      </c>
      <c r="W22" s="94">
        <f>IF(W21="","",(W21*10)*AJ21)</f>
        <v>141.07571162757671</v>
      </c>
      <c r="X22" s="100">
        <f>IF(ROUNDUP(X21,1)&gt;0,IF((80+(8-ROUNDUP(X21,1))*40)&lt;0,0,80+(8-ROUNDUP(X21,1))*40),"")</f>
        <v>116.00000000000001</v>
      </c>
      <c r="Y22" s="101">
        <f>IF(SUM(V22,W22,X22)&gt;0,SUM(V22,W22,X22),"")</f>
        <v>397.07571162757671</v>
      </c>
      <c r="Z22" s="102">
        <f>IF(AE21&gt;34,(IF(OR(S22="",V22="",W22="",X22=""),"",SUM(S22,V22,W22,X22))*AI21),IF(OR(S22="",V22="",W22="",X22=""),"", SUM(S22,V22,W22,X22)))</f>
        <v>637.21977122337739</v>
      </c>
      <c r="AA22" s="102"/>
      <c r="AB22" s="103"/>
      <c r="AC22" s="66"/>
      <c r="AD22" s="1"/>
      <c r="AE22" s="67"/>
      <c r="AF22" s="34"/>
      <c r="AH22" s="36"/>
      <c r="AI22" s="36"/>
      <c r="AJ22" s="86"/>
    </row>
    <row r="23" spans="2:36" s="8" customFormat="1" ht="20" customHeight="1">
      <c r="B23" s="122"/>
      <c r="C23" s="105"/>
      <c r="D23" s="211" t="s">
        <v>13</v>
      </c>
      <c r="E23" s="147"/>
      <c r="F23" s="148"/>
      <c r="G23" s="108"/>
      <c r="H23" s="109"/>
      <c r="I23" s="110"/>
      <c r="J23" s="111"/>
      <c r="K23" s="112"/>
      <c r="L23" s="113"/>
      <c r="M23" s="113"/>
      <c r="N23" s="112"/>
      <c r="O23" s="113"/>
      <c r="P23" s="113"/>
      <c r="Q23" s="114" t="str">
        <f>IF(MAX(K23:M23)&gt;0,IF(MAX(K23:M23)&lt;0,0,TRUNC(MAX(K23:M23)/1)*1),"")</f>
        <v/>
      </c>
      <c r="R23" s="115" t="str">
        <f>IF(MAX(N23:P23)&gt;0,IF(MAX(N23:P23)&lt;0,0,TRUNC(MAX(N23:P23)/1)*1),"")</f>
        <v/>
      </c>
      <c r="S23" s="125" t="str">
        <f>IF(Q23="","",IF(R23="","",IF(SUM(Q23:R23)=0,"",SUM(Q23:R23))))</f>
        <v/>
      </c>
      <c r="T23" s="116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7" t="str">
        <f>IF(AF23=1,T23*AI23,"")</f>
        <v/>
      </c>
      <c r="V23" s="118"/>
      <c r="W23" s="118"/>
      <c r="X23" s="118"/>
      <c r="Y23" s="119"/>
      <c r="Z23" s="120"/>
      <c r="AA23" s="120"/>
      <c r="AB23" s="121"/>
      <c r="AC23" s="66">
        <f>U5</f>
        <v>45914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>
        <f>IF(D23="","",IF(D23&gt;193.609,1,IF(D23&lt;32,10^(0.722762521*LOG10(32/193.609)^2),10^(0.722762521*LOG10(D23/193.609)^2))))</f>
        <v>1</v>
      </c>
    </row>
    <row r="24" spans="2:36" s="8" customFormat="1" ht="20" customHeight="1">
      <c r="B24" s="104"/>
      <c r="C24" s="94"/>
      <c r="D24" s="94"/>
      <c r="E24" s="94"/>
      <c r="F24" s="95"/>
      <c r="G24" s="96"/>
      <c r="H24" s="97"/>
      <c r="I24" s="98"/>
      <c r="J24" s="98"/>
      <c r="K24" s="215"/>
      <c r="L24" s="215"/>
      <c r="M24" s="215"/>
      <c r="N24" s="216"/>
      <c r="O24" s="216"/>
      <c r="P24" s="216"/>
      <c r="Q24" s="99"/>
      <c r="R24" s="94"/>
      <c r="S24" s="215" t="str">
        <f>IF(T23="","",T23*1.2)</f>
        <v/>
      </c>
      <c r="T24" s="215"/>
      <c r="U24" s="94"/>
      <c r="V24" s="94" t="str">
        <f>IF(V23&gt;0,V23*20,"")</f>
        <v/>
      </c>
      <c r="W24" s="94" t="str">
        <f>IF(W23="","",(W23*10)*AJ23)</f>
        <v/>
      </c>
      <c r="X24" s="100" t="str">
        <f>IF(ROUNDUP(X23,1)&gt;0,IF((80+(8-ROUNDUP(X23,1))*40)&lt;0,0,80+(8-ROUNDUP(X23,1))*40),"")</f>
        <v/>
      </c>
      <c r="Y24" s="101" t="str">
        <f>IF(SUM(V24,W24,X24)&gt;0,SUM(V24,W24,X24),"")</f>
        <v/>
      </c>
      <c r="Z24" s="102" t="str">
        <f>IF(AE23&gt;34,(IF(OR(S24="",V24="",W24="",X24=""),"",SUM(S24,V24,W24,X24))*AI23),IF(OR(S24="",V24="",W24="",X24=""),"", SUM(S24,V24,W24,X24)))</f>
        <v/>
      </c>
      <c r="AA24" s="102"/>
      <c r="AB24" s="103"/>
      <c r="AC24" s="66"/>
      <c r="AD24" s="1"/>
      <c r="AE24" s="67"/>
      <c r="AF24" s="34"/>
      <c r="AH24" s="36"/>
      <c r="AI24" s="36"/>
      <c r="AJ24" s="86"/>
    </row>
    <row r="25" spans="2:36" s="8" customFormat="1" ht="20" customHeight="1">
      <c r="B25" s="122"/>
      <c r="C25" s="105"/>
      <c r="D25" s="106"/>
      <c r="E25" s="147"/>
      <c r="F25" s="148"/>
      <c r="G25" s="108"/>
      <c r="H25" s="109"/>
      <c r="I25" s="110"/>
      <c r="J25" s="111"/>
      <c r="K25" s="112"/>
      <c r="L25" s="113"/>
      <c r="M25" s="113"/>
      <c r="N25" s="112"/>
      <c r="O25" s="113"/>
      <c r="P25" s="113"/>
      <c r="Q25" s="114" t="str">
        <f>IF(MAX(K25:M25)&gt;0,IF(MAX(K25:M25)&lt;0,0,TRUNC(MAX(K25:M25)/1)*1),"")</f>
        <v/>
      </c>
      <c r="R25" s="115" t="str">
        <f>IF(MAX(N25:P25)&gt;0,IF(MAX(N25:P25)&lt;0,0,TRUNC(MAX(N25:P25)/1)*1),"")</f>
        <v/>
      </c>
      <c r="S25" s="125" t="str">
        <f>IF(Q25="","",IF(R25="","",IF(SUM(Q25:R25)=0,"",SUM(Q25:R25))))</f>
        <v/>
      </c>
      <c r="T25" s="116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7" t="str">
        <f>IF(AF25=1,T25*AI25,"")</f>
        <v/>
      </c>
      <c r="V25" s="118"/>
      <c r="W25" s="118"/>
      <c r="X25" s="118"/>
      <c r="Y25" s="119"/>
      <c r="Z25" s="120"/>
      <c r="AA25" s="120"/>
      <c r="AB25" s="121"/>
      <c r="AC25" s="66">
        <f>U5</f>
        <v>45914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IF(AF25=1,LOOKUP(AE25,'Meltzer-Faber'!A3:A63,'Meltzer-Faber'!B3:B63))</f>
        <v>0</v>
      </c>
      <c r="AH25" s="36" t="b">
        <f>IF(AF25=1,LOOKUP(AE25,'Meltzer-Faber'!A3:A63,'Meltzer-Faber'!C3:C63))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>
      <c r="B26" s="104"/>
      <c r="C26" s="94"/>
      <c r="D26" s="94"/>
      <c r="E26" s="94"/>
      <c r="F26" s="95"/>
      <c r="G26" s="96"/>
      <c r="H26" s="97"/>
      <c r="I26" s="98"/>
      <c r="J26" s="98"/>
      <c r="K26" s="215"/>
      <c r="L26" s="215"/>
      <c r="M26" s="215"/>
      <c r="N26" s="216"/>
      <c r="O26" s="216"/>
      <c r="P26" s="216"/>
      <c r="Q26" s="99"/>
      <c r="R26" s="94"/>
      <c r="S26" s="215" t="str">
        <f>IF(T25="","",T25*1.2)</f>
        <v/>
      </c>
      <c r="T26" s="215"/>
      <c r="U26" s="94"/>
      <c r="V26" s="94" t="str">
        <f>IF(V25&gt;0,V25*20,"")</f>
        <v/>
      </c>
      <c r="W26" s="94" t="str">
        <f>IF(W25="","",(W25*10)*AJ25)</f>
        <v/>
      </c>
      <c r="X26" s="100" t="str">
        <f>IF(ROUNDUP(X25,1)&gt;0,IF((80+(8-ROUNDUP(X25,1))*40)&lt;0,0,80+(8-ROUNDUP(X25,1))*40),"")</f>
        <v/>
      </c>
      <c r="Y26" s="101" t="str">
        <f>IF(SUM(V26,W26,X26)&gt;0,SUM(V26,W26,X26),"")</f>
        <v/>
      </c>
      <c r="Z26" s="102" t="str">
        <f>IF(AE25&gt;34,(IF(OR(S26="",V26="",W26="",X26=""),"",SUM(S26,V26,W26,X26))*AI25),IF(OR(S26="",V26="",W26="",X26=""),"", SUM(S26,V26,W26,X26)))</f>
        <v/>
      </c>
      <c r="AA26" s="102"/>
      <c r="AB26" s="103"/>
      <c r="AC26" s="66"/>
      <c r="AD26" s="1"/>
      <c r="AE26" s="67"/>
      <c r="AF26" s="34"/>
      <c r="AH26" s="36"/>
      <c r="AI26" s="36"/>
      <c r="AJ26" s="86"/>
    </row>
    <row r="27" spans="2:36" s="8" customFormat="1" ht="20" customHeight="1">
      <c r="B27" s="122"/>
      <c r="C27" s="126"/>
      <c r="D27" s="106"/>
      <c r="E27" s="127"/>
      <c r="F27" s="128"/>
      <c r="G27" s="129"/>
      <c r="H27" s="105"/>
      <c r="I27" s="111"/>
      <c r="J27" s="111"/>
      <c r="K27" s="130"/>
      <c r="L27" s="131"/>
      <c r="M27" s="131"/>
      <c r="N27" s="131"/>
      <c r="O27" s="132"/>
      <c r="P27" s="132"/>
      <c r="Q27" s="114" t="str">
        <f>IF(MAX(K27:M27)&gt;0,IF(MAX(K27:M27)&lt;0,0,TRUNC(MAX(K27:M27)/1)*1),"")</f>
        <v/>
      </c>
      <c r="R27" s="115" t="str">
        <f>IF(MAX(N27:P27)&gt;0,IF(MAX(N27:P27)&lt;0,0,TRUNC(MAX(N27:P27)/1)*1),"")</f>
        <v/>
      </c>
      <c r="S27" s="125" t="str">
        <f>IF(Q27="","",IF(R27="","",IF(SUM(Q27:R27)=0,"",SUM(Q27:R27))))</f>
        <v/>
      </c>
      <c r="T27" s="116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7" t="str">
        <f>IF(AF27=1,T27*AI27,"")</f>
        <v/>
      </c>
      <c r="V27" s="133"/>
      <c r="W27" s="133"/>
      <c r="X27" s="134"/>
      <c r="Y27" s="119"/>
      <c r="Z27" s="120"/>
      <c r="AA27" s="120"/>
      <c r="AB27" s="121"/>
      <c r="AC27" s="66">
        <f>U5</f>
        <v>45914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IF(AF27=1,LOOKUP(AE27,'Meltzer-Faber'!A3:A63,'Meltzer-Faber'!B3:B63))</f>
        <v>0</v>
      </c>
      <c r="AH27" s="36" t="b">
        <f>IF(AF27=1,LOOKUP(AE27,'Meltzer-Faber'!A3:A63,'Meltzer-Faber'!C3:C63))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>
      <c r="B28" s="104"/>
      <c r="C28" s="138"/>
      <c r="D28" s="94"/>
      <c r="E28" s="95"/>
      <c r="F28" s="95"/>
      <c r="G28" s="139"/>
      <c r="H28" s="96"/>
      <c r="I28" s="98" t="s">
        <v>13</v>
      </c>
      <c r="J28" s="98"/>
      <c r="K28" s="216"/>
      <c r="L28" s="216"/>
      <c r="M28" s="216"/>
      <c r="N28" s="216"/>
      <c r="O28" s="216"/>
      <c r="P28" s="216"/>
      <c r="Q28" s="99"/>
      <c r="R28" s="94"/>
      <c r="S28" s="215" t="str">
        <f>IF(T27="","",T27*1.2)</f>
        <v/>
      </c>
      <c r="T28" s="215"/>
      <c r="U28" s="94"/>
      <c r="V28" s="94" t="str">
        <f>IF(V27&gt;0,V27*20,"")</f>
        <v/>
      </c>
      <c r="W28" s="94" t="str">
        <f>IF(W27="","",(W27*10)*AJ27)</f>
        <v/>
      </c>
      <c r="X28" s="100" t="str">
        <f>IF(ROUNDUP(X27,1)&gt;0,IF((80+(8-ROUNDUP(X27,1))*40)&lt;0,0,80+(8-ROUNDUP(X27,1))*40),"")</f>
        <v/>
      </c>
      <c r="Y28" s="101" t="str">
        <f>IF(SUM(V28,W28,X28)&gt;0,SUM(V28,W28,X28),"")</f>
        <v/>
      </c>
      <c r="Z28" s="102" t="str">
        <f>IF(AE27&gt;34,(IF(OR(S28="",V28="",W28="",X28=""),"",SUM(S28,V28,W28,X28))*AI27),IF(OR(S28="",V28="",W28="",X28=""),"", SUM(S28,V28,W28,X28)))</f>
        <v/>
      </c>
      <c r="AA28" s="102"/>
      <c r="AB28" s="103"/>
      <c r="AC28" s="66"/>
      <c r="AD28" s="1"/>
      <c r="AE28" s="67"/>
      <c r="AF28" s="34"/>
      <c r="AH28" s="36"/>
      <c r="AI28" s="36"/>
      <c r="AJ28" s="86"/>
    </row>
    <row r="29" spans="2:36" s="8" customFormat="1" ht="20" customHeight="1">
      <c r="B29" s="122"/>
      <c r="C29" s="126"/>
      <c r="D29" s="106"/>
      <c r="E29" s="127"/>
      <c r="F29" s="128"/>
      <c r="G29" s="129"/>
      <c r="H29" s="105"/>
      <c r="I29" s="111"/>
      <c r="J29" s="111"/>
      <c r="K29" s="130"/>
      <c r="L29" s="131"/>
      <c r="M29" s="131"/>
      <c r="N29" s="131"/>
      <c r="O29" s="132"/>
      <c r="P29" s="132"/>
      <c r="Q29" s="114" t="str">
        <f>IF(MAX(K29:M29)&gt;0,IF(MAX(K29:M29)&lt;0,0,TRUNC(MAX(K29:M29)/1)*1),"")</f>
        <v/>
      </c>
      <c r="R29" s="115" t="str">
        <f>IF(MAX(N29:P29)&gt;0,IF(MAX(N29:P29)&lt;0,0,TRUNC(MAX(N29:P29)/1)*1),"")</f>
        <v/>
      </c>
      <c r="S29" s="125" t="str">
        <f>IF(Q29="","",IF(R29="","",IF(SUM(Q29:R29)=0,"",SUM(Q29:R29))))</f>
        <v/>
      </c>
      <c r="T29" s="116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7" t="str">
        <f>IF(AF29=1,T29*AI29,"")</f>
        <v/>
      </c>
      <c r="V29" s="118"/>
      <c r="W29" s="118"/>
      <c r="X29" s="118"/>
      <c r="Y29" s="119"/>
      <c r="Z29" s="120"/>
      <c r="AA29" s="120"/>
      <c r="AB29" s="121"/>
      <c r="AC29" s="66">
        <f>U5</f>
        <v>45914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IF(AF29=1,LOOKUP(AE29,'Meltzer-Faber'!A3:A63,'Meltzer-Faber'!B3:B63))</f>
        <v>0</v>
      </c>
      <c r="AH29" s="36" t="b">
        <f>IF(AF29=1,LOOKUP(AE29,'Meltzer-Faber'!A3:A63,'Meltzer-Faber'!C3:C63))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>
      <c r="B30" s="104"/>
      <c r="C30" s="138"/>
      <c r="D30" s="94"/>
      <c r="E30" s="95"/>
      <c r="F30" s="95"/>
      <c r="G30" s="139"/>
      <c r="H30" s="96"/>
      <c r="I30" s="98"/>
      <c r="J30" s="98"/>
      <c r="K30" s="216"/>
      <c r="L30" s="216"/>
      <c r="M30" s="216"/>
      <c r="N30" s="216"/>
      <c r="O30" s="216"/>
      <c r="P30" s="216"/>
      <c r="Q30" s="99"/>
      <c r="R30" s="94"/>
      <c r="S30" s="215" t="str">
        <f>IF(T29="","",T29*1.2)</f>
        <v/>
      </c>
      <c r="T30" s="215"/>
      <c r="U30" s="94"/>
      <c r="V30" s="94" t="str">
        <f>IF(V29&gt;0,V29*20,"")</f>
        <v/>
      </c>
      <c r="W30" s="94" t="str">
        <f>IF(W29="","",(W29*10)*AJ29)</f>
        <v/>
      </c>
      <c r="X30" s="100" t="str">
        <f>IF(ROUNDUP(X29,1)&gt;0,IF((80+(8-ROUNDUP(X29,1))*40)&lt;0,0,80+(8-ROUNDUP(X29,1))*40),"")</f>
        <v/>
      </c>
      <c r="Y30" s="101" t="str">
        <f>IF(SUM(V30,W30,X30)&gt;0,SUM(V30,W30,X30),"")</f>
        <v/>
      </c>
      <c r="Z30" s="102" t="str">
        <f>IF(AE29&gt;34,(IF(OR(S30="",V30="",W30="",X30=""),"",SUM(S30,V30,W30,X30))*AI29),IF(OR(S30="",V30="",W30="",X30=""),"", SUM(S30,V30,W30,X30)))</f>
        <v/>
      </c>
      <c r="AA30" s="102"/>
      <c r="AB30" s="103"/>
      <c r="AC30" s="66"/>
      <c r="AD30" s="1"/>
      <c r="AE30" s="67"/>
      <c r="AF30" s="34"/>
      <c r="AH30" s="36"/>
      <c r="AI30" s="36"/>
      <c r="AJ30" s="86"/>
    </row>
    <row r="31" spans="2:36" s="8" customFormat="1" ht="20" customHeight="1">
      <c r="B31" s="122"/>
      <c r="C31" s="126"/>
      <c r="D31" s="106"/>
      <c r="E31" s="127"/>
      <c r="F31" s="128"/>
      <c r="G31" s="129"/>
      <c r="H31" s="105"/>
      <c r="I31" s="111" t="s">
        <v>13</v>
      </c>
      <c r="J31" s="111"/>
      <c r="K31" s="130"/>
      <c r="L31" s="131"/>
      <c r="M31" s="131"/>
      <c r="N31" s="131"/>
      <c r="O31" s="132"/>
      <c r="P31" s="132"/>
      <c r="Q31" s="114" t="str">
        <f>IF(MAX(K31:M31)&gt;0,IF(MAX(K31:M31)&lt;0,0,TRUNC(MAX(K31:M31)/1)*1),"")</f>
        <v/>
      </c>
      <c r="R31" s="115" t="str">
        <f>IF(MAX(N31:P31)&gt;0,IF(MAX(N31:P31)&lt;0,0,TRUNC(MAX(N31:P31)/1)*1),"")</f>
        <v/>
      </c>
      <c r="S31" s="125" t="str">
        <f>IF(Q31="","",IF(R31="","",IF(SUM(Q31:R31)=0,"",SUM(Q31:R31))))</f>
        <v/>
      </c>
      <c r="T31" s="116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7" t="str">
        <f>IF(AF31=1,T31*AI31,"")</f>
        <v/>
      </c>
      <c r="V31" s="133"/>
      <c r="W31" s="133"/>
      <c r="X31" s="134"/>
      <c r="Y31" s="119"/>
      <c r="Z31" s="120"/>
      <c r="AA31" s="120"/>
      <c r="AB31" s="121"/>
      <c r="AC31" s="66">
        <f>U5</f>
        <v>45914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IF(AF31=1,LOOKUP(AE31,'Meltzer-Faber'!A3:A63,'Meltzer-Faber'!B3:B63))</f>
        <v>0</v>
      </c>
      <c r="AH31" s="36" t="b">
        <f>IF(AF31=1,LOOKUP(AE31,'Meltzer-Faber'!A3:A63,'Meltzer-Faber'!C3:C63))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>
      <c r="B32" s="104"/>
      <c r="C32" s="138"/>
      <c r="D32" s="94"/>
      <c r="E32" s="95"/>
      <c r="F32" s="95"/>
      <c r="G32" s="139"/>
      <c r="H32" s="96"/>
      <c r="I32" s="98"/>
      <c r="J32" s="98"/>
      <c r="K32" s="216"/>
      <c r="L32" s="216"/>
      <c r="M32" s="216"/>
      <c r="N32" s="216"/>
      <c r="O32" s="216"/>
      <c r="P32" s="216"/>
      <c r="Q32" s="99"/>
      <c r="R32" s="94"/>
      <c r="S32" s="215" t="str">
        <f>IF(T31="","",T31*1.2)</f>
        <v/>
      </c>
      <c r="T32" s="215"/>
      <c r="U32" s="94"/>
      <c r="V32" s="94" t="str">
        <f>IF(V31&gt;0,V31*20,"")</f>
        <v/>
      </c>
      <c r="W32" s="94" t="str">
        <f>IF(W31="","",(W31*10)*AJ31)</f>
        <v/>
      </c>
      <c r="X32" s="100" t="str">
        <f>IF(ROUNDUP(X31,1)&gt;0,IF((80+(8-ROUNDUP(X31,1))*40)&lt;0,0,80+(8-ROUNDUP(X31,1))*40),"")</f>
        <v/>
      </c>
      <c r="Y32" s="101" t="str">
        <f>IF(SUM(V32,W32,X32)&gt;0,SUM(V32,W32,X32),"")</f>
        <v/>
      </c>
      <c r="Z32" s="102" t="str">
        <f>IF(AE31&gt;34,(IF(OR(S32="",V32="",W32="",X32=""),"",SUM(S32,V32,W32,X32))*AI31),IF(OR(S32="",V32="",W32="",X32=""),"", SUM(S32,V32,W32,X32)))</f>
        <v/>
      </c>
      <c r="AA32" s="102"/>
      <c r="AB32" s="103"/>
      <c r="AC32" s="66"/>
      <c r="AD32" s="1"/>
      <c r="AE32" s="67"/>
      <c r="AF32" s="34"/>
      <c r="AH32" s="36"/>
      <c r="AI32" s="36"/>
      <c r="AJ32" s="86"/>
    </row>
    <row r="33" spans="2:35" s="6" customFormat="1" ht="19" customHeight="1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>
      <c r="B35" s="246" t="s">
        <v>34</v>
      </c>
      <c r="C35" s="248"/>
      <c r="D35" s="77" t="s">
        <v>33</v>
      </c>
      <c r="E35" s="246" t="s">
        <v>4</v>
      </c>
      <c r="F35" s="247"/>
      <c r="G35" s="247"/>
      <c r="H35" s="248"/>
      <c r="I35" s="50" t="s">
        <v>42</v>
      </c>
      <c r="J35" s="21"/>
      <c r="K35" s="246" t="s">
        <v>34</v>
      </c>
      <c r="L35" s="247"/>
      <c r="M35" s="248"/>
      <c r="N35" s="54" t="s">
        <v>33</v>
      </c>
      <c r="O35" s="244" t="s">
        <v>4</v>
      </c>
      <c r="P35" s="263"/>
      <c r="Q35" s="263"/>
      <c r="R35" s="245"/>
      <c r="S35" s="244" t="s">
        <v>42</v>
      </c>
      <c r="T35" s="245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>
      <c r="B36" s="249" t="s">
        <v>40</v>
      </c>
      <c r="C36" s="251"/>
      <c r="D36" s="78"/>
      <c r="E36" s="262" t="s">
        <v>281</v>
      </c>
      <c r="F36" s="250"/>
      <c r="G36" s="250"/>
      <c r="H36" s="251"/>
      <c r="I36" s="49"/>
      <c r="J36" s="4"/>
      <c r="K36" s="249" t="s">
        <v>35</v>
      </c>
      <c r="L36" s="250"/>
      <c r="M36" s="251"/>
      <c r="N36" s="51"/>
      <c r="O36" s="217" t="s">
        <v>282</v>
      </c>
      <c r="P36" s="264"/>
      <c r="Q36" s="264"/>
      <c r="R36" s="265"/>
      <c r="S36" s="217"/>
      <c r="T36" s="218"/>
      <c r="AF36" s="1"/>
      <c r="AH36" s="35"/>
      <c r="AI36" s="35"/>
    </row>
    <row r="37" spans="2:35" s="5" customFormat="1" ht="21" customHeight="1">
      <c r="B37" s="234" t="s">
        <v>36</v>
      </c>
      <c r="C37" s="222"/>
      <c r="D37" s="79"/>
      <c r="E37" s="220" t="s">
        <v>301</v>
      </c>
      <c r="F37" s="221"/>
      <c r="G37" s="221"/>
      <c r="H37" s="222"/>
      <c r="I37" s="47"/>
      <c r="J37" s="4"/>
      <c r="K37" s="234" t="s">
        <v>38</v>
      </c>
      <c r="L37" s="221"/>
      <c r="M37" s="222"/>
      <c r="N37" s="52"/>
      <c r="O37" s="228" t="s">
        <v>281</v>
      </c>
      <c r="P37" s="229"/>
      <c r="Q37" s="229"/>
      <c r="R37" s="230"/>
      <c r="S37" s="228"/>
      <c r="T37" s="231"/>
      <c r="AH37" s="35"/>
      <c r="AI37" s="35"/>
    </row>
    <row r="38" spans="2:35" s="5" customFormat="1" ht="19" customHeight="1">
      <c r="B38" s="234" t="s">
        <v>36</v>
      </c>
      <c r="C38" s="222"/>
      <c r="D38" s="79"/>
      <c r="E38" s="220" t="s">
        <v>284</v>
      </c>
      <c r="F38" s="221"/>
      <c r="G38" s="221"/>
      <c r="H38" s="222"/>
      <c r="I38" s="47"/>
      <c r="J38" s="4"/>
      <c r="K38" s="234" t="s">
        <v>37</v>
      </c>
      <c r="L38" s="221"/>
      <c r="M38" s="222"/>
      <c r="N38" s="52"/>
      <c r="O38" s="228"/>
      <c r="P38" s="229"/>
      <c r="Q38" s="229"/>
      <c r="R38" s="230"/>
      <c r="S38" s="228"/>
      <c r="T38" s="231"/>
      <c r="V38" s="5" t="s">
        <v>54</v>
      </c>
      <c r="AH38" s="35"/>
      <c r="AI38" s="35"/>
    </row>
    <row r="39" spans="2:35" s="5" customFormat="1" ht="21" customHeight="1">
      <c r="B39" s="234" t="s">
        <v>36</v>
      </c>
      <c r="C39" s="222"/>
      <c r="D39" s="79"/>
      <c r="E39" s="220" t="s">
        <v>293</v>
      </c>
      <c r="F39" s="221"/>
      <c r="G39" s="221"/>
      <c r="H39" s="222"/>
      <c r="I39" s="47"/>
      <c r="J39" s="4"/>
      <c r="K39" s="234" t="s">
        <v>55</v>
      </c>
      <c r="L39" s="221"/>
      <c r="M39" s="222"/>
      <c r="N39" s="52"/>
      <c r="O39" s="228" t="s">
        <v>283</v>
      </c>
      <c r="P39" s="229"/>
      <c r="Q39" s="229"/>
      <c r="R39" s="230"/>
      <c r="S39" s="228"/>
      <c r="T39" s="231"/>
      <c r="AD39" s="5" t="s">
        <v>13</v>
      </c>
      <c r="AH39" s="35"/>
      <c r="AI39" s="35"/>
    </row>
    <row r="40" spans="2:35" s="5" customFormat="1" ht="20" customHeight="1">
      <c r="B40" s="234" t="s">
        <v>36</v>
      </c>
      <c r="C40" s="222"/>
      <c r="D40" s="79"/>
      <c r="E40" s="220"/>
      <c r="F40" s="221"/>
      <c r="G40" s="221"/>
      <c r="H40" s="222"/>
      <c r="I40" s="47"/>
      <c r="J40" s="4"/>
      <c r="K40" s="234" t="s">
        <v>55</v>
      </c>
      <c r="L40" s="221"/>
      <c r="M40" s="222"/>
      <c r="N40" s="52"/>
      <c r="O40" s="228" t="s">
        <v>290</v>
      </c>
      <c r="P40" s="229"/>
      <c r="Q40" s="229"/>
      <c r="R40" s="230"/>
      <c r="S40" s="228"/>
      <c r="T40" s="231"/>
      <c r="AH40" s="35"/>
      <c r="AI40" s="35"/>
    </row>
    <row r="41" spans="2:35" ht="19" customHeight="1">
      <c r="B41" s="234" t="s">
        <v>36</v>
      </c>
      <c r="C41" s="222"/>
      <c r="D41" s="79"/>
      <c r="E41" s="220"/>
      <c r="F41" s="221"/>
      <c r="G41" s="221"/>
      <c r="H41" s="222"/>
      <c r="I41" s="47"/>
      <c r="J41" s="3"/>
      <c r="K41" s="234"/>
      <c r="L41" s="221"/>
      <c r="M41" s="222"/>
      <c r="N41" s="52"/>
      <c r="O41" s="228"/>
      <c r="P41" s="229"/>
      <c r="Q41" s="229"/>
      <c r="R41" s="230"/>
      <c r="S41" s="228"/>
      <c r="T41" s="231"/>
      <c r="U41" s="3"/>
      <c r="V41" s="3"/>
      <c r="W41" s="3"/>
      <c r="X41" s="3"/>
      <c r="Y41" s="3"/>
      <c r="Z41" s="3"/>
      <c r="AA41" s="3"/>
      <c r="AB41" s="3"/>
    </row>
    <row r="42" spans="2:35" ht="20" customHeight="1">
      <c r="B42" s="234" t="s">
        <v>39</v>
      </c>
      <c r="C42" s="222"/>
      <c r="D42" s="79"/>
      <c r="E42" s="220" t="s">
        <v>289</v>
      </c>
      <c r="F42" s="221"/>
      <c r="G42" s="221"/>
      <c r="H42" s="222"/>
      <c r="I42" s="47"/>
      <c r="J42" s="3"/>
      <c r="K42" s="234"/>
      <c r="L42" s="221"/>
      <c r="M42" s="222"/>
      <c r="N42" s="52"/>
      <c r="O42" s="228"/>
      <c r="P42" s="229"/>
      <c r="Q42" s="229"/>
      <c r="R42" s="230"/>
      <c r="S42" s="228"/>
      <c r="T42" s="231"/>
      <c r="U42" s="3"/>
      <c r="V42" s="3"/>
      <c r="W42" s="3"/>
      <c r="X42" s="3"/>
      <c r="Y42" s="3"/>
      <c r="Z42" s="3"/>
      <c r="AA42" s="3"/>
      <c r="AB42" s="3"/>
    </row>
    <row r="43" spans="2:35" ht="20" customHeight="1">
      <c r="B43" s="226"/>
      <c r="C43" s="225"/>
      <c r="D43" s="80"/>
      <c r="E43" s="223"/>
      <c r="F43" s="224"/>
      <c r="G43" s="224"/>
      <c r="H43" s="225"/>
      <c r="I43" s="48"/>
      <c r="J43" s="3"/>
      <c r="K43" s="226"/>
      <c r="L43" s="224"/>
      <c r="M43" s="225"/>
      <c r="N43" s="53"/>
      <c r="O43" s="240"/>
      <c r="P43" s="241"/>
      <c r="Q43" s="241"/>
      <c r="R43" s="242"/>
      <c r="S43" s="240"/>
      <c r="T43" s="243"/>
      <c r="U43" s="3"/>
      <c r="V43" s="3"/>
      <c r="W43" s="3"/>
      <c r="X43" s="3"/>
      <c r="Y43" s="3"/>
      <c r="Z43" s="3"/>
      <c r="AA43" s="3"/>
      <c r="AB43" s="3"/>
    </row>
    <row r="44" spans="2:35" ht="19" customHeight="1">
      <c r="B44" s="233"/>
      <c r="C44" s="233"/>
      <c r="D44" s="232"/>
      <c r="E44" s="232"/>
      <c r="F44" s="56"/>
      <c r="G44" s="232"/>
      <c r="H44" s="232"/>
      <c r="I44" s="232"/>
      <c r="J44" s="3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3"/>
      <c r="V44" s="3"/>
      <c r="W44" s="3"/>
      <c r="X44" s="3"/>
      <c r="Y44" s="3"/>
      <c r="Z44" s="3"/>
      <c r="AA44" s="3"/>
      <c r="AB44" s="3"/>
    </row>
    <row r="45" spans="2:35" ht="18" customHeight="1">
      <c r="B45" s="237" t="s">
        <v>315</v>
      </c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9"/>
      <c r="U45" s="3"/>
      <c r="V45" s="3"/>
      <c r="W45" s="3"/>
      <c r="X45" s="3"/>
      <c r="Y45" s="3"/>
      <c r="Z45" s="3"/>
      <c r="AA45" s="3"/>
      <c r="AB45" s="3"/>
    </row>
    <row r="46" spans="2:35" ht="18" customHeight="1">
      <c r="B46" s="226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7"/>
      <c r="U46" s="3"/>
      <c r="V46" s="3"/>
      <c r="W46" s="3"/>
      <c r="X46" s="3"/>
      <c r="Y46" s="3"/>
      <c r="Z46" s="3"/>
      <c r="AA46" s="3"/>
      <c r="AB46" s="3"/>
    </row>
    <row r="47" spans="2:35" ht="14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>
      <c r="E50" s="219"/>
      <c r="F50" s="219"/>
      <c r="G50" s="219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29" priority="24" stopIfTrue="1" operator="lessThanOrEqual">
      <formula>0</formula>
    </cfRule>
    <cfRule type="cellIs" dxfId="28" priority="23" stopIfTrue="1" operator="between">
      <formula>1</formula>
      <formula>300</formula>
    </cfRule>
  </conditionalFormatting>
  <conditionalFormatting sqref="K29">
    <cfRule type="cellIs" dxfId="27" priority="22" stopIfTrue="1" operator="lessThanOrEqual">
      <formula>0</formula>
    </cfRule>
    <cfRule type="cellIs" dxfId="26" priority="21" stopIfTrue="1" operator="between">
      <formula>1</formula>
      <formula>300</formula>
    </cfRule>
  </conditionalFormatting>
  <conditionalFormatting sqref="K31">
    <cfRule type="cellIs" dxfId="25" priority="19" stopIfTrue="1" operator="between">
      <formula>1</formula>
      <formula>300</formula>
    </cfRule>
    <cfRule type="cellIs" dxfId="24" priority="20" stopIfTrue="1" operator="lessThanOrEqual">
      <formula>0</formula>
    </cfRule>
  </conditionalFormatting>
  <conditionalFormatting sqref="K9:P9">
    <cfRule type="cellIs" dxfId="23" priority="13" stopIfTrue="1" operator="between">
      <formula>1</formula>
      <formula>300</formula>
    </cfRule>
    <cfRule type="cellIs" dxfId="22" priority="14" stopIfTrue="1" operator="lessThanOrEqual">
      <formula>0</formula>
    </cfRule>
  </conditionalFormatting>
  <conditionalFormatting sqref="K11:P11">
    <cfRule type="cellIs" dxfId="21" priority="11" stopIfTrue="1" operator="between">
      <formula>1</formula>
      <formula>300</formula>
    </cfRule>
    <cfRule type="cellIs" dxfId="20" priority="12" stopIfTrue="1" operator="lessThanOrEqual">
      <formula>0</formula>
    </cfRule>
  </conditionalFormatting>
  <conditionalFormatting sqref="K13:P1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K15:P15">
    <cfRule type="cellIs" dxfId="17" priority="9" stopIfTrue="1" operator="between">
      <formula>1</formula>
      <formula>300</formula>
    </cfRule>
    <cfRule type="cellIs" dxfId="16" priority="10" stopIfTrue="1" operator="lessThanOrEqual">
      <formula>0</formula>
    </cfRule>
  </conditionalFormatting>
  <conditionalFormatting sqref="K17:P17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K19:P19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conditionalFormatting sqref="K21:P21">
    <cfRule type="cellIs" dxfId="11" priority="4" stopIfTrue="1" operator="lessThanOrEqual">
      <formula>0</formula>
    </cfRule>
    <cfRule type="cellIs" dxfId="10" priority="3" stopIfTrue="1" operator="between">
      <formula>1</formula>
      <formula>300</formula>
    </cfRule>
  </conditionalFormatting>
  <conditionalFormatting sqref="K23:P23">
    <cfRule type="cellIs" dxfId="9" priority="6" stopIfTrue="1" operator="lessThanOrEqual">
      <formula>0</formula>
    </cfRule>
    <cfRule type="cellIs" dxfId="8" priority="5" stopIfTrue="1" operator="between">
      <formula>1</formula>
      <formula>300</formula>
    </cfRule>
  </conditionalFormatting>
  <conditionalFormatting sqref="K25:P25">
    <cfRule type="cellIs" dxfId="7" priority="18" stopIfTrue="1" operator="lessThanOrEqual">
      <formula>0</formula>
    </cfRule>
    <cfRule type="cellIs" dxfId="6" priority="17" stopIfTrue="1" operator="between">
      <formula>1</formula>
      <formula>300</formula>
    </cfRule>
  </conditionalFormatting>
  <conditionalFormatting sqref="L27:N27">
    <cfRule type="cellIs" dxfId="5" priority="29" stopIfTrue="1" operator="between">
      <formula>1</formula>
      <formula>300</formula>
    </cfRule>
    <cfRule type="cellIs" dxfId="4" priority="30" stopIfTrue="1" operator="lessThanOrEqual">
      <formula>0</formula>
    </cfRule>
  </conditionalFormatting>
  <conditionalFormatting sqref="L29:N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6">
    <dataValidation type="list" allowBlank="1" showInputMessage="1" showErrorMessage="1" sqref="B36:C43 K36:M43" xr:uid="{1705E86B-1CA0-44D5-AD93-596B13439E4B}">
      <formula1>"Dommer,Stevnets leder,Jury,Sekretær,Speaker,Teknisk kontrollør, Chief Marshall,Tidtaker"</formula1>
    </dataValidation>
    <dataValidation type="list" allowBlank="1" showInputMessage="1" showErrorMessage="1" sqref="D5:I5" xr:uid="{73955FE7-303D-4131-99F3-A9BC2ABCC642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9 C11 C13 C15 C17 C19 C21 C23 C25 C27 C29 C31" xr:uid="{CC7E517C-B853-450C-96D5-7BEDEDEDCE17}">
      <formula1>"44,48,53,56,58,60,63,65,69,71,77,'+77,79,86,'+86,88,94,'+94,110,'+110"</formula1>
    </dataValidation>
    <dataValidation type="list" allowBlank="1" showInputMessage="1" showErrorMessage="1" sqref="E9 E29 E31 E27 E11 E13 E15 E17 E19 E21 E23 E25" xr:uid="{9C0ACBBB-C167-4172-A3B6-08F407BDDCCF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203E097C-5A1C-4E0E-A165-4EC7693E0B20}">
      <formula1>"11-12,13-14,15-16,17-18,19-23,24-34,+35,35+"</formula1>
    </dataValidation>
    <dataValidation type="list" allowBlank="1" showInputMessage="1" showErrorMessage="1" sqref="F9 F29 F31 F27 F11 F13 F15 F17 F19 F21 F23 F25" xr:uid="{455BFB23-37F8-44DF-B43A-4D5B8690A0E7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10</vt:i4>
      </vt:variant>
    </vt:vector>
  </HeadingPairs>
  <TitlesOfParts>
    <vt:vector size="21" baseType="lpstr">
      <vt:lpstr>Pulje 1</vt:lpstr>
      <vt:lpstr>Pulje 2</vt:lpstr>
      <vt:lpstr>Pulje 3</vt:lpstr>
      <vt:lpstr>Pulje 4</vt:lpstr>
      <vt:lpstr>Pulje 5</vt:lpstr>
      <vt:lpstr>Pulje 6</vt:lpstr>
      <vt:lpstr>Pulje 7</vt:lpstr>
      <vt:lpstr>Pulje 8</vt:lpstr>
      <vt:lpstr>Pulje 9</vt:lpstr>
      <vt:lpstr>Lagkonk</vt:lpstr>
      <vt:lpstr>Meltzer-Faber</vt:lpstr>
      <vt:lpstr>Lagkonk!Utskriftsområde</vt:lpstr>
      <vt:lpstr>'Pulje 1'!Utskriftsområde</vt:lpstr>
      <vt:lpstr>'Pulje 2'!Utskriftsområde</vt:lpstr>
      <vt:lpstr>'Pulje 3'!Utskriftsområde</vt:lpstr>
      <vt:lpstr>'Pulje 4'!Utskriftsområde</vt:lpstr>
      <vt:lpstr>'Pulje 5'!Utskriftsområde</vt:lpstr>
      <vt:lpstr>'Pulje 6'!Utskriftsområde</vt:lpstr>
      <vt:lpstr>'Pulje 7'!Utskriftsområde</vt:lpstr>
      <vt:lpstr>'Pulje 8'!Utskriftsområde</vt:lpstr>
      <vt:lpstr>'Pulje 9'!Utskriftsområde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Nilsen, Emelie</cp:lastModifiedBy>
  <cp:lastPrinted>2025-09-13T16:40:01Z</cp:lastPrinted>
  <dcterms:created xsi:type="dcterms:W3CDTF">2001-08-31T20:44:44Z</dcterms:created>
  <dcterms:modified xsi:type="dcterms:W3CDTF">2025-09-19T16:34:08Z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