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-ARNG\OneDrive\a_US-arng\A_S t e v n e protokoller\"/>
    </mc:Choice>
  </mc:AlternateContent>
  <xr:revisionPtr revIDLastSave="0" documentId="8_{FC6C6704-51EC-4B4C-8AA3-3E792B7E88D1}" xr6:coauthVersionLast="45" xr6:coauthVersionMax="45" xr10:uidLastSave="{00000000-0000-0000-0000-000000000000}"/>
  <bookViews>
    <workbookView xWindow="4560" yWindow="470" windowWidth="26940" windowHeight="14510" firstSheet="6" activeTab="6" xr2:uid="{00000000-000D-0000-FFFF-FFFF00000000}"/>
  </bookViews>
  <sheets>
    <sheet name="P1" sheetId="45" r:id="rId1"/>
    <sheet name="P2" sheetId="18" r:id="rId2"/>
    <sheet name="P3" sheetId="19" r:id="rId3"/>
    <sheet name="P4" sheetId="20" r:id="rId4"/>
    <sheet name="P5" sheetId="21" r:id="rId5"/>
    <sheet name="P6" sheetId="31" r:id="rId6"/>
    <sheet name="P7" sheetId="36" r:id="rId7"/>
    <sheet name="P8" sheetId="46" r:id="rId8"/>
    <sheet name="P9" sheetId="47" r:id="rId9"/>
    <sheet name="P10" sheetId="53" r:id="rId10"/>
    <sheet name="P11" sheetId="54" r:id="rId11"/>
    <sheet name="Res 5-kamp kategori" sheetId="22" r:id="rId12"/>
    <sheet name="Res 5-kamp ranking" sheetId="58" r:id="rId13"/>
    <sheet name="Resultat NC3" sheetId="24" r:id="rId14"/>
    <sheet name="Resultat NC3 Junior-ungdom" sheetId="51" r:id="rId15"/>
    <sheet name="Resultat NC3  Veteran" sheetId="52" r:id="rId16"/>
    <sheet name="K2" sheetId="26" r:id="rId17"/>
    <sheet name="K3" sheetId="27" r:id="rId18"/>
    <sheet name="K4" sheetId="28" r:id="rId19"/>
    <sheet name="K5" sheetId="29" r:id="rId20"/>
    <sheet name="K6" sheetId="32" r:id="rId21"/>
    <sheet name="K7" sheetId="38" r:id="rId22"/>
    <sheet name="K8" sheetId="48" r:id="rId23"/>
    <sheet name="K9" sheetId="49" r:id="rId24"/>
    <sheet name="K10" sheetId="55" r:id="rId25"/>
    <sheet name="K11" sheetId="56" r:id="rId26"/>
    <sheet name="Meltzer-Malone" sheetId="35" state="hidden" r:id="rId27"/>
    <sheet name="Module1" sheetId="2" state="veryHidden" r:id="rId28"/>
  </sheets>
  <externalReferences>
    <externalReference r:id="rId29"/>
    <externalReference r:id="rId30"/>
    <externalReference r:id="rId31"/>
  </externalReferences>
  <definedNames>
    <definedName name="_xlnm._FilterDatabase" localSheetId="11" hidden="1">'Res 5-kamp kategori'!$A$26:$M$41</definedName>
    <definedName name="_xlnm.Print_Area" localSheetId="24">'K10'!$A$1:$N$30</definedName>
    <definedName name="_xlnm.Print_Area" localSheetId="25">'K11'!$A$1:$N$30</definedName>
    <definedName name="_xlnm.Print_Area" localSheetId="16">'K2'!$A$1:$N$30</definedName>
    <definedName name="_xlnm.Print_Area" localSheetId="17">'K3'!$A$1:$N$30</definedName>
    <definedName name="_xlnm.Print_Area" localSheetId="18">'K4'!$A$1:$N$30</definedName>
    <definedName name="_xlnm.Print_Area" localSheetId="19">'K5'!$A$1:$N$30</definedName>
    <definedName name="_xlnm.Print_Area" localSheetId="20">'K6'!$A$1:$N$30</definedName>
    <definedName name="_xlnm.Print_Area" localSheetId="21">'K7'!$A$1:$N$30</definedName>
    <definedName name="_xlnm.Print_Area" localSheetId="22">'K8'!$A$1:$N$30</definedName>
    <definedName name="_xlnm.Print_Area" localSheetId="23">'K9'!$A$1:$N$30</definedName>
    <definedName name="_xlnm.Print_Area" localSheetId="0">'P1'!$A$1:$T$39</definedName>
    <definedName name="_xlnm.Print_Area" localSheetId="9">'P10'!$A$1:$Y$47</definedName>
    <definedName name="_xlnm.Print_Area" localSheetId="10">'P11'!$A$1:$Y$47</definedName>
    <definedName name="_xlnm.Print_Area" localSheetId="1">'P2'!$A$1:$Y$47</definedName>
    <definedName name="_xlnm.Print_Area" localSheetId="2">'P3'!$A$1:$Y$47</definedName>
    <definedName name="_xlnm.Print_Area" localSheetId="3">'P4'!$A$1:$Y$47</definedName>
    <definedName name="_xlnm.Print_Area" localSheetId="4">'P5'!$A$1:$Y$47</definedName>
    <definedName name="_xlnm.Print_Area" localSheetId="5">'P6'!$A$1:$Y$47</definedName>
    <definedName name="_xlnm.Print_Area" localSheetId="6">'P7'!$A$1:$Y$47</definedName>
    <definedName name="_xlnm.Print_Area" localSheetId="7">'P8'!$A$1:$Y$47</definedName>
    <definedName name="_xlnm.Print_Area" localSheetId="8">'P9'!$A$1:$Y$47</definedName>
    <definedName name="_xlnm.Print_Area" localSheetId="11">'Res 5-kamp kategori'!$A:$M</definedName>
    <definedName name="_xlnm.Print_Area" localSheetId="12">'Res 5-kamp ranking'!$A:$M</definedName>
    <definedName name="_xlnm.Print_Area" localSheetId="13">'Resultat NC3'!$A:$J</definedName>
    <definedName name="_xlnm.Print_Area" localSheetId="15">'Resultat NC3  Veteran'!$A:$J</definedName>
    <definedName name="_xlnm.Print_Area" localSheetId="14">'Resultat NC3 Junior-ungdom'!$A:$J</definedName>
  </definedNames>
  <calcPr calcId="191028" calcCompleted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7" i="22" l="1"/>
  <c r="G103" i="22"/>
  <c r="G97" i="22"/>
  <c r="G95" i="22"/>
  <c r="G100" i="22"/>
  <c r="G99" i="22"/>
  <c r="G111" i="22"/>
  <c r="G104" i="22"/>
  <c r="G106" i="22"/>
  <c r="G108" i="22"/>
  <c r="G109" i="22"/>
  <c r="G102" i="22"/>
  <c r="G101" i="22"/>
  <c r="G105" i="22"/>
  <c r="G110" i="22"/>
  <c r="G96" i="22"/>
  <c r="G98" i="22"/>
  <c r="N93" i="22"/>
  <c r="G112" i="22" l="1"/>
  <c r="N7" i="56"/>
  <c r="C20" i="29"/>
  <c r="N19" i="29"/>
  <c r="K19" i="29"/>
  <c r="G19" i="29"/>
  <c r="C19" i="29"/>
  <c r="B19" i="29"/>
  <c r="C18" i="29"/>
  <c r="N17" i="29"/>
  <c r="K17" i="29"/>
  <c r="G17" i="29"/>
  <c r="C17" i="29"/>
  <c r="B17" i="29"/>
  <c r="C16" i="29"/>
  <c r="N15" i="29"/>
  <c r="K15" i="29"/>
  <c r="G15" i="29"/>
  <c r="C15" i="29"/>
  <c r="B15" i="29"/>
  <c r="C14" i="29"/>
  <c r="N13" i="29"/>
  <c r="K13" i="29"/>
  <c r="G13" i="29"/>
  <c r="C13" i="29"/>
  <c r="B13" i="29"/>
  <c r="C12" i="29"/>
  <c r="N11" i="29"/>
  <c r="K11" i="29"/>
  <c r="G11" i="29"/>
  <c r="C11" i="29"/>
  <c r="B11" i="29"/>
  <c r="C10" i="29"/>
  <c r="N9" i="29"/>
  <c r="K9" i="29"/>
  <c r="G9" i="29"/>
  <c r="C9" i="29"/>
  <c r="B9" i="29"/>
  <c r="C8" i="29"/>
  <c r="N7" i="29"/>
  <c r="K7" i="29"/>
  <c r="G7" i="29"/>
  <c r="C7" i="29"/>
  <c r="B7" i="29"/>
  <c r="C20" i="28" l="1"/>
  <c r="N19" i="28"/>
  <c r="K19" i="28"/>
  <c r="G19" i="28"/>
  <c r="C19" i="28"/>
  <c r="B19" i="28"/>
  <c r="C18" i="28"/>
  <c r="N17" i="28"/>
  <c r="K17" i="28"/>
  <c r="G17" i="28"/>
  <c r="C17" i="28"/>
  <c r="B17" i="28"/>
  <c r="C16" i="28"/>
  <c r="N15" i="28"/>
  <c r="K15" i="28"/>
  <c r="G15" i="28"/>
  <c r="C15" i="28"/>
  <c r="B15" i="28"/>
  <c r="C14" i="28"/>
  <c r="N13" i="28"/>
  <c r="K13" i="28"/>
  <c r="G13" i="28"/>
  <c r="C13" i="28"/>
  <c r="B13" i="28"/>
  <c r="C12" i="28"/>
  <c r="N11" i="28"/>
  <c r="K11" i="28"/>
  <c r="G11" i="28"/>
  <c r="C11" i="28"/>
  <c r="B11" i="28"/>
  <c r="C10" i="28"/>
  <c r="N9" i="28"/>
  <c r="K9" i="28"/>
  <c r="G9" i="28"/>
  <c r="C9" i="28"/>
  <c r="B9" i="28"/>
  <c r="C8" i="28"/>
  <c r="N7" i="28"/>
  <c r="K7" i="28"/>
  <c r="G7" i="28"/>
  <c r="C7" i="28"/>
  <c r="B7" i="28"/>
  <c r="C18" i="27"/>
  <c r="N17" i="27"/>
  <c r="K17" i="27"/>
  <c r="G17" i="27"/>
  <c r="C17" i="27"/>
  <c r="B17" i="27"/>
  <c r="C16" i="27"/>
  <c r="N15" i="27"/>
  <c r="K15" i="27"/>
  <c r="G15" i="27"/>
  <c r="C15" i="27"/>
  <c r="B15" i="27"/>
  <c r="C14" i="27"/>
  <c r="N13" i="27"/>
  <c r="K13" i="27"/>
  <c r="G13" i="27"/>
  <c r="C13" i="27"/>
  <c r="B13" i="27"/>
  <c r="C12" i="27"/>
  <c r="N11" i="27"/>
  <c r="K11" i="27"/>
  <c r="G11" i="27"/>
  <c r="C11" i="27"/>
  <c r="B11" i="27"/>
  <c r="C10" i="27"/>
  <c r="N9" i="27"/>
  <c r="K9" i="27"/>
  <c r="G9" i="27"/>
  <c r="C9" i="27"/>
  <c r="B9" i="27"/>
  <c r="C8" i="27"/>
  <c r="N7" i="27"/>
  <c r="K7" i="27"/>
  <c r="G7" i="27"/>
  <c r="C7" i="27"/>
  <c r="B7" i="27"/>
  <c r="C26" i="26" l="1"/>
  <c r="N25" i="26"/>
  <c r="K25" i="26"/>
  <c r="G25" i="26"/>
  <c r="C25" i="26"/>
  <c r="B25" i="26"/>
  <c r="C24" i="26"/>
  <c r="N23" i="26"/>
  <c r="K23" i="26"/>
  <c r="G23" i="26"/>
  <c r="C23" i="26"/>
  <c r="B23" i="26"/>
  <c r="C22" i="26"/>
  <c r="N21" i="26"/>
  <c r="K21" i="26"/>
  <c r="G21" i="26"/>
  <c r="C21" i="26"/>
  <c r="B21" i="26"/>
  <c r="C20" i="26"/>
  <c r="N19" i="26"/>
  <c r="K19" i="26"/>
  <c r="G19" i="26"/>
  <c r="C19" i="26"/>
  <c r="B19" i="26"/>
  <c r="C18" i="26"/>
  <c r="N17" i="26"/>
  <c r="K17" i="26"/>
  <c r="G17" i="26"/>
  <c r="C17" i="26"/>
  <c r="B17" i="26"/>
  <c r="C16" i="26"/>
  <c r="N15" i="26"/>
  <c r="K15" i="26"/>
  <c r="G15" i="26"/>
  <c r="C15" i="26"/>
  <c r="B15" i="26"/>
  <c r="C14" i="26"/>
  <c r="N13" i="26"/>
  <c r="K13" i="26"/>
  <c r="G13" i="26"/>
  <c r="C13" i="26"/>
  <c r="B13" i="26"/>
  <c r="C12" i="26"/>
  <c r="N11" i="26"/>
  <c r="K11" i="26"/>
  <c r="G11" i="26"/>
  <c r="C11" i="26"/>
  <c r="B11" i="26"/>
  <c r="C10" i="26"/>
  <c r="N9" i="26"/>
  <c r="K9" i="26"/>
  <c r="G9" i="26"/>
  <c r="C9" i="26"/>
  <c r="B9" i="26"/>
  <c r="C8" i="26"/>
  <c r="N7" i="26"/>
  <c r="K7" i="26"/>
  <c r="G7" i="26"/>
  <c r="C7" i="26"/>
  <c r="B7" i="26"/>
  <c r="N9" i="20" l="1"/>
  <c r="N11" i="20"/>
  <c r="N13" i="20"/>
  <c r="N15" i="20"/>
  <c r="N17" i="20"/>
  <c r="N19" i="20"/>
  <c r="N21" i="20"/>
  <c r="O16" i="45" l="1"/>
  <c r="C17" i="38" l="1"/>
  <c r="E15" i="51" l="1"/>
  <c r="B49" i="24" l="1"/>
  <c r="C49" i="24"/>
  <c r="D49" i="24"/>
  <c r="E49" i="24"/>
  <c r="F49" i="24"/>
  <c r="B53" i="24"/>
  <c r="C53" i="24"/>
  <c r="D53" i="24"/>
  <c r="E53" i="24"/>
  <c r="F53" i="24"/>
  <c r="B50" i="24"/>
  <c r="C50" i="24"/>
  <c r="D50" i="24"/>
  <c r="E50" i="24"/>
  <c r="F50" i="24"/>
  <c r="B55" i="24"/>
  <c r="C55" i="24"/>
  <c r="D55" i="24"/>
  <c r="E55" i="24"/>
  <c r="F55" i="24"/>
  <c r="B48" i="24"/>
  <c r="C48" i="24"/>
  <c r="D48" i="24"/>
  <c r="E48" i="24"/>
  <c r="F48" i="24"/>
  <c r="F51" i="24"/>
  <c r="E51" i="24"/>
  <c r="D51" i="24"/>
  <c r="C51" i="24"/>
  <c r="B51" i="24"/>
  <c r="B62" i="24"/>
  <c r="C62" i="24"/>
  <c r="D62" i="24"/>
  <c r="E62" i="24"/>
  <c r="F62" i="24"/>
  <c r="B68" i="24"/>
  <c r="C68" i="24"/>
  <c r="D68" i="24"/>
  <c r="E68" i="24"/>
  <c r="F68" i="24"/>
  <c r="B54" i="24"/>
  <c r="C54" i="24"/>
  <c r="D54" i="24"/>
  <c r="E54" i="24"/>
  <c r="F54" i="24"/>
  <c r="B52" i="24"/>
  <c r="C52" i="24"/>
  <c r="D52" i="24"/>
  <c r="E52" i="24"/>
  <c r="F52" i="24"/>
  <c r="B59" i="24"/>
  <c r="C59" i="24"/>
  <c r="D59" i="24"/>
  <c r="E59" i="24"/>
  <c r="F59" i="24"/>
  <c r="B56" i="24"/>
  <c r="C56" i="24"/>
  <c r="D56" i="24"/>
  <c r="E56" i="24"/>
  <c r="F56" i="24"/>
  <c r="B93" i="24"/>
  <c r="C93" i="24"/>
  <c r="D93" i="24"/>
  <c r="E93" i="24"/>
  <c r="F93" i="24"/>
  <c r="F30" i="51"/>
  <c r="F76" i="24"/>
  <c r="E30" i="51"/>
  <c r="E76" i="24"/>
  <c r="D30" i="51"/>
  <c r="D76" i="24"/>
  <c r="C30" i="51"/>
  <c r="C76" i="24"/>
  <c r="B30" i="51"/>
  <c r="B76" i="24"/>
  <c r="G46" i="58"/>
  <c r="F46" i="58"/>
  <c r="E46" i="58"/>
  <c r="D46" i="58"/>
  <c r="C46" i="58"/>
  <c r="B46" i="58"/>
  <c r="G61" i="58"/>
  <c r="F61" i="58"/>
  <c r="E61" i="58"/>
  <c r="D61" i="58"/>
  <c r="C61" i="58"/>
  <c r="B61" i="58"/>
  <c r="G85" i="58"/>
  <c r="F85" i="58"/>
  <c r="E85" i="58"/>
  <c r="D85" i="58"/>
  <c r="C85" i="58"/>
  <c r="B85" i="58"/>
  <c r="G86" i="58"/>
  <c r="F86" i="58"/>
  <c r="E86" i="58"/>
  <c r="D86" i="58"/>
  <c r="C86" i="58"/>
  <c r="B86" i="58"/>
  <c r="G84" i="58"/>
  <c r="F84" i="58"/>
  <c r="E84" i="58"/>
  <c r="D84" i="58"/>
  <c r="C84" i="58"/>
  <c r="B84" i="58"/>
  <c r="G49" i="58"/>
  <c r="F49" i="58"/>
  <c r="E49" i="58"/>
  <c r="D49" i="58"/>
  <c r="C49" i="58"/>
  <c r="B49" i="58"/>
  <c r="G87" i="58"/>
  <c r="F87" i="58"/>
  <c r="E87" i="58"/>
  <c r="D87" i="58"/>
  <c r="C87" i="58"/>
  <c r="B87" i="58"/>
  <c r="G83" i="58"/>
  <c r="F83" i="58"/>
  <c r="E83" i="58"/>
  <c r="D83" i="58"/>
  <c r="C83" i="58"/>
  <c r="B83" i="58"/>
  <c r="G50" i="58"/>
  <c r="F50" i="58"/>
  <c r="E50" i="58"/>
  <c r="D50" i="58"/>
  <c r="C50" i="58"/>
  <c r="B50" i="58"/>
  <c r="G82" i="58"/>
  <c r="F82" i="58"/>
  <c r="E82" i="58"/>
  <c r="D82" i="58"/>
  <c r="C82" i="58"/>
  <c r="B82" i="58"/>
  <c r="G48" i="58"/>
  <c r="F48" i="58"/>
  <c r="E48" i="58"/>
  <c r="D48" i="58"/>
  <c r="C48" i="58"/>
  <c r="B48" i="58"/>
  <c r="G47" i="58"/>
  <c r="F47" i="58"/>
  <c r="E47" i="58"/>
  <c r="D47" i="58"/>
  <c r="C47" i="58"/>
  <c r="B47" i="58"/>
  <c r="G53" i="58"/>
  <c r="F53" i="58"/>
  <c r="E53" i="58"/>
  <c r="D53" i="58"/>
  <c r="C53" i="58"/>
  <c r="B53" i="58"/>
  <c r="G60" i="58"/>
  <c r="F60" i="58"/>
  <c r="E60" i="58"/>
  <c r="D60" i="58"/>
  <c r="C60" i="58"/>
  <c r="B60" i="58"/>
  <c r="G70" i="58"/>
  <c r="F70" i="58"/>
  <c r="E70" i="58"/>
  <c r="D70" i="58"/>
  <c r="C70" i="58"/>
  <c r="B70" i="58"/>
  <c r="G54" i="58"/>
  <c r="F54" i="58"/>
  <c r="E54" i="58"/>
  <c r="D54" i="58"/>
  <c r="C54" i="58"/>
  <c r="B54" i="58"/>
  <c r="G51" i="58"/>
  <c r="F51" i="58"/>
  <c r="E51" i="58"/>
  <c r="D51" i="58"/>
  <c r="C51" i="58"/>
  <c r="B51" i="58"/>
  <c r="G58" i="58"/>
  <c r="F58" i="58"/>
  <c r="E58" i="58"/>
  <c r="D58" i="58"/>
  <c r="C58" i="58"/>
  <c r="B58" i="58"/>
  <c r="G78" i="58"/>
  <c r="F78" i="58"/>
  <c r="E78" i="58"/>
  <c r="D78" i="58"/>
  <c r="C78" i="58"/>
  <c r="B78" i="58"/>
  <c r="G63" i="58"/>
  <c r="F63" i="58"/>
  <c r="E63" i="58"/>
  <c r="D63" i="58"/>
  <c r="C63" i="58"/>
  <c r="B63" i="58"/>
  <c r="G55" i="58"/>
  <c r="F55" i="58"/>
  <c r="E55" i="58"/>
  <c r="D55" i="58"/>
  <c r="C55" i="58"/>
  <c r="B55" i="58"/>
  <c r="G71" i="58"/>
  <c r="F71" i="58"/>
  <c r="E71" i="58"/>
  <c r="D71" i="58"/>
  <c r="C71" i="58"/>
  <c r="B71" i="58"/>
  <c r="G76" i="58"/>
  <c r="F76" i="58"/>
  <c r="E76" i="58"/>
  <c r="D76" i="58"/>
  <c r="C76" i="58"/>
  <c r="B76" i="58"/>
  <c r="G62" i="58"/>
  <c r="F62" i="58"/>
  <c r="E62" i="58"/>
  <c r="D62" i="58"/>
  <c r="C62" i="58"/>
  <c r="B62" i="58"/>
  <c r="G56" i="58"/>
  <c r="F56" i="58"/>
  <c r="E56" i="58"/>
  <c r="D56" i="58"/>
  <c r="C56" i="58"/>
  <c r="B56" i="58"/>
  <c r="G74" i="58"/>
  <c r="F74" i="58"/>
  <c r="E74" i="58"/>
  <c r="D74" i="58"/>
  <c r="C74" i="58"/>
  <c r="B74" i="58"/>
  <c r="G57" i="58"/>
  <c r="F57" i="58"/>
  <c r="E57" i="58"/>
  <c r="D57" i="58"/>
  <c r="C57" i="58"/>
  <c r="B57" i="58"/>
  <c r="G59" i="58"/>
  <c r="F59" i="58"/>
  <c r="E59" i="58"/>
  <c r="D59" i="58"/>
  <c r="C59" i="58"/>
  <c r="B59" i="58"/>
  <c r="G52" i="58"/>
  <c r="F52" i="58"/>
  <c r="E52" i="58"/>
  <c r="D52" i="58"/>
  <c r="C52" i="58"/>
  <c r="B52" i="58"/>
  <c r="G67" i="58"/>
  <c r="F67" i="58"/>
  <c r="E67" i="58"/>
  <c r="D67" i="58"/>
  <c r="C67" i="58"/>
  <c r="B67" i="58"/>
  <c r="G81" i="58"/>
  <c r="F81" i="58"/>
  <c r="E81" i="58"/>
  <c r="D81" i="58"/>
  <c r="C81" i="58"/>
  <c r="B81" i="58"/>
  <c r="G73" i="58"/>
  <c r="F73" i="58"/>
  <c r="E73" i="58"/>
  <c r="D73" i="58"/>
  <c r="C73" i="58"/>
  <c r="B73" i="58"/>
  <c r="G75" i="58"/>
  <c r="F75" i="58"/>
  <c r="E75" i="58"/>
  <c r="D75" i="58"/>
  <c r="C75" i="58"/>
  <c r="B75" i="58"/>
  <c r="G77" i="58"/>
  <c r="F77" i="58"/>
  <c r="E77" i="58"/>
  <c r="D77" i="58"/>
  <c r="C77" i="58"/>
  <c r="B77" i="58"/>
  <c r="G64" i="58"/>
  <c r="F64" i="58"/>
  <c r="E64" i="58"/>
  <c r="D64" i="58"/>
  <c r="C64" i="58"/>
  <c r="B64" i="58"/>
  <c r="G69" i="58"/>
  <c r="F69" i="58"/>
  <c r="E69" i="58"/>
  <c r="D69" i="58"/>
  <c r="C69" i="58"/>
  <c r="B69" i="58"/>
  <c r="G68" i="58"/>
  <c r="F68" i="58"/>
  <c r="E68" i="58"/>
  <c r="D68" i="58"/>
  <c r="C68" i="58"/>
  <c r="B68" i="58"/>
  <c r="G79" i="58"/>
  <c r="F79" i="58"/>
  <c r="E79" i="58"/>
  <c r="D79" i="58"/>
  <c r="C79" i="58"/>
  <c r="B79" i="58"/>
  <c r="G65" i="58"/>
  <c r="F65" i="58"/>
  <c r="E65" i="58"/>
  <c r="D65" i="58"/>
  <c r="C65" i="58"/>
  <c r="B65" i="58"/>
  <c r="G72" i="58"/>
  <c r="F72" i="58"/>
  <c r="E72" i="58"/>
  <c r="D72" i="58"/>
  <c r="C72" i="58"/>
  <c r="B72" i="58"/>
  <c r="G66" i="58"/>
  <c r="F66" i="58"/>
  <c r="E66" i="58"/>
  <c r="D66" i="58"/>
  <c r="C66" i="58"/>
  <c r="B66" i="58"/>
  <c r="G80" i="58"/>
  <c r="F80" i="58"/>
  <c r="E80" i="58"/>
  <c r="D80" i="58"/>
  <c r="C80" i="58"/>
  <c r="B80" i="58"/>
  <c r="G15" i="58"/>
  <c r="F15" i="58"/>
  <c r="E15" i="58"/>
  <c r="D15" i="58"/>
  <c r="C15" i="58"/>
  <c r="B15" i="58"/>
  <c r="G42" i="58"/>
  <c r="F42" i="58"/>
  <c r="E42" i="58"/>
  <c r="D42" i="58"/>
  <c r="C42" i="58"/>
  <c r="B42" i="58"/>
  <c r="G12" i="58"/>
  <c r="F12" i="58"/>
  <c r="E12" i="58"/>
  <c r="D12" i="58"/>
  <c r="C12" i="58"/>
  <c r="B12" i="58"/>
  <c r="G6" i="58"/>
  <c r="F6" i="58"/>
  <c r="E6" i="58"/>
  <c r="D6" i="58"/>
  <c r="C6" i="58"/>
  <c r="B6" i="58"/>
  <c r="G7" i="58"/>
  <c r="F7" i="58"/>
  <c r="E7" i="58"/>
  <c r="D7" i="58"/>
  <c r="C7" i="58"/>
  <c r="B7" i="58"/>
  <c r="G40" i="58"/>
  <c r="F40" i="58"/>
  <c r="E40" i="58"/>
  <c r="D40" i="58"/>
  <c r="C40" i="58"/>
  <c r="B40" i="58"/>
  <c r="G41" i="58"/>
  <c r="F41" i="58"/>
  <c r="E41" i="58"/>
  <c r="D41" i="58"/>
  <c r="C41" i="58"/>
  <c r="B41" i="58"/>
  <c r="G5" i="58"/>
  <c r="F5" i="58"/>
  <c r="E5" i="58"/>
  <c r="D5" i="58"/>
  <c r="C5" i="58"/>
  <c r="B5" i="58"/>
  <c r="G16" i="58"/>
  <c r="F16" i="58"/>
  <c r="E16" i="58"/>
  <c r="D16" i="58"/>
  <c r="C16" i="58"/>
  <c r="B16" i="58"/>
  <c r="G11" i="58"/>
  <c r="F11" i="58"/>
  <c r="E11" i="58"/>
  <c r="D11" i="58"/>
  <c r="C11" i="58"/>
  <c r="B11" i="58"/>
  <c r="G17" i="58"/>
  <c r="F17" i="58"/>
  <c r="E17" i="58"/>
  <c r="D17" i="58"/>
  <c r="C17" i="58"/>
  <c r="B17" i="58"/>
  <c r="G13" i="58"/>
  <c r="F13" i="58"/>
  <c r="E13" i="58"/>
  <c r="D13" i="58"/>
  <c r="C13" i="58"/>
  <c r="B13" i="58"/>
  <c r="G38" i="58"/>
  <c r="F38" i="58"/>
  <c r="E38" i="58"/>
  <c r="D38" i="58"/>
  <c r="C38" i="58"/>
  <c r="B38" i="58"/>
  <c r="G21" i="58"/>
  <c r="F21" i="58"/>
  <c r="E21" i="58"/>
  <c r="D21" i="58"/>
  <c r="C21" i="58"/>
  <c r="B21" i="58"/>
  <c r="G8" i="58"/>
  <c r="F8" i="58"/>
  <c r="E8" i="58"/>
  <c r="D8" i="58"/>
  <c r="C8" i="58"/>
  <c r="B8" i="58"/>
  <c r="G26" i="58"/>
  <c r="F26" i="58"/>
  <c r="E26" i="58"/>
  <c r="D26" i="58"/>
  <c r="C26" i="58"/>
  <c r="B26" i="58"/>
  <c r="G19" i="58"/>
  <c r="F19" i="58"/>
  <c r="E19" i="58"/>
  <c r="D19" i="58"/>
  <c r="C19" i="58"/>
  <c r="B19" i="58"/>
  <c r="G20" i="58"/>
  <c r="F20" i="58"/>
  <c r="E20" i="58"/>
  <c r="D20" i="58"/>
  <c r="C20" i="58"/>
  <c r="B20" i="58"/>
  <c r="G30" i="58"/>
  <c r="F30" i="58"/>
  <c r="E30" i="58"/>
  <c r="D30" i="58"/>
  <c r="C30" i="58"/>
  <c r="B30" i="58"/>
  <c r="G27" i="58"/>
  <c r="F27" i="58"/>
  <c r="E27" i="58"/>
  <c r="D27" i="58"/>
  <c r="C27" i="58"/>
  <c r="B27" i="58"/>
  <c r="G24" i="58"/>
  <c r="F24" i="58"/>
  <c r="E24" i="58"/>
  <c r="D24" i="58"/>
  <c r="C24" i="58"/>
  <c r="B24" i="58"/>
  <c r="G10" i="58"/>
  <c r="F10" i="58"/>
  <c r="E10" i="58"/>
  <c r="D10" i="58"/>
  <c r="C10" i="58"/>
  <c r="B10" i="58"/>
  <c r="G31" i="58"/>
  <c r="F31" i="58"/>
  <c r="E31" i="58"/>
  <c r="D31" i="58"/>
  <c r="C31" i="58"/>
  <c r="B31" i="58"/>
  <c r="G28" i="58"/>
  <c r="F28" i="58"/>
  <c r="E28" i="58"/>
  <c r="D28" i="58"/>
  <c r="C28" i="58"/>
  <c r="B28" i="58"/>
  <c r="G29" i="58"/>
  <c r="F29" i="58"/>
  <c r="E29" i="58"/>
  <c r="D29" i="58"/>
  <c r="C29" i="58"/>
  <c r="B29" i="58"/>
  <c r="G23" i="58"/>
  <c r="F23" i="58"/>
  <c r="E23" i="58"/>
  <c r="D23" i="58"/>
  <c r="C23" i="58"/>
  <c r="B23" i="58"/>
  <c r="G18" i="58"/>
  <c r="F18" i="58"/>
  <c r="E18" i="58"/>
  <c r="D18" i="58"/>
  <c r="C18" i="58"/>
  <c r="B18" i="58"/>
  <c r="G9" i="58"/>
  <c r="F9" i="58"/>
  <c r="E9" i="58"/>
  <c r="D9" i="58"/>
  <c r="C9" i="58"/>
  <c r="B9" i="58"/>
  <c r="G43" i="58"/>
  <c r="F43" i="58"/>
  <c r="E43" i="58"/>
  <c r="D43" i="58"/>
  <c r="C43" i="58"/>
  <c r="B43" i="58"/>
  <c r="G33" i="58"/>
  <c r="F33" i="58"/>
  <c r="E33" i="58"/>
  <c r="D33" i="58"/>
  <c r="C33" i="58"/>
  <c r="B33" i="58"/>
  <c r="G39" i="58"/>
  <c r="F39" i="58"/>
  <c r="E39" i="58"/>
  <c r="D39" i="58"/>
  <c r="C39" i="58"/>
  <c r="B39" i="58"/>
  <c r="G34" i="58"/>
  <c r="F34" i="58"/>
  <c r="E34" i="58"/>
  <c r="D34" i="58"/>
  <c r="C34" i="58"/>
  <c r="B34" i="58"/>
  <c r="G14" i="58"/>
  <c r="F14" i="58"/>
  <c r="E14" i="58"/>
  <c r="D14" i="58"/>
  <c r="C14" i="58"/>
  <c r="B14" i="58"/>
  <c r="G36" i="58"/>
  <c r="F36" i="58"/>
  <c r="E36" i="58"/>
  <c r="D36" i="58"/>
  <c r="C36" i="58"/>
  <c r="B36" i="58"/>
  <c r="G32" i="58"/>
  <c r="F32" i="58"/>
  <c r="E32" i="58"/>
  <c r="D32" i="58"/>
  <c r="C32" i="58"/>
  <c r="B32" i="58"/>
  <c r="G35" i="58"/>
  <c r="F35" i="58"/>
  <c r="E35" i="58"/>
  <c r="D35" i="58"/>
  <c r="C35" i="58"/>
  <c r="B35" i="58"/>
  <c r="G22" i="58"/>
  <c r="F22" i="58"/>
  <c r="E22" i="58"/>
  <c r="D22" i="58"/>
  <c r="C22" i="58"/>
  <c r="B22" i="58"/>
  <c r="G25" i="58"/>
  <c r="F25" i="58"/>
  <c r="E25" i="58"/>
  <c r="D25" i="58"/>
  <c r="C25" i="58"/>
  <c r="B25" i="58"/>
  <c r="G37" i="58"/>
  <c r="F37" i="58"/>
  <c r="E37" i="58"/>
  <c r="D37" i="58"/>
  <c r="C37" i="58"/>
  <c r="B37" i="58"/>
  <c r="J2" i="58"/>
  <c r="F2" i="58"/>
  <c r="A2" i="58"/>
  <c r="B90" i="22"/>
  <c r="C90" i="22"/>
  <c r="D90" i="22"/>
  <c r="E90" i="22"/>
  <c r="F90" i="22"/>
  <c r="G90" i="22"/>
  <c r="B92" i="22"/>
  <c r="C92" i="22"/>
  <c r="D92" i="22"/>
  <c r="E92" i="22"/>
  <c r="F92" i="22"/>
  <c r="G92" i="22"/>
  <c r="B91" i="22"/>
  <c r="C91" i="22"/>
  <c r="D91" i="22"/>
  <c r="E91" i="22"/>
  <c r="F91" i="22"/>
  <c r="G91" i="22"/>
  <c r="B81" i="22"/>
  <c r="C81" i="22"/>
  <c r="D81" i="22"/>
  <c r="E81" i="22"/>
  <c r="F81" i="22"/>
  <c r="G81" i="22"/>
  <c r="B69" i="22"/>
  <c r="C69" i="22"/>
  <c r="D69" i="22"/>
  <c r="E69" i="22"/>
  <c r="F69" i="22"/>
  <c r="G69" i="22"/>
  <c r="B93" i="22"/>
  <c r="C93" i="22"/>
  <c r="D93" i="22"/>
  <c r="E93" i="22"/>
  <c r="F93" i="22"/>
  <c r="G93" i="22"/>
  <c r="G72" i="22"/>
  <c r="F72" i="22"/>
  <c r="E72" i="22"/>
  <c r="D72" i="22" l="1"/>
  <c r="C72" i="22"/>
  <c r="B72" i="22"/>
  <c r="B80" i="22" l="1"/>
  <c r="C80" i="22"/>
  <c r="D80" i="22"/>
  <c r="E80" i="22"/>
  <c r="F80" i="22"/>
  <c r="G80" i="22"/>
  <c r="B75" i="22"/>
  <c r="C75" i="22"/>
  <c r="D75" i="22"/>
  <c r="E75" i="22"/>
  <c r="F75" i="22"/>
  <c r="G75" i="22"/>
  <c r="B70" i="22"/>
  <c r="C70" i="22"/>
  <c r="D70" i="22"/>
  <c r="E70" i="22"/>
  <c r="F70" i="22"/>
  <c r="G70" i="22"/>
  <c r="B71" i="22"/>
  <c r="C71" i="22"/>
  <c r="D71" i="22"/>
  <c r="E71" i="22"/>
  <c r="F71" i="22"/>
  <c r="G71" i="22"/>
  <c r="B88" i="22"/>
  <c r="C88" i="22"/>
  <c r="D88" i="22"/>
  <c r="E88" i="22"/>
  <c r="F88" i="22"/>
  <c r="G88" i="22"/>
  <c r="B73" i="22"/>
  <c r="C73" i="22"/>
  <c r="D73" i="22"/>
  <c r="E73" i="22"/>
  <c r="F73" i="22"/>
  <c r="G73" i="22"/>
  <c r="B89" i="22"/>
  <c r="C89" i="22"/>
  <c r="D89" i="22"/>
  <c r="E89" i="22"/>
  <c r="F89" i="22"/>
  <c r="G89" i="22"/>
  <c r="G84" i="22"/>
  <c r="F84" i="22"/>
  <c r="E84" i="22"/>
  <c r="D84" i="22"/>
  <c r="C84" i="22"/>
  <c r="B84" i="22"/>
  <c r="C30" i="56"/>
  <c r="C29" i="56"/>
  <c r="B29" i="56"/>
  <c r="C28" i="56"/>
  <c r="C27" i="56"/>
  <c r="B27" i="56"/>
  <c r="C26" i="56"/>
  <c r="C25" i="56"/>
  <c r="B25" i="56"/>
  <c r="C24" i="56"/>
  <c r="C23" i="56"/>
  <c r="B23" i="56"/>
  <c r="C22" i="56"/>
  <c r="C21" i="56"/>
  <c r="B21" i="56"/>
  <c r="C20" i="56"/>
  <c r="C19" i="56"/>
  <c r="B19" i="56"/>
  <c r="C18" i="56"/>
  <c r="C17" i="56"/>
  <c r="B17" i="56"/>
  <c r="C16" i="56"/>
  <c r="C15" i="56"/>
  <c r="B15" i="56"/>
  <c r="C14" i="56"/>
  <c r="C13" i="56"/>
  <c r="B13" i="56"/>
  <c r="C12" i="56"/>
  <c r="C11" i="56"/>
  <c r="B11" i="56"/>
  <c r="C10" i="56"/>
  <c r="C9" i="56"/>
  <c r="B9" i="56"/>
  <c r="C8" i="56"/>
  <c r="C7" i="56"/>
  <c r="B7" i="56"/>
  <c r="C30" i="55"/>
  <c r="C29" i="55"/>
  <c r="B29" i="55"/>
  <c r="C28" i="55"/>
  <c r="C27" i="55"/>
  <c r="B27" i="55"/>
  <c r="C26" i="55"/>
  <c r="C25" i="55"/>
  <c r="B25" i="55"/>
  <c r="C24" i="55"/>
  <c r="C23" i="55"/>
  <c r="B23" i="55"/>
  <c r="C22" i="55"/>
  <c r="C21" i="55"/>
  <c r="B21" i="55"/>
  <c r="C20" i="55"/>
  <c r="C19" i="55"/>
  <c r="B19" i="55"/>
  <c r="C18" i="55"/>
  <c r="C17" i="55"/>
  <c r="B17" i="55"/>
  <c r="C16" i="55"/>
  <c r="C15" i="55"/>
  <c r="B15" i="55"/>
  <c r="C14" i="55"/>
  <c r="C13" i="55"/>
  <c r="B13" i="55"/>
  <c r="C12" i="55"/>
  <c r="C11" i="55"/>
  <c r="B11" i="55"/>
  <c r="C10" i="55"/>
  <c r="C9" i="55"/>
  <c r="B9" i="55"/>
  <c r="B7" i="55"/>
  <c r="C8" i="55"/>
  <c r="C7" i="55"/>
  <c r="O30" i="56"/>
  <c r="N29" i="56"/>
  <c r="U31" i="54" s="1"/>
  <c r="K29" i="56"/>
  <c r="T31" i="54" s="1"/>
  <c r="G29" i="56"/>
  <c r="S31" i="54" s="1"/>
  <c r="O28" i="56"/>
  <c r="N27" i="56"/>
  <c r="U29" i="54" s="1"/>
  <c r="U30" i="54" s="1"/>
  <c r="K27" i="56"/>
  <c r="T29" i="54" s="1"/>
  <c r="T30" i="54" s="1"/>
  <c r="G27" i="56"/>
  <c r="S29" i="54" s="1"/>
  <c r="S30" i="54" s="1"/>
  <c r="V30" i="54" s="1"/>
  <c r="O26" i="56"/>
  <c r="N25" i="56"/>
  <c r="U27" i="54" s="1"/>
  <c r="U28" i="54" s="1"/>
  <c r="K25" i="56"/>
  <c r="T27" i="54" s="1"/>
  <c r="G25" i="56"/>
  <c r="S27" i="54" s="1"/>
  <c r="S28" i="54" s="1"/>
  <c r="O24" i="56"/>
  <c r="N23" i="56"/>
  <c r="U25" i="54" s="1"/>
  <c r="U26" i="54" s="1"/>
  <c r="K23" i="56"/>
  <c r="T25" i="54" s="1"/>
  <c r="T26" i="54" s="1"/>
  <c r="G23" i="56"/>
  <c r="S25" i="54" s="1"/>
  <c r="S26" i="54" s="1"/>
  <c r="O22" i="56"/>
  <c r="N21" i="56"/>
  <c r="U23" i="54" s="1"/>
  <c r="U24" i="54" s="1"/>
  <c r="K21" i="56"/>
  <c r="T23" i="54" s="1"/>
  <c r="T24" i="54" s="1"/>
  <c r="G21" i="56"/>
  <c r="S23" i="54" s="1"/>
  <c r="S24" i="54" s="1"/>
  <c r="O20" i="56"/>
  <c r="N19" i="56"/>
  <c r="U21" i="54" s="1"/>
  <c r="K19" i="56"/>
  <c r="T21" i="54" s="1"/>
  <c r="G19" i="56"/>
  <c r="S21" i="54" s="1"/>
  <c r="O18" i="56"/>
  <c r="N17" i="56"/>
  <c r="U19" i="54" s="1"/>
  <c r="K17" i="56"/>
  <c r="T19" i="54" s="1"/>
  <c r="G17" i="56"/>
  <c r="S19" i="54" s="1"/>
  <c r="O16" i="56"/>
  <c r="N15" i="56"/>
  <c r="U17" i="54" s="1"/>
  <c r="K15" i="56"/>
  <c r="T17" i="54" s="1"/>
  <c r="G15" i="56"/>
  <c r="S17" i="54" s="1"/>
  <c r="O14" i="56"/>
  <c r="N13" i="56"/>
  <c r="U15" i="54" s="1"/>
  <c r="K13" i="56"/>
  <c r="T15" i="54" s="1"/>
  <c r="G13" i="56"/>
  <c r="S15" i="54" s="1"/>
  <c r="O12" i="56"/>
  <c r="N11" i="56"/>
  <c r="U13" i="54" s="1"/>
  <c r="K11" i="56"/>
  <c r="T13" i="54" s="1"/>
  <c r="G11" i="56"/>
  <c r="S13" i="54" s="1"/>
  <c r="O10" i="56"/>
  <c r="N9" i="56"/>
  <c r="U11" i="54" s="1"/>
  <c r="K9" i="56"/>
  <c r="T11" i="54" s="1"/>
  <c r="G9" i="56"/>
  <c r="S11" i="54" s="1"/>
  <c r="O8" i="56"/>
  <c r="U9" i="54"/>
  <c r="K7" i="56"/>
  <c r="T9" i="54" s="1"/>
  <c r="G7" i="56"/>
  <c r="S9" i="54" s="1"/>
  <c r="K3" i="56"/>
  <c r="F3" i="56"/>
  <c r="C3" i="56"/>
  <c r="C2" i="56"/>
  <c r="O30" i="55"/>
  <c r="N29" i="55"/>
  <c r="U31" i="53" s="1"/>
  <c r="K29" i="55"/>
  <c r="T31" i="53" s="1"/>
  <c r="T32" i="53" s="1"/>
  <c r="G29" i="55"/>
  <c r="S31" i="53" s="1"/>
  <c r="S32" i="53" s="1"/>
  <c r="O28" i="55"/>
  <c r="N27" i="55"/>
  <c r="U29" i="53" s="1"/>
  <c r="U30" i="53" s="1"/>
  <c r="K27" i="55"/>
  <c r="T29" i="53" s="1"/>
  <c r="T30" i="53" s="1"/>
  <c r="G27" i="55"/>
  <c r="S29" i="53" s="1"/>
  <c r="S30" i="53" s="1"/>
  <c r="V30" i="53" s="1"/>
  <c r="O26" i="55"/>
  <c r="N25" i="55"/>
  <c r="U27" i="53" s="1"/>
  <c r="U28" i="53" s="1"/>
  <c r="K25" i="55"/>
  <c r="T27" i="53" s="1"/>
  <c r="T28" i="53" s="1"/>
  <c r="G25" i="55"/>
  <c r="S27" i="53" s="1"/>
  <c r="S28" i="53" s="1"/>
  <c r="O24" i="55"/>
  <c r="N23" i="55"/>
  <c r="U25" i="53" s="1"/>
  <c r="L87" i="58" s="1"/>
  <c r="K23" i="55"/>
  <c r="T25" i="53" s="1"/>
  <c r="G23" i="55"/>
  <c r="S25" i="53" s="1"/>
  <c r="O22" i="55"/>
  <c r="N21" i="55"/>
  <c r="U23" i="53" s="1"/>
  <c r="K21" i="55"/>
  <c r="T23" i="53" s="1"/>
  <c r="G21" i="55"/>
  <c r="S23" i="53" s="1"/>
  <c r="O20" i="55"/>
  <c r="N19" i="55"/>
  <c r="U21" i="53" s="1"/>
  <c r="K19" i="55"/>
  <c r="T21" i="53" s="1"/>
  <c r="G19" i="55"/>
  <c r="S21" i="53" s="1"/>
  <c r="O18" i="55"/>
  <c r="N17" i="55"/>
  <c r="U19" i="53" s="1"/>
  <c r="K17" i="55"/>
  <c r="T19" i="53" s="1"/>
  <c r="G17" i="55"/>
  <c r="S19" i="53" s="1"/>
  <c r="O16" i="55"/>
  <c r="N15" i="55"/>
  <c r="U17" i="53" s="1"/>
  <c r="K15" i="55"/>
  <c r="T17" i="53" s="1"/>
  <c r="G15" i="55"/>
  <c r="S17" i="53" s="1"/>
  <c r="O14" i="55"/>
  <c r="N13" i="55"/>
  <c r="U15" i="53" s="1"/>
  <c r="K13" i="55"/>
  <c r="T15" i="53" s="1"/>
  <c r="G13" i="55"/>
  <c r="S15" i="53" s="1"/>
  <c r="O12" i="55"/>
  <c r="N11" i="55"/>
  <c r="U13" i="53" s="1"/>
  <c r="K11" i="55"/>
  <c r="T13" i="53" s="1"/>
  <c r="G11" i="55"/>
  <c r="S13" i="53" s="1"/>
  <c r="O10" i="55"/>
  <c r="N9" i="55"/>
  <c r="U11" i="53" s="1"/>
  <c r="K9" i="55"/>
  <c r="T11" i="53" s="1"/>
  <c r="G9" i="55"/>
  <c r="S11" i="53" s="1"/>
  <c r="O8" i="55"/>
  <c r="N7" i="55"/>
  <c r="U9" i="53" s="1"/>
  <c r="K7" i="55"/>
  <c r="T9" i="53" s="1"/>
  <c r="G7" i="55"/>
  <c r="S9" i="53" s="1"/>
  <c r="K3" i="55"/>
  <c r="F3" i="55"/>
  <c r="C3" i="55"/>
  <c r="C2" i="55"/>
  <c r="Z31" i="54"/>
  <c r="O31" i="54"/>
  <c r="I93" i="22" s="1"/>
  <c r="N31" i="54"/>
  <c r="H93" i="22" s="1"/>
  <c r="Z29" i="54"/>
  <c r="O29" i="54"/>
  <c r="N29" i="54"/>
  <c r="P29" i="54" s="1"/>
  <c r="Q29" i="54" s="1"/>
  <c r="T28" i="54"/>
  <c r="Z27" i="54"/>
  <c r="O27" i="54"/>
  <c r="N27" i="54"/>
  <c r="P27" i="54" s="1"/>
  <c r="Q27" i="54" s="1"/>
  <c r="Z25" i="54"/>
  <c r="O25" i="54"/>
  <c r="N25" i="54"/>
  <c r="P25" i="54" s="1"/>
  <c r="Q25" i="54" s="1"/>
  <c r="Z23" i="54"/>
  <c r="O23" i="54"/>
  <c r="N23" i="54"/>
  <c r="P23" i="54" s="1"/>
  <c r="Q23" i="54" s="1"/>
  <c r="Z21" i="54"/>
  <c r="O21" i="54"/>
  <c r="N21" i="54"/>
  <c r="Z19" i="54"/>
  <c r="O19" i="54"/>
  <c r="N19" i="54"/>
  <c r="Z17" i="54"/>
  <c r="O17" i="54"/>
  <c r="N17" i="54"/>
  <c r="Z15" i="54"/>
  <c r="O15" i="54"/>
  <c r="N15" i="54"/>
  <c r="Z13" i="54"/>
  <c r="O13" i="54"/>
  <c r="N13" i="54"/>
  <c r="Z11" i="54"/>
  <c r="O11" i="54"/>
  <c r="N11" i="54"/>
  <c r="Z9" i="54"/>
  <c r="O9" i="54"/>
  <c r="N9" i="54"/>
  <c r="Z31" i="53"/>
  <c r="U32" i="53"/>
  <c r="O31" i="53"/>
  <c r="N31" i="53"/>
  <c r="P31" i="53" s="1"/>
  <c r="Q31" i="53" s="1"/>
  <c r="Z29" i="53"/>
  <c r="O29" i="53"/>
  <c r="N29" i="53"/>
  <c r="P29" i="53" s="1"/>
  <c r="Q29" i="53" s="1"/>
  <c r="Z27" i="53"/>
  <c r="O27" i="53"/>
  <c r="N27" i="53"/>
  <c r="P27" i="53" s="1"/>
  <c r="Q27" i="53" s="1"/>
  <c r="Z25" i="53"/>
  <c r="O25" i="53"/>
  <c r="N25" i="53"/>
  <c r="Z23" i="53"/>
  <c r="O23" i="53"/>
  <c r="N23" i="53"/>
  <c r="Z21" i="53"/>
  <c r="O21" i="53"/>
  <c r="N21" i="53"/>
  <c r="H73" i="22" s="1"/>
  <c r="Z19" i="53"/>
  <c r="O19" i="53"/>
  <c r="I88" i="22" s="1"/>
  <c r="N19" i="53"/>
  <c r="Z17" i="53"/>
  <c r="O17" i="53"/>
  <c r="N17" i="53"/>
  <c r="H71" i="22" s="1"/>
  <c r="Z15" i="53"/>
  <c r="O15" i="53"/>
  <c r="N15" i="53"/>
  <c r="Z13" i="53"/>
  <c r="O13" i="53"/>
  <c r="N13" i="53"/>
  <c r="Z11" i="53"/>
  <c r="O11" i="53"/>
  <c r="I80" i="22" s="1"/>
  <c r="N11" i="53"/>
  <c r="H80" i="22" s="1"/>
  <c r="Z9" i="53"/>
  <c r="O9" i="53"/>
  <c r="N9" i="53"/>
  <c r="V28" i="54" l="1"/>
  <c r="L93" i="22"/>
  <c r="U32" i="54"/>
  <c r="V28" i="53"/>
  <c r="J93" i="22"/>
  <c r="S32" i="54"/>
  <c r="K93" i="22"/>
  <c r="T32" i="54"/>
  <c r="P31" i="54"/>
  <c r="Q31" i="54" s="1"/>
  <c r="P32" i="54" s="1"/>
  <c r="U26" i="53"/>
  <c r="L83" i="58"/>
  <c r="L89" i="22"/>
  <c r="U24" i="53"/>
  <c r="K87" i="58"/>
  <c r="T26" i="53"/>
  <c r="K83" i="58"/>
  <c r="K89" i="22"/>
  <c r="T24" i="53"/>
  <c r="J87" i="58"/>
  <c r="S26" i="53"/>
  <c r="J83" i="58"/>
  <c r="S24" i="53"/>
  <c r="J89" i="22"/>
  <c r="P15" i="53"/>
  <c r="G93" i="24"/>
  <c r="H83" i="58"/>
  <c r="P25" i="53"/>
  <c r="H87" i="58"/>
  <c r="H93" i="24"/>
  <c r="I83" i="58"/>
  <c r="I87" i="58"/>
  <c r="I89" i="22"/>
  <c r="P23" i="53"/>
  <c r="H89" i="22"/>
  <c r="U22" i="54"/>
  <c r="L69" i="22"/>
  <c r="L46" i="58"/>
  <c r="U20" i="54"/>
  <c r="L81" i="22"/>
  <c r="L61" i="58"/>
  <c r="U18" i="54"/>
  <c r="L85" i="58"/>
  <c r="L91" i="22"/>
  <c r="U16" i="54"/>
  <c r="L86" i="58"/>
  <c r="L92" i="22"/>
  <c r="U14" i="54"/>
  <c r="L90" i="22"/>
  <c r="L84" i="58"/>
  <c r="U12" i="54"/>
  <c r="L72" i="22"/>
  <c r="L49" i="58"/>
  <c r="U10" i="54"/>
  <c r="T22" i="54"/>
  <c r="K69" i="22"/>
  <c r="K46" i="58"/>
  <c r="T20" i="54"/>
  <c r="K61" i="58"/>
  <c r="K81" i="22"/>
  <c r="T18" i="54"/>
  <c r="K91" i="22"/>
  <c r="K85" i="58"/>
  <c r="T16" i="54"/>
  <c r="K84" i="58"/>
  <c r="K90" i="22"/>
  <c r="T12" i="54"/>
  <c r="K92" i="22"/>
  <c r="K86" i="58"/>
  <c r="T14" i="54"/>
  <c r="K49" i="58"/>
  <c r="K72" i="22"/>
  <c r="T10" i="54"/>
  <c r="S22" i="54"/>
  <c r="J46" i="58"/>
  <c r="J69" i="22"/>
  <c r="S20" i="54"/>
  <c r="J61" i="58"/>
  <c r="J81" i="22"/>
  <c r="S18" i="54"/>
  <c r="J85" i="58"/>
  <c r="J91" i="22"/>
  <c r="S16" i="54"/>
  <c r="S14" i="54"/>
  <c r="J86" i="58"/>
  <c r="J92" i="22"/>
  <c r="J84" i="58"/>
  <c r="J90" i="22"/>
  <c r="S12" i="54"/>
  <c r="J49" i="58"/>
  <c r="J72" i="22"/>
  <c r="S10" i="54"/>
  <c r="L50" i="58"/>
  <c r="L73" i="22"/>
  <c r="U22" i="53"/>
  <c r="L82" i="58"/>
  <c r="U20" i="53"/>
  <c r="L88" i="22"/>
  <c r="L48" i="58"/>
  <c r="L71" i="22"/>
  <c r="U18" i="53"/>
  <c r="L47" i="58"/>
  <c r="U16" i="53"/>
  <c r="L70" i="22"/>
  <c r="L53" i="58"/>
  <c r="L75" i="22"/>
  <c r="U14" i="53"/>
  <c r="L60" i="58"/>
  <c r="U12" i="53"/>
  <c r="L80" i="22"/>
  <c r="L70" i="58"/>
  <c r="L84" i="22"/>
  <c r="U10" i="53"/>
  <c r="T22" i="53"/>
  <c r="K50" i="58"/>
  <c r="K73" i="22"/>
  <c r="K82" i="58"/>
  <c r="T20" i="53"/>
  <c r="K88" i="22"/>
  <c r="K48" i="58"/>
  <c r="K71" i="22"/>
  <c r="T18" i="53"/>
  <c r="K47" i="58"/>
  <c r="K70" i="22"/>
  <c r="T16" i="53"/>
  <c r="K53" i="58"/>
  <c r="K75" i="22"/>
  <c r="T14" i="53"/>
  <c r="K60" i="58"/>
  <c r="T12" i="53"/>
  <c r="K80" i="22"/>
  <c r="K70" i="58"/>
  <c r="K84" i="22"/>
  <c r="T10" i="53"/>
  <c r="J50" i="58"/>
  <c r="S22" i="53"/>
  <c r="J73" i="22"/>
  <c r="J82" i="58"/>
  <c r="S20" i="53"/>
  <c r="J88" i="22"/>
  <c r="J48" i="58"/>
  <c r="S18" i="53"/>
  <c r="J71" i="22"/>
  <c r="J47" i="58"/>
  <c r="S16" i="53"/>
  <c r="J70" i="22"/>
  <c r="J53" i="58"/>
  <c r="S14" i="53"/>
  <c r="J75" i="22"/>
  <c r="J60" i="58"/>
  <c r="S12" i="53"/>
  <c r="J80" i="22"/>
  <c r="J70" i="58"/>
  <c r="J84" i="22"/>
  <c r="S10" i="53"/>
  <c r="P9" i="54"/>
  <c r="H49" i="58"/>
  <c r="G51" i="24"/>
  <c r="H72" i="22"/>
  <c r="G53" i="24"/>
  <c r="H86" i="58"/>
  <c r="H92" i="22"/>
  <c r="P17" i="54"/>
  <c r="G55" i="24"/>
  <c r="H61" i="58"/>
  <c r="H81" i="22"/>
  <c r="I92" i="22"/>
  <c r="H53" i="24"/>
  <c r="I86" i="58"/>
  <c r="H55" i="24"/>
  <c r="I81" i="22"/>
  <c r="I61" i="58"/>
  <c r="H51" i="24"/>
  <c r="I72" i="22"/>
  <c r="I49" i="58"/>
  <c r="P11" i="54"/>
  <c r="G49" i="24"/>
  <c r="H90" i="22"/>
  <c r="H84" i="58"/>
  <c r="P13" i="54"/>
  <c r="P15" i="54"/>
  <c r="G50" i="24"/>
  <c r="H91" i="22"/>
  <c r="H85" i="58"/>
  <c r="P19" i="54"/>
  <c r="G48" i="24"/>
  <c r="H69" i="22"/>
  <c r="H46" i="58"/>
  <c r="P21" i="54"/>
  <c r="I84" i="58"/>
  <c r="H49" i="24"/>
  <c r="I90" i="22"/>
  <c r="H50" i="24"/>
  <c r="I85" i="58"/>
  <c r="I91" i="22"/>
  <c r="I46" i="58"/>
  <c r="H48" i="24"/>
  <c r="I69" i="22"/>
  <c r="I54" i="24"/>
  <c r="P9" i="53"/>
  <c r="G30" i="51"/>
  <c r="G76" i="24"/>
  <c r="H70" i="58"/>
  <c r="I47" i="58"/>
  <c r="H54" i="24"/>
  <c r="H52" i="24"/>
  <c r="I48" i="58"/>
  <c r="I50" i="58"/>
  <c r="H56" i="24"/>
  <c r="H76" i="24"/>
  <c r="H30" i="51"/>
  <c r="I70" i="58"/>
  <c r="I53" i="58"/>
  <c r="H68" i="24"/>
  <c r="P19" i="53"/>
  <c r="H82" i="58"/>
  <c r="G59" i="24"/>
  <c r="P21" i="53"/>
  <c r="I73" i="22"/>
  <c r="H88" i="22"/>
  <c r="I75" i="22"/>
  <c r="G68" i="24"/>
  <c r="H53" i="58"/>
  <c r="P11" i="53"/>
  <c r="H60" i="58"/>
  <c r="G62" i="24"/>
  <c r="P13" i="53"/>
  <c r="H59" i="24"/>
  <c r="I82" i="58"/>
  <c r="H84" i="22"/>
  <c r="I70" i="22"/>
  <c r="H75" i="22"/>
  <c r="H62" i="24"/>
  <c r="I60" i="58"/>
  <c r="G54" i="24"/>
  <c r="H47" i="58"/>
  <c r="P17" i="53"/>
  <c r="G52" i="24"/>
  <c r="H48" i="58"/>
  <c r="G56" i="24"/>
  <c r="H50" i="58"/>
  <c r="I84" i="22"/>
  <c r="I71" i="22"/>
  <c r="H70" i="22"/>
  <c r="V26" i="54"/>
  <c r="P24" i="54"/>
  <c r="W24" i="54" s="1"/>
  <c r="R23" i="54"/>
  <c r="V24" i="54"/>
  <c r="W32" i="54"/>
  <c r="M93" i="22" s="1"/>
  <c r="P30" i="54"/>
  <c r="W30" i="54" s="1"/>
  <c r="R29" i="54"/>
  <c r="V14" i="54"/>
  <c r="P26" i="54"/>
  <c r="W26" i="54" s="1"/>
  <c r="R25" i="54"/>
  <c r="R27" i="54"/>
  <c r="P28" i="54"/>
  <c r="W28" i="54" s="1"/>
  <c r="V32" i="54"/>
  <c r="P32" i="53"/>
  <c r="W32" i="53" s="1"/>
  <c r="R31" i="53"/>
  <c r="R27" i="53"/>
  <c r="P28" i="53"/>
  <c r="W28" i="53" s="1"/>
  <c r="P30" i="53"/>
  <c r="W30" i="53" s="1"/>
  <c r="R29" i="53"/>
  <c r="V32" i="53"/>
  <c r="V14" i="53" l="1"/>
  <c r="V12" i="54"/>
  <c r="V22" i="54"/>
  <c r="V20" i="54"/>
  <c r="V20" i="53"/>
  <c r="R31" i="54"/>
  <c r="V16" i="53"/>
  <c r="V12" i="53"/>
  <c r="V10" i="53"/>
  <c r="Q15" i="53"/>
  <c r="J54" i="24" s="1"/>
  <c r="V10" i="54"/>
  <c r="V18" i="54"/>
  <c r="V26" i="53"/>
  <c r="V18" i="53"/>
  <c r="V16" i="54"/>
  <c r="V24" i="53"/>
  <c r="V22" i="53"/>
  <c r="Q25" i="53"/>
  <c r="I93" i="24"/>
  <c r="Q23" i="53"/>
  <c r="Q19" i="54"/>
  <c r="I48" i="24"/>
  <c r="Q17" i="54"/>
  <c r="I55" i="24"/>
  <c r="Q11" i="54"/>
  <c r="I49" i="24"/>
  <c r="Q21" i="54"/>
  <c r="Q15" i="54"/>
  <c r="I50" i="24"/>
  <c r="Q13" i="54"/>
  <c r="I53" i="24"/>
  <c r="Q9" i="54"/>
  <c r="I51" i="24"/>
  <c r="Q17" i="53"/>
  <c r="I52" i="24"/>
  <c r="Q13" i="53"/>
  <c r="I68" i="24"/>
  <c r="Q11" i="53"/>
  <c r="I62" i="24"/>
  <c r="Q21" i="53"/>
  <c r="I56" i="24"/>
  <c r="Q19" i="53"/>
  <c r="I59" i="24"/>
  <c r="Q9" i="53"/>
  <c r="I76" i="24"/>
  <c r="I30" i="51"/>
  <c r="B29" i="49"/>
  <c r="B27" i="49"/>
  <c r="B25" i="49"/>
  <c r="B23" i="49"/>
  <c r="B21" i="49"/>
  <c r="B19" i="49"/>
  <c r="B17" i="49"/>
  <c r="B15" i="49"/>
  <c r="B13" i="49"/>
  <c r="B11" i="49"/>
  <c r="B9" i="49"/>
  <c r="B7" i="49"/>
  <c r="B29" i="48"/>
  <c r="B27" i="48"/>
  <c r="B25" i="48"/>
  <c r="B23" i="48"/>
  <c r="B21" i="48"/>
  <c r="B19" i="48"/>
  <c r="B17" i="48"/>
  <c r="B15" i="48"/>
  <c r="B13" i="48"/>
  <c r="B11" i="48"/>
  <c r="B9" i="48"/>
  <c r="B7" i="48"/>
  <c r="N31" i="36"/>
  <c r="P31" i="36" s="1"/>
  <c r="Q31" i="36" s="1"/>
  <c r="O31" i="36"/>
  <c r="N29" i="36"/>
  <c r="P29" i="36" s="1"/>
  <c r="Q29" i="36" s="1"/>
  <c r="O29" i="36"/>
  <c r="N27" i="36"/>
  <c r="H75" i="58" s="1"/>
  <c r="O27" i="36"/>
  <c r="I75" i="58" s="1"/>
  <c r="N25" i="36"/>
  <c r="H77" i="58" s="1"/>
  <c r="O25" i="36"/>
  <c r="I77" i="58" s="1"/>
  <c r="N23" i="36"/>
  <c r="H64" i="58" s="1"/>
  <c r="O23" i="36"/>
  <c r="H27" i="51" s="1"/>
  <c r="N21" i="36"/>
  <c r="H69" i="58" s="1"/>
  <c r="O21" i="36"/>
  <c r="I69" i="58" s="1"/>
  <c r="N19" i="36"/>
  <c r="H68" i="58" s="1"/>
  <c r="O19" i="36"/>
  <c r="I68" i="58" s="1"/>
  <c r="N17" i="36"/>
  <c r="H79" i="58" s="1"/>
  <c r="O17" i="36"/>
  <c r="I79" i="58" s="1"/>
  <c r="N15" i="36"/>
  <c r="O15" i="36"/>
  <c r="I65" i="58" s="1"/>
  <c r="N13" i="36"/>
  <c r="H72" i="58" s="1"/>
  <c r="O13" i="36"/>
  <c r="H35" i="51" s="1"/>
  <c r="N11" i="36"/>
  <c r="H66" i="58" s="1"/>
  <c r="O11" i="36"/>
  <c r="I66" i="58" s="1"/>
  <c r="N9" i="36"/>
  <c r="H80" i="58" s="1"/>
  <c r="O9" i="36"/>
  <c r="I80" i="58" s="1"/>
  <c r="N31" i="31"/>
  <c r="N29" i="31"/>
  <c r="P29" i="31" s="1"/>
  <c r="Q29" i="31" s="1"/>
  <c r="P30" i="31" s="1"/>
  <c r="N27" i="31"/>
  <c r="N25" i="31"/>
  <c r="N23" i="31"/>
  <c r="H15" i="58" s="1"/>
  <c r="N21" i="31"/>
  <c r="G6" i="51" s="1"/>
  <c r="N19" i="31"/>
  <c r="H12" i="58" s="1"/>
  <c r="N17" i="31"/>
  <c r="N15" i="31"/>
  <c r="H7" i="58" s="1"/>
  <c r="N13" i="31"/>
  <c r="H40" i="58" s="1"/>
  <c r="N11" i="31"/>
  <c r="H41" i="58" s="1"/>
  <c r="N9" i="31"/>
  <c r="H5" i="58" s="1"/>
  <c r="N31" i="21"/>
  <c r="N29" i="21"/>
  <c r="P29" i="21" s="1"/>
  <c r="N27" i="21"/>
  <c r="N25" i="21"/>
  <c r="N23" i="21"/>
  <c r="N21" i="21"/>
  <c r="G18" i="24" s="1"/>
  <c r="N19" i="21"/>
  <c r="H11" i="58" s="1"/>
  <c r="N17" i="21"/>
  <c r="H17" i="58" s="1"/>
  <c r="N15" i="21"/>
  <c r="H13" i="58" s="1"/>
  <c r="N13" i="21"/>
  <c r="N11" i="21"/>
  <c r="N9" i="21"/>
  <c r="N31" i="20"/>
  <c r="N29" i="20"/>
  <c r="P29" i="20" s="1"/>
  <c r="Q29" i="20" s="1"/>
  <c r="P30" i="20" s="1"/>
  <c r="N27" i="20"/>
  <c r="N25" i="20"/>
  <c r="N23" i="20"/>
  <c r="H26" i="58"/>
  <c r="H19" i="58"/>
  <c r="H27" i="58"/>
  <c r="H24" i="58"/>
  <c r="H10" i="58"/>
  <c r="F11" i="52"/>
  <c r="E11" i="52"/>
  <c r="D11" i="52"/>
  <c r="C11" i="52"/>
  <c r="B11" i="52"/>
  <c r="F12" i="52"/>
  <c r="E12" i="52"/>
  <c r="D12" i="52"/>
  <c r="C12" i="52"/>
  <c r="B12" i="52"/>
  <c r="F10" i="52"/>
  <c r="E10" i="52"/>
  <c r="D10" i="52"/>
  <c r="C10" i="52"/>
  <c r="B10" i="52"/>
  <c r="F5" i="52"/>
  <c r="E5" i="52"/>
  <c r="D5" i="52"/>
  <c r="C5" i="52"/>
  <c r="B5" i="52"/>
  <c r="N31" i="19"/>
  <c r="N29" i="19"/>
  <c r="N27" i="19"/>
  <c r="N25" i="19"/>
  <c r="N23" i="19"/>
  <c r="N21" i="19"/>
  <c r="N31" i="18"/>
  <c r="H43" i="58" s="1"/>
  <c r="F7" i="52"/>
  <c r="E7" i="52"/>
  <c r="D7" i="52"/>
  <c r="C7" i="52"/>
  <c r="B7" i="52"/>
  <c r="N29" i="18"/>
  <c r="F6" i="52"/>
  <c r="E6" i="52"/>
  <c r="D6" i="52"/>
  <c r="C6" i="52"/>
  <c r="B6" i="52"/>
  <c r="N27" i="18"/>
  <c r="H33" i="58" s="1"/>
  <c r="N25" i="18"/>
  <c r="H39" i="58" s="1"/>
  <c r="N23" i="18"/>
  <c r="H34" i="58" s="1"/>
  <c r="N21" i="18"/>
  <c r="N19" i="18"/>
  <c r="G19" i="51" s="1"/>
  <c r="N17" i="18"/>
  <c r="G35" i="24" s="1"/>
  <c r="N15" i="18"/>
  <c r="N13" i="18"/>
  <c r="G27" i="24" s="1"/>
  <c r="N11" i="18"/>
  <c r="N9" i="18"/>
  <c r="G20" i="51" s="1"/>
  <c r="G2" i="52"/>
  <c r="E2" i="52"/>
  <c r="A2" i="52"/>
  <c r="F28" i="51"/>
  <c r="E28" i="51"/>
  <c r="D28" i="51"/>
  <c r="C28" i="51"/>
  <c r="B28" i="51"/>
  <c r="F32" i="51"/>
  <c r="E32" i="51"/>
  <c r="D32" i="51"/>
  <c r="C32" i="51"/>
  <c r="B32" i="51"/>
  <c r="F25" i="51"/>
  <c r="E25" i="51"/>
  <c r="D25" i="51"/>
  <c r="C25" i="51"/>
  <c r="B25" i="51"/>
  <c r="F31" i="51"/>
  <c r="E31" i="51"/>
  <c r="D31" i="51"/>
  <c r="C31" i="51"/>
  <c r="B31" i="51"/>
  <c r="F24" i="51"/>
  <c r="E24" i="51"/>
  <c r="D24" i="51"/>
  <c r="C24" i="51"/>
  <c r="B24" i="51"/>
  <c r="F26" i="51"/>
  <c r="E26" i="51"/>
  <c r="D26" i="51"/>
  <c r="C26" i="51"/>
  <c r="B26" i="51"/>
  <c r="F43" i="51"/>
  <c r="E43" i="51"/>
  <c r="D43" i="51"/>
  <c r="C43" i="51"/>
  <c r="B43" i="51"/>
  <c r="F29" i="51"/>
  <c r="E29" i="51"/>
  <c r="D29" i="51"/>
  <c r="C29" i="51"/>
  <c r="B29" i="51"/>
  <c r="F38" i="51"/>
  <c r="E38" i="51"/>
  <c r="D38" i="51"/>
  <c r="C38" i="51"/>
  <c r="B38" i="51"/>
  <c r="F39" i="51"/>
  <c r="E39" i="51"/>
  <c r="D39" i="51"/>
  <c r="C39" i="51"/>
  <c r="B39" i="51"/>
  <c r="F27" i="51"/>
  <c r="E27" i="51"/>
  <c r="D27" i="51"/>
  <c r="C27" i="51"/>
  <c r="B27" i="51"/>
  <c r="G40" i="51"/>
  <c r="F40" i="51"/>
  <c r="E40" i="51"/>
  <c r="D40" i="51"/>
  <c r="C40" i="51"/>
  <c r="B40" i="51"/>
  <c r="F33" i="51"/>
  <c r="E33" i="51"/>
  <c r="D33" i="51"/>
  <c r="C33" i="51"/>
  <c r="B33" i="51"/>
  <c r="F41" i="51"/>
  <c r="E41" i="51"/>
  <c r="D41" i="51"/>
  <c r="C41" i="51"/>
  <c r="B41" i="51"/>
  <c r="G34" i="51"/>
  <c r="F34" i="51"/>
  <c r="E34" i="51"/>
  <c r="D34" i="51"/>
  <c r="C34" i="51"/>
  <c r="B34" i="51"/>
  <c r="F35" i="51"/>
  <c r="E35" i="51"/>
  <c r="D35" i="51"/>
  <c r="C35" i="51"/>
  <c r="B35" i="51"/>
  <c r="F36" i="51"/>
  <c r="E36" i="51"/>
  <c r="D36" i="51"/>
  <c r="C36" i="51"/>
  <c r="B36" i="51"/>
  <c r="G42" i="51"/>
  <c r="F42" i="51"/>
  <c r="E42" i="51"/>
  <c r="D42" i="51"/>
  <c r="C42" i="51"/>
  <c r="B42" i="51"/>
  <c r="F6" i="51"/>
  <c r="E6" i="51"/>
  <c r="D6" i="51"/>
  <c r="C6" i="51"/>
  <c r="B6" i="51"/>
  <c r="F37" i="51"/>
  <c r="E37" i="51"/>
  <c r="D37" i="51"/>
  <c r="C37" i="51"/>
  <c r="B37" i="51"/>
  <c r="F14" i="51"/>
  <c r="E14" i="51"/>
  <c r="D14" i="51"/>
  <c r="C14" i="51"/>
  <c r="B14" i="51"/>
  <c r="F13" i="51"/>
  <c r="E13" i="51"/>
  <c r="D13" i="51"/>
  <c r="C13" i="51"/>
  <c r="B13" i="51"/>
  <c r="F12" i="51"/>
  <c r="E12" i="51"/>
  <c r="D12" i="51"/>
  <c r="C12" i="51"/>
  <c r="B12" i="51"/>
  <c r="F9" i="51"/>
  <c r="E9" i="51"/>
  <c r="D9" i="51"/>
  <c r="C9" i="51"/>
  <c r="B9" i="51"/>
  <c r="F8" i="51"/>
  <c r="E8" i="51"/>
  <c r="D8" i="51"/>
  <c r="C8" i="51"/>
  <c r="B8" i="51"/>
  <c r="F5" i="51"/>
  <c r="E5" i="51"/>
  <c r="D5" i="51"/>
  <c r="C5" i="51"/>
  <c r="B5" i="51"/>
  <c r="G17" i="51"/>
  <c r="F17" i="51"/>
  <c r="E17" i="51"/>
  <c r="D17" i="51"/>
  <c r="C17" i="51"/>
  <c r="B17" i="51"/>
  <c r="F21" i="51"/>
  <c r="E21" i="51"/>
  <c r="D21" i="51"/>
  <c r="C21" i="51"/>
  <c r="B21" i="51"/>
  <c r="F18" i="51"/>
  <c r="E18" i="51"/>
  <c r="D18" i="51"/>
  <c r="C18" i="51"/>
  <c r="B18" i="51"/>
  <c r="G7" i="51"/>
  <c r="F7" i="51"/>
  <c r="E7" i="51"/>
  <c r="D7" i="51"/>
  <c r="C7" i="51"/>
  <c r="B7" i="51"/>
  <c r="F19" i="51"/>
  <c r="E19" i="51"/>
  <c r="D19" i="51"/>
  <c r="C19" i="51"/>
  <c r="B19" i="51"/>
  <c r="F15" i="51"/>
  <c r="D15" i="51"/>
  <c r="C15" i="51"/>
  <c r="B15" i="51"/>
  <c r="F16" i="51"/>
  <c r="E16" i="51"/>
  <c r="D16" i="51"/>
  <c r="C16" i="51"/>
  <c r="B16" i="51"/>
  <c r="F11" i="51"/>
  <c r="E11" i="51"/>
  <c r="D11" i="51"/>
  <c r="C11" i="51"/>
  <c r="B11" i="51"/>
  <c r="G10" i="51"/>
  <c r="F10" i="51"/>
  <c r="E10" i="51"/>
  <c r="D10" i="51"/>
  <c r="C10" i="51"/>
  <c r="B10" i="51"/>
  <c r="F20" i="51"/>
  <c r="E20" i="51"/>
  <c r="D20" i="51"/>
  <c r="C20" i="51"/>
  <c r="B20" i="51"/>
  <c r="G2" i="51"/>
  <c r="E2" i="51"/>
  <c r="A2" i="51"/>
  <c r="D39" i="24"/>
  <c r="D85" i="24"/>
  <c r="D64" i="24"/>
  <c r="D61" i="24"/>
  <c r="D86" i="24"/>
  <c r="D66" i="24"/>
  <c r="D22" i="24"/>
  <c r="B39" i="24"/>
  <c r="C39" i="24"/>
  <c r="E39" i="24"/>
  <c r="F39" i="24"/>
  <c r="B85" i="24"/>
  <c r="C85" i="24"/>
  <c r="E85" i="24"/>
  <c r="F85" i="24"/>
  <c r="B64" i="24"/>
  <c r="C64" i="24"/>
  <c r="E64" i="24"/>
  <c r="F64" i="24"/>
  <c r="B61" i="24"/>
  <c r="C61" i="24"/>
  <c r="E61" i="24"/>
  <c r="F61" i="24"/>
  <c r="B86" i="24"/>
  <c r="C86" i="24"/>
  <c r="E86" i="24"/>
  <c r="F86" i="24"/>
  <c r="B66" i="24"/>
  <c r="C66" i="24"/>
  <c r="E66" i="24"/>
  <c r="F66" i="24"/>
  <c r="N9" i="45"/>
  <c r="O9" i="45"/>
  <c r="H22" i="24" s="1"/>
  <c r="F22" i="24"/>
  <c r="E22" i="24"/>
  <c r="B22" i="24"/>
  <c r="C22" i="24"/>
  <c r="B69" i="24"/>
  <c r="C69" i="24"/>
  <c r="D69" i="24"/>
  <c r="E69" i="24"/>
  <c r="F69" i="24"/>
  <c r="B81" i="24"/>
  <c r="C81" i="24"/>
  <c r="D81" i="24"/>
  <c r="E81" i="24"/>
  <c r="F81" i="24"/>
  <c r="B74" i="24"/>
  <c r="C74" i="24"/>
  <c r="D74" i="24"/>
  <c r="E74" i="24"/>
  <c r="F74" i="24"/>
  <c r="B72" i="24"/>
  <c r="C72" i="24"/>
  <c r="D72" i="24"/>
  <c r="E72" i="24"/>
  <c r="F72" i="24"/>
  <c r="B73" i="24"/>
  <c r="C73" i="24"/>
  <c r="D73" i="24"/>
  <c r="E73" i="24"/>
  <c r="F73" i="24"/>
  <c r="B82" i="24"/>
  <c r="C82" i="24"/>
  <c r="D82" i="24"/>
  <c r="E82" i="24"/>
  <c r="F82" i="24"/>
  <c r="B58" i="24"/>
  <c r="C58" i="24"/>
  <c r="D58" i="24"/>
  <c r="E58" i="24"/>
  <c r="F58" i="24"/>
  <c r="B60" i="24"/>
  <c r="C60" i="24"/>
  <c r="D60" i="24"/>
  <c r="E60" i="24"/>
  <c r="F60" i="24"/>
  <c r="B71" i="24"/>
  <c r="C71" i="24"/>
  <c r="D71" i="24"/>
  <c r="E71" i="24"/>
  <c r="F71" i="24"/>
  <c r="F78" i="24"/>
  <c r="F65" i="24"/>
  <c r="F77" i="24"/>
  <c r="F57" i="24"/>
  <c r="F67" i="24"/>
  <c r="F92" i="24"/>
  <c r="F75" i="24"/>
  <c r="F63" i="24"/>
  <c r="E63" i="24"/>
  <c r="D63" i="24"/>
  <c r="C63" i="24"/>
  <c r="B63" i="24"/>
  <c r="B92" i="24"/>
  <c r="C92" i="24"/>
  <c r="D92" i="24"/>
  <c r="E92" i="24"/>
  <c r="B67" i="24"/>
  <c r="C67" i="24"/>
  <c r="D67" i="24"/>
  <c r="E67" i="24"/>
  <c r="B57" i="24"/>
  <c r="C57" i="24"/>
  <c r="D57" i="24"/>
  <c r="E57" i="24"/>
  <c r="B77" i="24"/>
  <c r="C77" i="24"/>
  <c r="D77" i="24"/>
  <c r="E77" i="24"/>
  <c r="B65" i="24"/>
  <c r="C65" i="24"/>
  <c r="D65" i="24"/>
  <c r="E65" i="24"/>
  <c r="B78" i="24"/>
  <c r="C78" i="24"/>
  <c r="D78" i="24"/>
  <c r="E78" i="24"/>
  <c r="E75" i="24"/>
  <c r="D75" i="24"/>
  <c r="C75" i="24"/>
  <c r="B75" i="24"/>
  <c r="B82" i="22"/>
  <c r="C82" i="22"/>
  <c r="D82" i="22"/>
  <c r="E82" i="22"/>
  <c r="F82" i="22"/>
  <c r="G82" i="22"/>
  <c r="B86" i="22"/>
  <c r="C86" i="22"/>
  <c r="D86" i="22"/>
  <c r="E86" i="22"/>
  <c r="F86" i="22"/>
  <c r="G86" i="22"/>
  <c r="B85" i="22"/>
  <c r="C85" i="22"/>
  <c r="D85" i="22"/>
  <c r="E85" i="22"/>
  <c r="F85" i="22"/>
  <c r="G85" i="22"/>
  <c r="B77" i="22"/>
  <c r="C77" i="22"/>
  <c r="D77" i="22"/>
  <c r="E77" i="22"/>
  <c r="F77" i="22"/>
  <c r="G77" i="22"/>
  <c r="B83" i="22"/>
  <c r="C83" i="22"/>
  <c r="D83" i="22"/>
  <c r="E83" i="22"/>
  <c r="F83" i="22"/>
  <c r="G83" i="22"/>
  <c r="B87" i="22"/>
  <c r="C87" i="22"/>
  <c r="D87" i="22"/>
  <c r="E87" i="22"/>
  <c r="F87" i="22"/>
  <c r="G87" i="22"/>
  <c r="B79" i="22"/>
  <c r="C79" i="22"/>
  <c r="D79" i="22"/>
  <c r="E79" i="22"/>
  <c r="F79" i="22"/>
  <c r="G79" i="22"/>
  <c r="B74" i="22"/>
  <c r="C74" i="22"/>
  <c r="D74" i="22"/>
  <c r="E74" i="22"/>
  <c r="F74" i="22"/>
  <c r="G74" i="22"/>
  <c r="B76" i="22"/>
  <c r="C76" i="22"/>
  <c r="D76" i="22"/>
  <c r="E76" i="22"/>
  <c r="F76" i="22"/>
  <c r="G76" i="22"/>
  <c r="G78" i="22"/>
  <c r="F78" i="22"/>
  <c r="E78" i="22"/>
  <c r="D78" i="22"/>
  <c r="C78" i="22"/>
  <c r="B78" i="22"/>
  <c r="B67" i="22"/>
  <c r="C67" i="22"/>
  <c r="D67" i="22"/>
  <c r="E67" i="22"/>
  <c r="F67" i="22"/>
  <c r="G67" i="22"/>
  <c r="B64" i="22"/>
  <c r="C64" i="22"/>
  <c r="D64" i="22"/>
  <c r="E64" i="22"/>
  <c r="F64" i="22"/>
  <c r="G64" i="22"/>
  <c r="B61" i="22"/>
  <c r="C61" i="22"/>
  <c r="D61" i="22"/>
  <c r="E61" i="22"/>
  <c r="F61" i="22"/>
  <c r="G61" i="22"/>
  <c r="B63" i="22"/>
  <c r="C63" i="22"/>
  <c r="D63" i="22"/>
  <c r="E63" i="22"/>
  <c r="F63" i="22"/>
  <c r="G63" i="22"/>
  <c r="B62" i="22"/>
  <c r="C62" i="22"/>
  <c r="D62" i="22"/>
  <c r="E62" i="22"/>
  <c r="F62" i="22"/>
  <c r="G62" i="22"/>
  <c r="B66" i="22"/>
  <c r="C66" i="22"/>
  <c r="D66" i="22"/>
  <c r="E66" i="22"/>
  <c r="F66" i="22"/>
  <c r="G66" i="22"/>
  <c r="G65" i="22"/>
  <c r="F65" i="22"/>
  <c r="E65" i="22"/>
  <c r="D65" i="22"/>
  <c r="C65" i="22"/>
  <c r="B65" i="22"/>
  <c r="C30" i="49"/>
  <c r="C28" i="49"/>
  <c r="C26" i="49"/>
  <c r="C24" i="49"/>
  <c r="C22" i="49"/>
  <c r="C20" i="49"/>
  <c r="C18" i="49"/>
  <c r="C16" i="49"/>
  <c r="C14" i="49"/>
  <c r="C12" i="49"/>
  <c r="C10" i="49"/>
  <c r="C29" i="49"/>
  <c r="C27" i="49"/>
  <c r="C25" i="49"/>
  <c r="C23" i="49"/>
  <c r="C21" i="49"/>
  <c r="C19" i="49"/>
  <c r="C17" i="49"/>
  <c r="C15" i="49"/>
  <c r="C13" i="49"/>
  <c r="C11" i="49"/>
  <c r="C9" i="49"/>
  <c r="C8" i="49"/>
  <c r="C7" i="49"/>
  <c r="C30" i="48"/>
  <c r="C28" i="48"/>
  <c r="C26" i="48"/>
  <c r="C24" i="48"/>
  <c r="C22" i="48"/>
  <c r="C20" i="48"/>
  <c r="C18" i="48"/>
  <c r="C16" i="48"/>
  <c r="C14" i="48"/>
  <c r="C12" i="48"/>
  <c r="C10" i="48"/>
  <c r="C29" i="48"/>
  <c r="C27" i="48"/>
  <c r="C25" i="48"/>
  <c r="C23" i="48"/>
  <c r="C21" i="48"/>
  <c r="C19" i="48"/>
  <c r="C17" i="48"/>
  <c r="C15" i="48"/>
  <c r="C13" i="48"/>
  <c r="C11" i="48"/>
  <c r="C9" i="48"/>
  <c r="C8" i="48"/>
  <c r="C7" i="48"/>
  <c r="O30" i="49"/>
  <c r="N29" i="49"/>
  <c r="U31" i="47" s="1"/>
  <c r="K29" i="49"/>
  <c r="T31" i="47" s="1"/>
  <c r="G29" i="49"/>
  <c r="S31" i="47" s="1"/>
  <c r="O28" i="49"/>
  <c r="N27" i="49"/>
  <c r="U29" i="47" s="1"/>
  <c r="K27" i="49"/>
  <c r="T29" i="47" s="1"/>
  <c r="G27" i="49"/>
  <c r="S29" i="47" s="1"/>
  <c r="O26" i="49"/>
  <c r="N25" i="49"/>
  <c r="U27" i="47" s="1"/>
  <c r="L54" i="58" s="1"/>
  <c r="K25" i="49"/>
  <c r="T27" i="47" s="1"/>
  <c r="K54" i="58" s="1"/>
  <c r="G25" i="49"/>
  <c r="S27" i="47" s="1"/>
  <c r="J54" i="58" s="1"/>
  <c r="O24" i="49"/>
  <c r="N23" i="49"/>
  <c r="U25" i="47" s="1"/>
  <c r="K23" i="49"/>
  <c r="T25" i="47" s="1"/>
  <c r="K51" i="58" s="1"/>
  <c r="G23" i="49"/>
  <c r="S25" i="47" s="1"/>
  <c r="J51" i="58" s="1"/>
  <c r="O22" i="49"/>
  <c r="N21" i="49"/>
  <c r="U23" i="47" s="1"/>
  <c r="L58" i="58" s="1"/>
  <c r="K21" i="49"/>
  <c r="T23" i="47" s="1"/>
  <c r="G21" i="49"/>
  <c r="S23" i="47" s="1"/>
  <c r="J58" i="58" s="1"/>
  <c r="O20" i="49"/>
  <c r="N19" i="49"/>
  <c r="U21" i="47" s="1"/>
  <c r="L78" i="58" s="1"/>
  <c r="K19" i="49"/>
  <c r="T21" i="47" s="1"/>
  <c r="K78" i="58" s="1"/>
  <c r="G19" i="49"/>
  <c r="S21" i="47" s="1"/>
  <c r="J78" i="58" s="1"/>
  <c r="O18" i="49"/>
  <c r="N17" i="49"/>
  <c r="U19" i="47" s="1"/>
  <c r="K17" i="49"/>
  <c r="T19" i="47" s="1"/>
  <c r="K63" i="58" s="1"/>
  <c r="G17" i="49"/>
  <c r="S19" i="47" s="1"/>
  <c r="J63" i="58" s="1"/>
  <c r="O16" i="49"/>
  <c r="N15" i="49"/>
  <c r="U17" i="47" s="1"/>
  <c r="K15" i="49"/>
  <c r="T17" i="47" s="1"/>
  <c r="K77" i="22" s="1"/>
  <c r="G15" i="49"/>
  <c r="S17" i="47" s="1"/>
  <c r="J55" i="58" s="1"/>
  <c r="O14" i="49"/>
  <c r="N13" i="49"/>
  <c r="U15" i="47" s="1"/>
  <c r="L71" i="58" s="1"/>
  <c r="K13" i="49"/>
  <c r="T15" i="47" s="1"/>
  <c r="G13" i="49"/>
  <c r="S15" i="47" s="1"/>
  <c r="J71" i="58" s="1"/>
  <c r="O12" i="49"/>
  <c r="N11" i="49"/>
  <c r="U13" i="47" s="1"/>
  <c r="L76" i="58" s="1"/>
  <c r="K11" i="49"/>
  <c r="T13" i="47" s="1"/>
  <c r="K76" i="58" s="1"/>
  <c r="G11" i="49"/>
  <c r="S13" i="47" s="1"/>
  <c r="J76" i="58" s="1"/>
  <c r="O10" i="49"/>
  <c r="N9" i="49"/>
  <c r="U11" i="47" s="1"/>
  <c r="K9" i="49"/>
  <c r="T11" i="47" s="1"/>
  <c r="G9" i="49"/>
  <c r="S11" i="47" s="1"/>
  <c r="J62" i="58" s="1"/>
  <c r="O8" i="49"/>
  <c r="N7" i="49"/>
  <c r="U9" i="47" s="1"/>
  <c r="L56" i="58" s="1"/>
  <c r="K7" i="49"/>
  <c r="T9" i="47" s="1"/>
  <c r="G7" i="49"/>
  <c r="S9" i="47" s="1"/>
  <c r="J56" i="58" s="1"/>
  <c r="K3" i="49"/>
  <c r="F3" i="49"/>
  <c r="C3" i="49"/>
  <c r="C2" i="49"/>
  <c r="O30" i="48"/>
  <c r="N29" i="48"/>
  <c r="U31" i="46" s="1"/>
  <c r="K29" i="48"/>
  <c r="T31" i="46" s="1"/>
  <c r="T32" i="46" s="1"/>
  <c r="G29" i="48"/>
  <c r="S31" i="46" s="1"/>
  <c r="O28" i="48"/>
  <c r="N27" i="48"/>
  <c r="U29" i="46" s="1"/>
  <c r="K27" i="48"/>
  <c r="T29" i="46" s="1"/>
  <c r="T30" i="46" s="1"/>
  <c r="G27" i="48"/>
  <c r="S29" i="46" s="1"/>
  <c r="O26" i="48"/>
  <c r="N25" i="48"/>
  <c r="U27" i="46" s="1"/>
  <c r="U28" i="46" s="1"/>
  <c r="K25" i="48"/>
  <c r="T27" i="46" s="1"/>
  <c r="T28" i="46" s="1"/>
  <c r="G25" i="48"/>
  <c r="S27" i="46" s="1"/>
  <c r="O24" i="48"/>
  <c r="N23" i="48"/>
  <c r="U25" i="46" s="1"/>
  <c r="K23" i="48"/>
  <c r="T25" i="46" s="1"/>
  <c r="T26" i="46" s="1"/>
  <c r="G23" i="48"/>
  <c r="S25" i="46" s="1"/>
  <c r="O22" i="48"/>
  <c r="N21" i="48"/>
  <c r="U23" i="46" s="1"/>
  <c r="K21" i="48"/>
  <c r="T23" i="46" s="1"/>
  <c r="G21" i="48"/>
  <c r="S23" i="46" s="1"/>
  <c r="O20" i="48"/>
  <c r="N19" i="48"/>
  <c r="U21" i="46" s="1"/>
  <c r="L74" i="58" s="1"/>
  <c r="K19" i="48"/>
  <c r="T21" i="46" s="1"/>
  <c r="G19" i="48"/>
  <c r="S21" i="46" s="1"/>
  <c r="J74" i="58" s="1"/>
  <c r="O18" i="48"/>
  <c r="N17" i="48"/>
  <c r="U19" i="46" s="1"/>
  <c r="L57" i="58" s="1"/>
  <c r="K17" i="48"/>
  <c r="T19" i="46" s="1"/>
  <c r="G17" i="48"/>
  <c r="S19" i="46" s="1"/>
  <c r="J57" i="58" s="1"/>
  <c r="O16" i="48"/>
  <c r="N15" i="48"/>
  <c r="U17" i="46" s="1"/>
  <c r="L59" i="58" s="1"/>
  <c r="K15" i="48"/>
  <c r="T17" i="46" s="1"/>
  <c r="K63" i="22" s="1"/>
  <c r="G15" i="48"/>
  <c r="S17" i="46" s="1"/>
  <c r="J59" i="58" s="1"/>
  <c r="O14" i="48"/>
  <c r="N13" i="48"/>
  <c r="U15" i="46" s="1"/>
  <c r="L52" i="58" s="1"/>
  <c r="K13" i="48"/>
  <c r="T15" i="46" s="1"/>
  <c r="G13" i="48"/>
  <c r="S15" i="46" s="1"/>
  <c r="J52" i="58" s="1"/>
  <c r="O12" i="48"/>
  <c r="N11" i="48"/>
  <c r="U13" i="46" s="1"/>
  <c r="L67" i="58" s="1"/>
  <c r="K11" i="48"/>
  <c r="T13" i="46" s="1"/>
  <c r="G11" i="48"/>
  <c r="S13" i="46" s="1"/>
  <c r="J67" i="58" s="1"/>
  <c r="O10" i="48"/>
  <c r="N9" i="48"/>
  <c r="U11" i="46" s="1"/>
  <c r="L81" i="58" s="1"/>
  <c r="K9" i="48"/>
  <c r="T11" i="46" s="1"/>
  <c r="K67" i="22" s="1"/>
  <c r="G9" i="48"/>
  <c r="S11" i="46" s="1"/>
  <c r="J81" i="58" s="1"/>
  <c r="O8" i="48"/>
  <c r="N7" i="48"/>
  <c r="U9" i="46" s="1"/>
  <c r="L73" i="58" s="1"/>
  <c r="K7" i="48"/>
  <c r="T9" i="46" s="1"/>
  <c r="G7" i="48"/>
  <c r="S9" i="46" s="1"/>
  <c r="J73" i="58" s="1"/>
  <c r="K3" i="48"/>
  <c r="F3" i="48"/>
  <c r="C3" i="48"/>
  <c r="C2" i="48"/>
  <c r="N31" i="47"/>
  <c r="Z31" i="47"/>
  <c r="O31" i="47"/>
  <c r="N29" i="47"/>
  <c r="U30" i="47"/>
  <c r="Z29" i="47"/>
  <c r="O29" i="47"/>
  <c r="N27" i="47"/>
  <c r="H54" i="58" s="1"/>
  <c r="Z27" i="47"/>
  <c r="O27" i="47"/>
  <c r="I54" i="58" s="1"/>
  <c r="N25" i="47"/>
  <c r="H51" i="58" s="1"/>
  <c r="Z25" i="47"/>
  <c r="O25" i="47"/>
  <c r="I51" i="58" s="1"/>
  <c r="N23" i="47"/>
  <c r="H58" i="58" s="1"/>
  <c r="Z23" i="47"/>
  <c r="O23" i="47"/>
  <c r="N21" i="47"/>
  <c r="Z21" i="47"/>
  <c r="O21" i="47"/>
  <c r="I78" i="58" s="1"/>
  <c r="N19" i="47"/>
  <c r="Z19" i="47"/>
  <c r="O19" i="47"/>
  <c r="I63" i="58" s="1"/>
  <c r="N17" i="47"/>
  <c r="H55" i="58" s="1"/>
  <c r="Z17" i="47"/>
  <c r="O17" i="47"/>
  <c r="I55" i="58" s="1"/>
  <c r="N15" i="47"/>
  <c r="H71" i="58" s="1"/>
  <c r="Z15" i="47"/>
  <c r="O15" i="47"/>
  <c r="I71" i="58" s="1"/>
  <c r="N13" i="47"/>
  <c r="Z13" i="47"/>
  <c r="O13" i="47"/>
  <c r="I76" i="58" s="1"/>
  <c r="N11" i="47"/>
  <c r="H62" i="58" s="1"/>
  <c r="Z11" i="47"/>
  <c r="O11" i="47"/>
  <c r="I62" i="58" s="1"/>
  <c r="N9" i="47"/>
  <c r="H56" i="58" s="1"/>
  <c r="Z9" i="47"/>
  <c r="O9" i="47"/>
  <c r="I56" i="58" s="1"/>
  <c r="N31" i="46"/>
  <c r="S32" i="46"/>
  <c r="Z31" i="46"/>
  <c r="O31" i="46"/>
  <c r="N29" i="46"/>
  <c r="Z29" i="46"/>
  <c r="O29" i="46"/>
  <c r="N27" i="46"/>
  <c r="Z27" i="46"/>
  <c r="O27" i="46"/>
  <c r="N25" i="46"/>
  <c r="S26" i="46"/>
  <c r="Z25" i="46"/>
  <c r="O25" i="46"/>
  <c r="N23" i="46"/>
  <c r="Z23" i="46"/>
  <c r="O23" i="46"/>
  <c r="N21" i="46"/>
  <c r="H74" i="58" s="1"/>
  <c r="Z21" i="46"/>
  <c r="O21" i="46"/>
  <c r="I74" i="58" s="1"/>
  <c r="N19" i="46"/>
  <c r="H57" i="58" s="1"/>
  <c r="Z19" i="46"/>
  <c r="O19" i="46"/>
  <c r="N17" i="46"/>
  <c r="H59" i="58" s="1"/>
  <c r="Z17" i="46"/>
  <c r="O17" i="46"/>
  <c r="I59" i="58" s="1"/>
  <c r="N15" i="46"/>
  <c r="Z15" i="46"/>
  <c r="O15" i="46"/>
  <c r="I52" i="58" s="1"/>
  <c r="N13" i="46"/>
  <c r="Z13" i="46"/>
  <c r="O13" i="46"/>
  <c r="I67" i="58" s="1"/>
  <c r="N11" i="46"/>
  <c r="H81" i="58" s="1"/>
  <c r="Z11" i="46"/>
  <c r="O11" i="46"/>
  <c r="N9" i="46"/>
  <c r="H73" i="58" s="1"/>
  <c r="Z9" i="46"/>
  <c r="O9" i="46"/>
  <c r="I73" i="58" s="1"/>
  <c r="V24" i="45"/>
  <c r="N24" i="45"/>
  <c r="P24" i="45" s="1"/>
  <c r="R24" i="45"/>
  <c r="O24" i="45"/>
  <c r="V23" i="45"/>
  <c r="R23" i="45" s="1"/>
  <c r="N23" i="45"/>
  <c r="O23" i="45"/>
  <c r="V22" i="45"/>
  <c r="R22" i="45" s="1"/>
  <c r="N22" i="45"/>
  <c r="P22" i="45" s="1"/>
  <c r="Q22" i="45" s="1"/>
  <c r="O22" i="45"/>
  <c r="V21" i="45"/>
  <c r="R21" i="45" s="1"/>
  <c r="N21" i="45"/>
  <c r="O21" i="45"/>
  <c r="V20" i="45"/>
  <c r="N20" i="45"/>
  <c r="P20" i="45" s="1"/>
  <c r="Q20" i="45" s="1"/>
  <c r="R20" i="45"/>
  <c r="O20" i="45"/>
  <c r="V19" i="45"/>
  <c r="R19" i="45" s="1"/>
  <c r="N19" i="45"/>
  <c r="P19" i="45"/>
  <c r="U19" i="45" s="1"/>
  <c r="O19" i="45"/>
  <c r="V18" i="45"/>
  <c r="R18" i="45" s="1"/>
  <c r="N18" i="45"/>
  <c r="P18" i="45" s="1"/>
  <c r="O18" i="45"/>
  <c r="V17" i="45"/>
  <c r="R17" i="45" s="1"/>
  <c r="N17" i="45"/>
  <c r="O17" i="45"/>
  <c r="V16" i="45"/>
  <c r="N16" i="45"/>
  <c r="V15" i="45"/>
  <c r="N15" i="45"/>
  <c r="O15" i="45"/>
  <c r="V14" i="45"/>
  <c r="N14" i="45"/>
  <c r="O14" i="45"/>
  <c r="V13" i="45"/>
  <c r="N13" i="45"/>
  <c r="O13" i="45"/>
  <c r="V12" i="45"/>
  <c r="N12" i="45"/>
  <c r="O12" i="45"/>
  <c r="V11" i="45"/>
  <c r="N11" i="45"/>
  <c r="G37" i="51" s="1"/>
  <c r="O11" i="45"/>
  <c r="V10" i="45"/>
  <c r="N10" i="45"/>
  <c r="O10" i="45"/>
  <c r="V9" i="45"/>
  <c r="R9" i="45" s="1"/>
  <c r="D45" i="24"/>
  <c r="D37" i="24"/>
  <c r="D42" i="24"/>
  <c r="D38" i="24"/>
  <c r="D21" i="24"/>
  <c r="D40" i="24"/>
  <c r="D35" i="24"/>
  <c r="D36" i="24"/>
  <c r="D27" i="24"/>
  <c r="D26" i="24"/>
  <c r="D41" i="24"/>
  <c r="B45" i="24"/>
  <c r="B37" i="24"/>
  <c r="B42" i="24"/>
  <c r="B38" i="24"/>
  <c r="B21" i="24"/>
  <c r="B40" i="24"/>
  <c r="B35" i="24"/>
  <c r="B36" i="24"/>
  <c r="B27" i="24"/>
  <c r="B26" i="24"/>
  <c r="B41" i="24"/>
  <c r="Z11" i="36"/>
  <c r="Z13" i="36"/>
  <c r="Z15" i="36"/>
  <c r="Z17" i="36"/>
  <c r="Z19" i="36"/>
  <c r="Z21" i="36"/>
  <c r="Z23" i="36"/>
  <c r="Z25" i="36"/>
  <c r="Z27" i="36"/>
  <c r="Z29" i="36"/>
  <c r="Z31" i="36"/>
  <c r="Z9" i="36"/>
  <c r="Z11" i="31"/>
  <c r="Z13" i="31"/>
  <c r="Z15" i="31"/>
  <c r="Z17" i="31"/>
  <c r="Z19" i="31"/>
  <c r="Z21" i="31"/>
  <c r="Z23" i="31"/>
  <c r="Z25" i="31"/>
  <c r="Z27" i="31"/>
  <c r="Z29" i="31"/>
  <c r="Z31" i="31"/>
  <c r="Z9" i="31"/>
  <c r="Z11" i="21"/>
  <c r="Z13" i="21"/>
  <c r="Z15" i="21"/>
  <c r="Z17" i="21"/>
  <c r="Z19" i="21"/>
  <c r="Z21" i="21"/>
  <c r="Z23" i="21"/>
  <c r="Z25" i="21"/>
  <c r="Z27" i="21"/>
  <c r="Z29" i="21"/>
  <c r="R29" i="21" s="1"/>
  <c r="Z31" i="21"/>
  <c r="Z25" i="20"/>
  <c r="Z27" i="20"/>
  <c r="Z29" i="20"/>
  <c r="Z31" i="20"/>
  <c r="Z11" i="20"/>
  <c r="Z13" i="20"/>
  <c r="Z15" i="20"/>
  <c r="Z17" i="20"/>
  <c r="Z19" i="20"/>
  <c r="Z21" i="20"/>
  <c r="Z23" i="20"/>
  <c r="Z9" i="21"/>
  <c r="Z31" i="19"/>
  <c r="Z11" i="19"/>
  <c r="Z13" i="19"/>
  <c r="Z15" i="19"/>
  <c r="Z17" i="19"/>
  <c r="Z19" i="19"/>
  <c r="Z21" i="19"/>
  <c r="Z23" i="19"/>
  <c r="Z25" i="19"/>
  <c r="Z27" i="19"/>
  <c r="Z29" i="19"/>
  <c r="Z9" i="20"/>
  <c r="Z31" i="18"/>
  <c r="Z29" i="18"/>
  <c r="Z15" i="18"/>
  <c r="Z17" i="18"/>
  <c r="Z19" i="18"/>
  <c r="Z21" i="18"/>
  <c r="Z23" i="18"/>
  <c r="Z25" i="18"/>
  <c r="Z27" i="18"/>
  <c r="Z9" i="19"/>
  <c r="Z13" i="18"/>
  <c r="Z11" i="18"/>
  <c r="Z9" i="18"/>
  <c r="G2" i="24"/>
  <c r="G7" i="38"/>
  <c r="S9" i="36" s="1"/>
  <c r="J80" i="58" s="1"/>
  <c r="K7" i="38"/>
  <c r="T9" i="36" s="1"/>
  <c r="K80" i="58" s="1"/>
  <c r="N7" i="38"/>
  <c r="U9" i="36" s="1"/>
  <c r="L80" i="58" s="1"/>
  <c r="O9" i="18"/>
  <c r="S9" i="18"/>
  <c r="J37" i="58" s="1"/>
  <c r="T9" i="18"/>
  <c r="U9" i="18"/>
  <c r="L37" i="58" s="1"/>
  <c r="O31" i="31"/>
  <c r="O29" i="31"/>
  <c r="O27" i="31"/>
  <c r="O25" i="31"/>
  <c r="O23" i="31"/>
  <c r="I15" i="58" s="1"/>
  <c r="O21" i="31"/>
  <c r="I42" i="58" s="1"/>
  <c r="O19" i="31"/>
  <c r="I12" i="58" s="1"/>
  <c r="O17" i="31"/>
  <c r="I6" i="58" s="1"/>
  <c r="O15" i="31"/>
  <c r="O13" i="31"/>
  <c r="O11" i="31"/>
  <c r="I41" i="58" s="1"/>
  <c r="O9" i="31"/>
  <c r="I5" i="58" s="1"/>
  <c r="O31" i="21"/>
  <c r="O29" i="21"/>
  <c r="O27" i="21"/>
  <c r="O25" i="21"/>
  <c r="O23" i="21"/>
  <c r="O21" i="21"/>
  <c r="O19" i="21"/>
  <c r="I11" i="58" s="1"/>
  <c r="O17" i="21"/>
  <c r="I17" i="58" s="1"/>
  <c r="O15" i="21"/>
  <c r="I13" i="58" s="1"/>
  <c r="O13" i="21"/>
  <c r="O11" i="21"/>
  <c r="I21" i="58" s="1"/>
  <c r="O9" i="21"/>
  <c r="O31" i="20"/>
  <c r="O29" i="20"/>
  <c r="O27" i="20"/>
  <c r="O25" i="20"/>
  <c r="O23" i="20"/>
  <c r="O21" i="20"/>
  <c r="I26" i="58" s="1"/>
  <c r="O19" i="20"/>
  <c r="I19" i="58" s="1"/>
  <c r="O17" i="20"/>
  <c r="I20" i="58" s="1"/>
  <c r="O15" i="20"/>
  <c r="I41" i="22" s="1"/>
  <c r="O13" i="20"/>
  <c r="I27" i="58" s="1"/>
  <c r="O11" i="20"/>
  <c r="O9" i="20"/>
  <c r="I10" i="58" s="1"/>
  <c r="O31" i="19"/>
  <c r="O29" i="19"/>
  <c r="O27" i="19"/>
  <c r="O25" i="19"/>
  <c r="O23" i="19"/>
  <c r="O21" i="19"/>
  <c r="O19" i="19"/>
  <c r="I31" i="58" s="1"/>
  <c r="O17" i="19"/>
  <c r="I28" i="58" s="1"/>
  <c r="O15" i="19"/>
  <c r="I29" i="58" s="1"/>
  <c r="O13" i="19"/>
  <c r="I23" i="58" s="1"/>
  <c r="O11" i="19"/>
  <c r="I18" i="58" s="1"/>
  <c r="O9" i="19"/>
  <c r="I9" i="58" s="1"/>
  <c r="O31" i="18"/>
  <c r="I43" i="58" s="1"/>
  <c r="O29" i="18"/>
  <c r="O27" i="18"/>
  <c r="I33" i="58" s="1"/>
  <c r="O25" i="18"/>
  <c r="H42" i="24" s="1"/>
  <c r="O23" i="18"/>
  <c r="I34" i="58" s="1"/>
  <c r="O21" i="18"/>
  <c r="O19" i="18"/>
  <c r="I36" i="58" s="1"/>
  <c r="O17" i="18"/>
  <c r="I32" i="58" s="1"/>
  <c r="O15" i="18"/>
  <c r="I35" i="58" s="1"/>
  <c r="O13" i="18"/>
  <c r="I22" i="58" s="1"/>
  <c r="O11" i="18"/>
  <c r="I25" i="58" s="1"/>
  <c r="E26" i="24"/>
  <c r="E27" i="24"/>
  <c r="E36" i="24"/>
  <c r="E35" i="24"/>
  <c r="E40" i="24"/>
  <c r="E21" i="24"/>
  <c r="E38" i="24"/>
  <c r="E42" i="24"/>
  <c r="E37" i="24"/>
  <c r="E45" i="24"/>
  <c r="E41" i="24"/>
  <c r="G29" i="38"/>
  <c r="S31" i="36" s="1"/>
  <c r="K29" i="38"/>
  <c r="T31" i="36" s="1"/>
  <c r="N29" i="38"/>
  <c r="U31" i="36" s="1"/>
  <c r="U32" i="36" s="1"/>
  <c r="G27" i="38"/>
  <c r="S29" i="36" s="1"/>
  <c r="K27" i="38"/>
  <c r="T29" i="36" s="1"/>
  <c r="N27" i="38"/>
  <c r="U29" i="36" s="1"/>
  <c r="G25" i="38"/>
  <c r="S27" i="36" s="1"/>
  <c r="J75" i="58" s="1"/>
  <c r="K25" i="38"/>
  <c r="T27" i="36" s="1"/>
  <c r="K75" i="58" s="1"/>
  <c r="N25" i="38"/>
  <c r="U27" i="36" s="1"/>
  <c r="L75" i="58" s="1"/>
  <c r="G23" i="38"/>
  <c r="S25" i="36" s="1"/>
  <c r="J77" i="58" s="1"/>
  <c r="K23" i="38"/>
  <c r="T25" i="36" s="1"/>
  <c r="K77" i="58" s="1"/>
  <c r="N23" i="38"/>
  <c r="U25" i="36" s="1"/>
  <c r="G21" i="38"/>
  <c r="S23" i="36" s="1"/>
  <c r="J64" i="58" s="1"/>
  <c r="K21" i="38"/>
  <c r="T23" i="36" s="1"/>
  <c r="K64" i="58" s="1"/>
  <c r="N21" i="38"/>
  <c r="U23" i="36" s="1"/>
  <c r="L64" i="58" s="1"/>
  <c r="G19" i="38"/>
  <c r="S21" i="36" s="1"/>
  <c r="J69" i="58" s="1"/>
  <c r="K19" i="38"/>
  <c r="T21" i="36" s="1"/>
  <c r="K69" i="58" s="1"/>
  <c r="N19" i="38"/>
  <c r="U21" i="36" s="1"/>
  <c r="G17" i="38"/>
  <c r="S19" i="36" s="1"/>
  <c r="J68" i="58" s="1"/>
  <c r="K17" i="38"/>
  <c r="T19" i="36" s="1"/>
  <c r="K68" i="58" s="1"/>
  <c r="N17" i="38"/>
  <c r="U19" i="36" s="1"/>
  <c r="L68" i="58" s="1"/>
  <c r="G15" i="38"/>
  <c r="S17" i="36" s="1"/>
  <c r="J79" i="58" s="1"/>
  <c r="K15" i="38"/>
  <c r="T17" i="36" s="1"/>
  <c r="K79" i="58" s="1"/>
  <c r="N15" i="38"/>
  <c r="U17" i="36" s="1"/>
  <c r="G13" i="38"/>
  <c r="S15" i="36" s="1"/>
  <c r="J65" i="58" s="1"/>
  <c r="K13" i="38"/>
  <c r="T15" i="36" s="1"/>
  <c r="K65" i="58" s="1"/>
  <c r="N13" i="38"/>
  <c r="U15" i="36" s="1"/>
  <c r="L65" i="58" s="1"/>
  <c r="G11" i="38"/>
  <c r="S13" i="36" s="1"/>
  <c r="J72" i="58" s="1"/>
  <c r="K11" i="38"/>
  <c r="T13" i="36" s="1"/>
  <c r="K72" i="58" s="1"/>
  <c r="N11" i="38"/>
  <c r="U13" i="36" s="1"/>
  <c r="G9" i="38"/>
  <c r="S11" i="36" s="1"/>
  <c r="J66" i="58" s="1"/>
  <c r="K9" i="38"/>
  <c r="T11" i="36" s="1"/>
  <c r="K66" i="58" s="1"/>
  <c r="N9" i="38"/>
  <c r="U11" i="36" s="1"/>
  <c r="L66" i="58" s="1"/>
  <c r="G29" i="32"/>
  <c r="S31" i="31" s="1"/>
  <c r="K29" i="32"/>
  <c r="T31" i="31" s="1"/>
  <c r="N29" i="32"/>
  <c r="U31" i="31"/>
  <c r="G27" i="32"/>
  <c r="S29" i="31" s="1"/>
  <c r="K27" i="32"/>
  <c r="T29" i="31" s="1"/>
  <c r="N27" i="32"/>
  <c r="U29" i="31" s="1"/>
  <c r="U30" i="31" s="1"/>
  <c r="G25" i="32"/>
  <c r="S27" i="31" s="1"/>
  <c r="K25" i="32"/>
  <c r="T27" i="31" s="1"/>
  <c r="N25" i="32"/>
  <c r="U27" i="31" s="1"/>
  <c r="G23" i="32"/>
  <c r="S25" i="31" s="1"/>
  <c r="K23" i="32"/>
  <c r="T25" i="31" s="1"/>
  <c r="N23" i="32"/>
  <c r="U25" i="31" s="1"/>
  <c r="G21" i="32"/>
  <c r="S23" i="31" s="1"/>
  <c r="J15" i="58" s="1"/>
  <c r="K21" i="32"/>
  <c r="T23" i="31" s="1"/>
  <c r="K15" i="58" s="1"/>
  <c r="N21" i="32"/>
  <c r="U23" i="31" s="1"/>
  <c r="L15" i="58" s="1"/>
  <c r="G19" i="32"/>
  <c r="S21" i="31" s="1"/>
  <c r="J42" i="58" s="1"/>
  <c r="K19" i="32"/>
  <c r="T21" i="31" s="1"/>
  <c r="K42" i="58" s="1"/>
  <c r="N19" i="32"/>
  <c r="U21" i="31" s="1"/>
  <c r="L42" i="58" s="1"/>
  <c r="G17" i="32"/>
  <c r="S19" i="31" s="1"/>
  <c r="J12" i="58" s="1"/>
  <c r="K17" i="32"/>
  <c r="T19" i="31" s="1"/>
  <c r="K12" i="58" s="1"/>
  <c r="N17" i="32"/>
  <c r="U19" i="31" s="1"/>
  <c r="G15" i="32"/>
  <c r="S17" i="31" s="1"/>
  <c r="J6" i="58" s="1"/>
  <c r="K15" i="32"/>
  <c r="T17" i="31" s="1"/>
  <c r="K6" i="58" s="1"/>
  <c r="N15" i="32"/>
  <c r="U17" i="31" s="1"/>
  <c r="L6" i="58" s="1"/>
  <c r="G13" i="32"/>
  <c r="S15" i="31" s="1"/>
  <c r="J7" i="58" s="1"/>
  <c r="K13" i="32"/>
  <c r="T15" i="31" s="1"/>
  <c r="K7" i="58" s="1"/>
  <c r="N13" i="32"/>
  <c r="U15" i="31" s="1"/>
  <c r="L7" i="58" s="1"/>
  <c r="G11" i="32"/>
  <c r="S13" i="31" s="1"/>
  <c r="J40" i="58" s="1"/>
  <c r="K11" i="32"/>
  <c r="T13" i="31" s="1"/>
  <c r="N11" i="32"/>
  <c r="U13" i="31" s="1"/>
  <c r="L40" i="58" s="1"/>
  <c r="G9" i="32"/>
  <c r="S11" i="31" s="1"/>
  <c r="J41" i="58" s="1"/>
  <c r="K9" i="32"/>
  <c r="T11" i="31" s="1"/>
  <c r="K41" i="58" s="1"/>
  <c r="N9" i="32"/>
  <c r="U11" i="31" s="1"/>
  <c r="G7" i="32"/>
  <c r="S9" i="31" s="1"/>
  <c r="J5" i="58" s="1"/>
  <c r="K7" i="32"/>
  <c r="T9" i="31" s="1"/>
  <c r="K5" i="58" s="1"/>
  <c r="N7" i="32"/>
  <c r="U9" i="31" s="1"/>
  <c r="L5" i="58" s="1"/>
  <c r="G29" i="29"/>
  <c r="S31" i="21" s="1"/>
  <c r="K29" i="29"/>
  <c r="T31" i="21" s="1"/>
  <c r="N29" i="29"/>
  <c r="U31" i="21"/>
  <c r="G27" i="29"/>
  <c r="S29" i="21" s="1"/>
  <c r="K27" i="29"/>
  <c r="T29" i="21" s="1"/>
  <c r="T30" i="21" s="1"/>
  <c r="N27" i="29"/>
  <c r="U29" i="21" s="1"/>
  <c r="U30" i="21" s="1"/>
  <c r="G25" i="29"/>
  <c r="S27" i="21" s="1"/>
  <c r="K25" i="29"/>
  <c r="T27" i="21" s="1"/>
  <c r="N25" i="29"/>
  <c r="U27" i="21" s="1"/>
  <c r="G23" i="29"/>
  <c r="S25" i="21" s="1"/>
  <c r="K23" i="29"/>
  <c r="T25" i="21" s="1"/>
  <c r="N23" i="29"/>
  <c r="U25" i="21" s="1"/>
  <c r="G21" i="29"/>
  <c r="S23" i="21" s="1"/>
  <c r="K21" i="29"/>
  <c r="T23" i="21" s="1"/>
  <c r="N21" i="29"/>
  <c r="U23" i="21" s="1"/>
  <c r="S21" i="21"/>
  <c r="J16" i="58" s="1"/>
  <c r="T21" i="21"/>
  <c r="K16" i="58" s="1"/>
  <c r="U21" i="21"/>
  <c r="L16" i="58" s="1"/>
  <c r="S19" i="21"/>
  <c r="J11" i="58" s="1"/>
  <c r="T19" i="21"/>
  <c r="K11" i="58" s="1"/>
  <c r="U19" i="21"/>
  <c r="L11" i="58" s="1"/>
  <c r="S17" i="21"/>
  <c r="J17" i="58" s="1"/>
  <c r="T17" i="21"/>
  <c r="K17" i="58" s="1"/>
  <c r="U17" i="21"/>
  <c r="L17" i="58" s="1"/>
  <c r="S15" i="21"/>
  <c r="J13" i="58" s="1"/>
  <c r="T15" i="21"/>
  <c r="K13" i="58" s="1"/>
  <c r="U15" i="21"/>
  <c r="L13" i="58" s="1"/>
  <c r="S13" i="21"/>
  <c r="J38" i="58" s="1"/>
  <c r="T13" i="21"/>
  <c r="K38" i="58" s="1"/>
  <c r="U13" i="21"/>
  <c r="L38" i="58" s="1"/>
  <c r="S11" i="21"/>
  <c r="J21" i="58" s="1"/>
  <c r="T11" i="21"/>
  <c r="K21" i="58" s="1"/>
  <c r="U11" i="21"/>
  <c r="L21" i="58" s="1"/>
  <c r="S9" i="21"/>
  <c r="J8" i="58" s="1"/>
  <c r="T9" i="21"/>
  <c r="K8" i="58" s="1"/>
  <c r="U9" i="21"/>
  <c r="L8" i="58" s="1"/>
  <c r="G29" i="27"/>
  <c r="S31" i="19" s="1"/>
  <c r="K29" i="27"/>
  <c r="T31" i="19" s="1"/>
  <c r="N29" i="27"/>
  <c r="U31" i="19" s="1"/>
  <c r="G27" i="27"/>
  <c r="S29" i="19" s="1"/>
  <c r="K27" i="27"/>
  <c r="T29" i="19" s="1"/>
  <c r="N27" i="27"/>
  <c r="U29" i="19" s="1"/>
  <c r="G25" i="27"/>
  <c r="S27" i="19" s="1"/>
  <c r="K25" i="27"/>
  <c r="T27" i="19" s="1"/>
  <c r="N25" i="27"/>
  <c r="U27" i="19" s="1"/>
  <c r="G23" i="27"/>
  <c r="S25" i="19" s="1"/>
  <c r="K23" i="27"/>
  <c r="T25" i="19" s="1"/>
  <c r="N23" i="27"/>
  <c r="U25" i="19" s="1"/>
  <c r="G21" i="27"/>
  <c r="S23" i="19" s="1"/>
  <c r="K21" i="27"/>
  <c r="T23" i="19" s="1"/>
  <c r="N21" i="27"/>
  <c r="U23" i="19" s="1"/>
  <c r="G19" i="27"/>
  <c r="S21" i="19" s="1"/>
  <c r="K19" i="27"/>
  <c r="T21" i="19" s="1"/>
  <c r="N19" i="27"/>
  <c r="U21" i="19" s="1"/>
  <c r="S19" i="19"/>
  <c r="J31" i="58" s="1"/>
  <c r="T19" i="19"/>
  <c r="K31" i="58" s="1"/>
  <c r="U19" i="19"/>
  <c r="L31" i="58" s="1"/>
  <c r="S17" i="19"/>
  <c r="J28" i="58" s="1"/>
  <c r="T17" i="19"/>
  <c r="K28" i="58" s="1"/>
  <c r="U17" i="19"/>
  <c r="L28" i="58" s="1"/>
  <c r="S15" i="19"/>
  <c r="J29" i="58" s="1"/>
  <c r="T15" i="19"/>
  <c r="K29" i="58" s="1"/>
  <c r="U15" i="19"/>
  <c r="L29" i="58" s="1"/>
  <c r="S13" i="19"/>
  <c r="J23" i="58" s="1"/>
  <c r="T13" i="19"/>
  <c r="K23" i="58" s="1"/>
  <c r="U13" i="19"/>
  <c r="L23" i="58" s="1"/>
  <c r="S11" i="19"/>
  <c r="J18" i="58" s="1"/>
  <c r="T11" i="19"/>
  <c r="K18" i="58" s="1"/>
  <c r="U11" i="19"/>
  <c r="L18" i="58" s="1"/>
  <c r="S9" i="19"/>
  <c r="J9" i="58" s="1"/>
  <c r="T9" i="19"/>
  <c r="K9" i="58" s="1"/>
  <c r="U9" i="19"/>
  <c r="L9" i="58" s="1"/>
  <c r="G29" i="28"/>
  <c r="S31" i="20" s="1"/>
  <c r="K29" i="28"/>
  <c r="T31" i="20" s="1"/>
  <c r="N29" i="28"/>
  <c r="U31" i="20" s="1"/>
  <c r="G27" i="28"/>
  <c r="S29" i="20" s="1"/>
  <c r="K27" i="28"/>
  <c r="T29" i="20" s="1"/>
  <c r="N27" i="28"/>
  <c r="U29" i="20" s="1"/>
  <c r="G25" i="28"/>
  <c r="S27" i="20" s="1"/>
  <c r="K25" i="28"/>
  <c r="T27" i="20" s="1"/>
  <c r="N25" i="28"/>
  <c r="U27" i="20" s="1"/>
  <c r="G23" i="28"/>
  <c r="S25" i="20" s="1"/>
  <c r="K23" i="28"/>
  <c r="T25" i="20" s="1"/>
  <c r="N23" i="28"/>
  <c r="U25" i="20" s="1"/>
  <c r="G21" i="28"/>
  <c r="S23" i="20" s="1"/>
  <c r="K21" i="28"/>
  <c r="T23" i="20" s="1"/>
  <c r="N21" i="28"/>
  <c r="U23" i="20" s="1"/>
  <c r="S21" i="20"/>
  <c r="J26" i="58" s="1"/>
  <c r="T21" i="20"/>
  <c r="U21" i="20"/>
  <c r="L26" i="58" s="1"/>
  <c r="S19" i="20"/>
  <c r="J19" i="58" s="1"/>
  <c r="T19" i="20"/>
  <c r="K19" i="58" s="1"/>
  <c r="U19" i="20"/>
  <c r="L19" i="58" s="1"/>
  <c r="S17" i="20"/>
  <c r="J20" i="58" s="1"/>
  <c r="T17" i="20"/>
  <c r="K20" i="58" s="1"/>
  <c r="U17" i="20"/>
  <c r="L20" i="58" s="1"/>
  <c r="S15" i="20"/>
  <c r="J30" i="58" s="1"/>
  <c r="T15" i="20"/>
  <c r="K30" i="58" s="1"/>
  <c r="U15" i="20"/>
  <c r="L30" i="58" s="1"/>
  <c r="S13" i="20"/>
  <c r="J27" i="58" s="1"/>
  <c r="T13" i="20"/>
  <c r="U13" i="20"/>
  <c r="L27" i="58" s="1"/>
  <c r="S11" i="20"/>
  <c r="J24" i="58" s="1"/>
  <c r="T11" i="20"/>
  <c r="K24" i="58" s="1"/>
  <c r="U11" i="20"/>
  <c r="L24" i="58" s="1"/>
  <c r="S9" i="20"/>
  <c r="J10" i="58" s="1"/>
  <c r="T9" i="20"/>
  <c r="K10" i="58" s="1"/>
  <c r="U9" i="20"/>
  <c r="L10" i="58" s="1"/>
  <c r="G29" i="26"/>
  <c r="S31" i="18" s="1"/>
  <c r="J43" i="58" s="1"/>
  <c r="K29" i="26"/>
  <c r="T31" i="18" s="1"/>
  <c r="K43" i="58" s="1"/>
  <c r="N29" i="26"/>
  <c r="U31" i="18" s="1"/>
  <c r="L43" i="58" s="1"/>
  <c r="G27" i="26"/>
  <c r="S29" i="18" s="1"/>
  <c r="K27" i="26"/>
  <c r="T29" i="18" s="1"/>
  <c r="T30" i="18" s="1"/>
  <c r="N27" i="26"/>
  <c r="U29" i="18" s="1"/>
  <c r="S27" i="18"/>
  <c r="J33" i="58" s="1"/>
  <c r="T27" i="18"/>
  <c r="K33" i="58" s="1"/>
  <c r="U27" i="18"/>
  <c r="L33" i="58" s="1"/>
  <c r="S25" i="18"/>
  <c r="J39" i="58" s="1"/>
  <c r="T25" i="18"/>
  <c r="K39" i="58" s="1"/>
  <c r="U25" i="18"/>
  <c r="L39" i="58" s="1"/>
  <c r="S23" i="18"/>
  <c r="J34" i="58" s="1"/>
  <c r="T23" i="18"/>
  <c r="K34" i="58" s="1"/>
  <c r="U23" i="18"/>
  <c r="L34" i="58" s="1"/>
  <c r="S21" i="18"/>
  <c r="J14" i="58" s="1"/>
  <c r="T21" i="18"/>
  <c r="U21" i="18"/>
  <c r="L14" i="58" s="1"/>
  <c r="S17" i="18"/>
  <c r="J32" i="58" s="1"/>
  <c r="T17" i="18"/>
  <c r="K32" i="58" s="1"/>
  <c r="U17" i="18"/>
  <c r="L32" i="58" s="1"/>
  <c r="S15" i="18"/>
  <c r="J35" i="58" s="1"/>
  <c r="T15" i="18"/>
  <c r="K35" i="58" s="1"/>
  <c r="U15" i="18"/>
  <c r="L35" i="58" s="1"/>
  <c r="S19" i="18"/>
  <c r="J36" i="58" s="1"/>
  <c r="T19" i="18"/>
  <c r="K36" i="58" s="1"/>
  <c r="U19" i="18"/>
  <c r="L36" i="58" s="1"/>
  <c r="S13" i="18"/>
  <c r="J22" i="58" s="1"/>
  <c r="T13" i="18"/>
  <c r="K22" i="58" s="1"/>
  <c r="U13" i="18"/>
  <c r="L22" i="58" s="1"/>
  <c r="S11" i="18"/>
  <c r="J25" i="58" s="1"/>
  <c r="T11" i="18"/>
  <c r="K25" i="58" s="1"/>
  <c r="U11" i="18"/>
  <c r="L25" i="58" s="1"/>
  <c r="B50" i="22"/>
  <c r="C50" i="22"/>
  <c r="D50" i="22"/>
  <c r="E50" i="22"/>
  <c r="F50" i="22"/>
  <c r="G50" i="22"/>
  <c r="B51" i="22"/>
  <c r="C51" i="22"/>
  <c r="D51" i="22"/>
  <c r="E51" i="22"/>
  <c r="F51" i="22"/>
  <c r="G51" i="22"/>
  <c r="I51" i="22"/>
  <c r="B49" i="22"/>
  <c r="C49" i="22"/>
  <c r="D49" i="22"/>
  <c r="E49" i="22"/>
  <c r="F49" i="22"/>
  <c r="G49" i="22"/>
  <c r="H49" i="22"/>
  <c r="B52" i="22"/>
  <c r="C52" i="22"/>
  <c r="D52" i="22"/>
  <c r="E52" i="22"/>
  <c r="F52" i="22"/>
  <c r="G52" i="22"/>
  <c r="H52" i="22"/>
  <c r="B56" i="22"/>
  <c r="C56" i="22"/>
  <c r="D56" i="22"/>
  <c r="E56" i="22"/>
  <c r="F56" i="22"/>
  <c r="G56" i="22"/>
  <c r="B57" i="22"/>
  <c r="C57" i="22"/>
  <c r="D57" i="22"/>
  <c r="E57" i="22"/>
  <c r="F57" i="22"/>
  <c r="G57" i="22"/>
  <c r="I57" i="22"/>
  <c r="B55" i="22"/>
  <c r="C55" i="22"/>
  <c r="D55" i="22"/>
  <c r="E55" i="22"/>
  <c r="F55" i="22"/>
  <c r="G55" i="22"/>
  <c r="H55" i="22"/>
  <c r="I55" i="22"/>
  <c r="B59" i="22"/>
  <c r="C59" i="22"/>
  <c r="D59" i="22"/>
  <c r="E59" i="22"/>
  <c r="F59" i="22"/>
  <c r="G59" i="22"/>
  <c r="H59" i="22"/>
  <c r="B58" i="22"/>
  <c r="C58" i="22"/>
  <c r="D58" i="22"/>
  <c r="E58" i="22"/>
  <c r="F58" i="22"/>
  <c r="G58" i="22"/>
  <c r="G53" i="22"/>
  <c r="B84" i="24"/>
  <c r="C84" i="24"/>
  <c r="D84" i="24"/>
  <c r="E84" i="24"/>
  <c r="F84" i="24"/>
  <c r="B83" i="24"/>
  <c r="C83" i="24"/>
  <c r="D83" i="24"/>
  <c r="E83" i="24"/>
  <c r="F83" i="24"/>
  <c r="H83" i="24"/>
  <c r="B80" i="24"/>
  <c r="C80" i="24"/>
  <c r="D80" i="24"/>
  <c r="E80" i="24"/>
  <c r="F80" i="24"/>
  <c r="G80" i="24"/>
  <c r="B90" i="24"/>
  <c r="C90" i="24"/>
  <c r="D90" i="24"/>
  <c r="E90" i="24"/>
  <c r="F90" i="24"/>
  <c r="H90" i="24"/>
  <c r="B79" i="24"/>
  <c r="C79" i="24"/>
  <c r="D79" i="24"/>
  <c r="E79" i="24"/>
  <c r="F79" i="24"/>
  <c r="B89" i="24"/>
  <c r="C89" i="24"/>
  <c r="D89" i="24"/>
  <c r="E89" i="24"/>
  <c r="F89" i="24"/>
  <c r="G89" i="24"/>
  <c r="H89" i="24"/>
  <c r="B70" i="24"/>
  <c r="C70" i="24"/>
  <c r="D70" i="24"/>
  <c r="E70" i="24"/>
  <c r="F70" i="24"/>
  <c r="G70" i="24"/>
  <c r="H70" i="24"/>
  <c r="B88" i="24"/>
  <c r="C88" i="24"/>
  <c r="D88" i="24"/>
  <c r="E88" i="24"/>
  <c r="F88" i="24"/>
  <c r="G88" i="24"/>
  <c r="B87" i="24"/>
  <c r="C87" i="24"/>
  <c r="D87" i="24"/>
  <c r="E87" i="24"/>
  <c r="F87" i="24"/>
  <c r="H91" i="24"/>
  <c r="G91" i="24"/>
  <c r="F91" i="24"/>
  <c r="E91" i="24"/>
  <c r="D91" i="24"/>
  <c r="C91" i="24"/>
  <c r="B91" i="24"/>
  <c r="B5" i="24"/>
  <c r="C5" i="24"/>
  <c r="D5" i="24"/>
  <c r="E5" i="24"/>
  <c r="F5" i="24"/>
  <c r="G5" i="24"/>
  <c r="H5" i="24"/>
  <c r="B44" i="24"/>
  <c r="C44" i="24"/>
  <c r="D44" i="24"/>
  <c r="E44" i="24"/>
  <c r="F44" i="24"/>
  <c r="B9" i="24"/>
  <c r="C9" i="24"/>
  <c r="D9" i="24"/>
  <c r="E9" i="24"/>
  <c r="F9" i="24"/>
  <c r="G9" i="24"/>
  <c r="H9" i="24"/>
  <c r="B7" i="24"/>
  <c r="C7" i="24"/>
  <c r="D7" i="24"/>
  <c r="E7" i="24"/>
  <c r="F7" i="24"/>
  <c r="G7" i="24"/>
  <c r="B11" i="24"/>
  <c r="C11" i="24"/>
  <c r="D11" i="24"/>
  <c r="E11" i="24"/>
  <c r="F11" i="24"/>
  <c r="H11" i="24"/>
  <c r="B13" i="24"/>
  <c r="C13" i="24"/>
  <c r="D13" i="24"/>
  <c r="E13" i="24"/>
  <c r="F13" i="24"/>
  <c r="B15" i="24"/>
  <c r="C15" i="24"/>
  <c r="D15" i="24"/>
  <c r="E15" i="24"/>
  <c r="F15" i="24"/>
  <c r="G15" i="24"/>
  <c r="H15" i="24"/>
  <c r="G6" i="24"/>
  <c r="F6" i="24"/>
  <c r="E6" i="24"/>
  <c r="D6" i="24"/>
  <c r="C6" i="24"/>
  <c r="B6" i="24"/>
  <c r="B20" i="24"/>
  <c r="C20" i="24"/>
  <c r="D20" i="24"/>
  <c r="E20" i="24"/>
  <c r="F20" i="24"/>
  <c r="G20" i="24"/>
  <c r="B43" i="24"/>
  <c r="C43" i="24"/>
  <c r="D43" i="24"/>
  <c r="E43" i="24"/>
  <c r="F43" i="24"/>
  <c r="G43" i="24"/>
  <c r="B17" i="24"/>
  <c r="C17" i="24"/>
  <c r="D17" i="24"/>
  <c r="E17" i="24"/>
  <c r="F17" i="24"/>
  <c r="G17" i="24"/>
  <c r="B16" i="24"/>
  <c r="C16" i="24"/>
  <c r="D16" i="24"/>
  <c r="E16" i="24"/>
  <c r="F16" i="24"/>
  <c r="B10" i="24"/>
  <c r="C10" i="24"/>
  <c r="D10" i="24"/>
  <c r="E10" i="24"/>
  <c r="F10" i="24"/>
  <c r="G10" i="24"/>
  <c r="B18" i="24"/>
  <c r="C18" i="24"/>
  <c r="D18" i="24"/>
  <c r="E18" i="24"/>
  <c r="F18" i="24"/>
  <c r="B8" i="24"/>
  <c r="C8" i="24"/>
  <c r="D8" i="24"/>
  <c r="E8" i="24"/>
  <c r="F8" i="24"/>
  <c r="B28" i="24"/>
  <c r="C28" i="24"/>
  <c r="D28" i="24"/>
  <c r="E28" i="24"/>
  <c r="F28" i="24"/>
  <c r="G28" i="24"/>
  <c r="H28" i="24"/>
  <c r="B31" i="24"/>
  <c r="C31" i="24"/>
  <c r="D31" i="24"/>
  <c r="E31" i="24"/>
  <c r="F31" i="24"/>
  <c r="G31" i="24"/>
  <c r="B33" i="24"/>
  <c r="C33" i="24"/>
  <c r="D33" i="24"/>
  <c r="E33" i="24"/>
  <c r="F33" i="24"/>
  <c r="H33" i="24"/>
  <c r="B19" i="24"/>
  <c r="C19" i="24"/>
  <c r="D19" i="24"/>
  <c r="E19" i="24"/>
  <c r="F19" i="24"/>
  <c r="G19" i="24"/>
  <c r="B24" i="24"/>
  <c r="C24" i="24"/>
  <c r="D24" i="24"/>
  <c r="E24" i="24"/>
  <c r="F24" i="24"/>
  <c r="G24" i="24"/>
  <c r="H24" i="24"/>
  <c r="B29" i="24"/>
  <c r="C29" i="24"/>
  <c r="D29" i="24"/>
  <c r="E29" i="24"/>
  <c r="F29" i="24"/>
  <c r="G29" i="24"/>
  <c r="G14" i="24"/>
  <c r="F14" i="24"/>
  <c r="E14" i="24"/>
  <c r="D14" i="24"/>
  <c r="C14" i="24"/>
  <c r="B14" i="24"/>
  <c r="B12" i="24"/>
  <c r="C12" i="24"/>
  <c r="D12" i="24"/>
  <c r="E12" i="24"/>
  <c r="F12" i="24"/>
  <c r="C45" i="24"/>
  <c r="F45" i="24"/>
  <c r="G45" i="24"/>
  <c r="H45" i="24"/>
  <c r="C42" i="24"/>
  <c r="F42" i="24"/>
  <c r="G42" i="24"/>
  <c r="C37" i="24"/>
  <c r="F37" i="24"/>
  <c r="G37" i="24"/>
  <c r="B23" i="24"/>
  <c r="C23" i="24"/>
  <c r="D23" i="24"/>
  <c r="E23" i="24"/>
  <c r="F23" i="24"/>
  <c r="B25" i="24"/>
  <c r="C25" i="24"/>
  <c r="D25" i="24"/>
  <c r="E25" i="24"/>
  <c r="F25" i="24"/>
  <c r="H25" i="24"/>
  <c r="B30" i="24"/>
  <c r="C30" i="24"/>
  <c r="D30" i="24"/>
  <c r="E30" i="24"/>
  <c r="F30" i="24"/>
  <c r="H30" i="24"/>
  <c r="B32" i="24"/>
  <c r="C32" i="24"/>
  <c r="D32" i="24"/>
  <c r="E32" i="24"/>
  <c r="F32" i="24"/>
  <c r="B34" i="24"/>
  <c r="C34" i="24"/>
  <c r="D34" i="24"/>
  <c r="E34" i="24"/>
  <c r="F34" i="24"/>
  <c r="C26" i="24"/>
  <c r="F26" i="24"/>
  <c r="G26" i="24"/>
  <c r="C27" i="24"/>
  <c r="F27" i="24"/>
  <c r="H27" i="24"/>
  <c r="C36" i="24"/>
  <c r="F36" i="24"/>
  <c r="G36" i="24"/>
  <c r="H36" i="24"/>
  <c r="C35" i="24"/>
  <c r="F35" i="24"/>
  <c r="C40" i="24"/>
  <c r="F40" i="24"/>
  <c r="G40" i="24"/>
  <c r="C21" i="24"/>
  <c r="F21" i="24"/>
  <c r="G21" i="24"/>
  <c r="C38" i="24"/>
  <c r="F38" i="24"/>
  <c r="G38" i="24"/>
  <c r="H38" i="24"/>
  <c r="F41" i="24"/>
  <c r="C41" i="24"/>
  <c r="C30" i="38"/>
  <c r="C29" i="38"/>
  <c r="B29" i="38"/>
  <c r="C28" i="38"/>
  <c r="C27" i="38"/>
  <c r="B27" i="38"/>
  <c r="C26" i="38"/>
  <c r="C25" i="38"/>
  <c r="B25" i="38"/>
  <c r="C24" i="38"/>
  <c r="C23" i="38"/>
  <c r="B23" i="38"/>
  <c r="C22" i="38"/>
  <c r="C21" i="38"/>
  <c r="B21" i="38"/>
  <c r="C20" i="38"/>
  <c r="C19" i="38"/>
  <c r="B19" i="38"/>
  <c r="C18" i="38"/>
  <c r="B17" i="38"/>
  <c r="C16" i="38"/>
  <c r="C15" i="38"/>
  <c r="B15" i="38"/>
  <c r="C14" i="38"/>
  <c r="C13" i="38"/>
  <c r="B13" i="38"/>
  <c r="C12" i="38"/>
  <c r="C11" i="38"/>
  <c r="B11" i="38"/>
  <c r="C10" i="38"/>
  <c r="C9" i="38"/>
  <c r="B9" i="38"/>
  <c r="C8" i="38"/>
  <c r="C7" i="38"/>
  <c r="B7" i="38"/>
  <c r="O30" i="38"/>
  <c r="O28" i="38"/>
  <c r="O26" i="38"/>
  <c r="O24" i="38"/>
  <c r="O22" i="38"/>
  <c r="O20" i="38"/>
  <c r="O18" i="38"/>
  <c r="O16" i="38"/>
  <c r="O14" i="38"/>
  <c r="O12" i="38"/>
  <c r="O10" i="38"/>
  <c r="O8" i="38"/>
  <c r="K3" i="38"/>
  <c r="F3" i="38"/>
  <c r="C3" i="38"/>
  <c r="C2" i="38"/>
  <c r="L53" i="22"/>
  <c r="J53" i="22"/>
  <c r="H53" i="22"/>
  <c r="F53" i="22"/>
  <c r="E53" i="22"/>
  <c r="D53" i="22"/>
  <c r="C53" i="22"/>
  <c r="B53" i="22"/>
  <c r="R30" i="21"/>
  <c r="R28" i="21"/>
  <c r="F3" i="32"/>
  <c r="F3" i="29"/>
  <c r="F3" i="28"/>
  <c r="F3" i="27"/>
  <c r="F3" i="26"/>
  <c r="E2" i="24"/>
  <c r="F2" i="22"/>
  <c r="C30" i="32"/>
  <c r="C28" i="32"/>
  <c r="C26" i="32"/>
  <c r="C29" i="32"/>
  <c r="C27" i="32"/>
  <c r="C25" i="32"/>
  <c r="B29" i="32"/>
  <c r="B27" i="32"/>
  <c r="B25" i="32"/>
  <c r="C24" i="32"/>
  <c r="C22" i="32"/>
  <c r="C20" i="32"/>
  <c r="C18" i="32"/>
  <c r="C16" i="32"/>
  <c r="C14" i="32"/>
  <c r="C12" i="32"/>
  <c r="C10" i="32"/>
  <c r="C23" i="32"/>
  <c r="C21" i="32"/>
  <c r="C19" i="32"/>
  <c r="C17" i="32"/>
  <c r="C15" i="32"/>
  <c r="C13" i="32"/>
  <c r="C11" i="32"/>
  <c r="B23" i="32"/>
  <c r="B21" i="32"/>
  <c r="B19" i="32"/>
  <c r="B17" i="32"/>
  <c r="B15" i="32"/>
  <c r="B13" i="32"/>
  <c r="B11" i="32"/>
  <c r="B9" i="32"/>
  <c r="C9" i="32"/>
  <c r="C8" i="32"/>
  <c r="C7" i="32"/>
  <c r="B7" i="32"/>
  <c r="H25" i="22"/>
  <c r="H45" i="22"/>
  <c r="B44" i="22"/>
  <c r="C44" i="22"/>
  <c r="D44" i="22"/>
  <c r="E44" i="22"/>
  <c r="F44" i="22"/>
  <c r="G44" i="22"/>
  <c r="B43" i="22"/>
  <c r="C43" i="22"/>
  <c r="D43" i="22"/>
  <c r="E43" i="22"/>
  <c r="F43" i="22"/>
  <c r="G43" i="22"/>
  <c r="B26" i="22"/>
  <c r="C26" i="22"/>
  <c r="D26" i="22"/>
  <c r="E26" i="22"/>
  <c r="F26" i="22"/>
  <c r="G26" i="22"/>
  <c r="B25" i="22"/>
  <c r="C25" i="22"/>
  <c r="D25" i="22"/>
  <c r="E25" i="22"/>
  <c r="F25" i="22"/>
  <c r="G25" i="22"/>
  <c r="B30" i="22"/>
  <c r="C30" i="22"/>
  <c r="D30" i="22"/>
  <c r="E30" i="22"/>
  <c r="F30" i="22"/>
  <c r="G30" i="22"/>
  <c r="B45" i="22"/>
  <c r="C45" i="22"/>
  <c r="D45" i="22"/>
  <c r="E45" i="22"/>
  <c r="F45" i="22"/>
  <c r="G45" i="22"/>
  <c r="B32" i="22"/>
  <c r="C32" i="22"/>
  <c r="D32" i="22"/>
  <c r="E32" i="22"/>
  <c r="F32" i="22"/>
  <c r="G32" i="22"/>
  <c r="G24" i="22"/>
  <c r="F24" i="22"/>
  <c r="E24" i="22"/>
  <c r="D24" i="22"/>
  <c r="C24" i="22"/>
  <c r="B24" i="22"/>
  <c r="C2" i="32"/>
  <c r="C3" i="32"/>
  <c r="K3" i="32"/>
  <c r="O8" i="32"/>
  <c r="O10" i="32"/>
  <c r="O12" i="32"/>
  <c r="O14" i="32"/>
  <c r="O16" i="32"/>
  <c r="O18" i="32"/>
  <c r="O20" i="32"/>
  <c r="O22" i="32"/>
  <c r="O24" i="32"/>
  <c r="O26" i="32"/>
  <c r="O28" i="32"/>
  <c r="O30" i="32"/>
  <c r="A2" i="22"/>
  <c r="A2" i="24"/>
  <c r="J2" i="22"/>
  <c r="H36" i="22"/>
  <c r="H29" i="22"/>
  <c r="B37" i="22"/>
  <c r="C37" i="22"/>
  <c r="D37" i="22"/>
  <c r="E37" i="22"/>
  <c r="F37" i="22"/>
  <c r="G37" i="22"/>
  <c r="B42" i="22"/>
  <c r="C42" i="22"/>
  <c r="D42" i="22"/>
  <c r="E42" i="22"/>
  <c r="F42" i="22"/>
  <c r="G42" i="22"/>
  <c r="B31" i="22"/>
  <c r="C31" i="22"/>
  <c r="D31" i="22"/>
  <c r="E31" i="22"/>
  <c r="F31" i="22"/>
  <c r="G31" i="22"/>
  <c r="B34" i="22"/>
  <c r="C34" i="22"/>
  <c r="D34" i="22"/>
  <c r="E34" i="22"/>
  <c r="F34" i="22"/>
  <c r="G34" i="22"/>
  <c r="B29" i="22"/>
  <c r="C29" i="22"/>
  <c r="D29" i="22"/>
  <c r="E29" i="22"/>
  <c r="F29" i="22"/>
  <c r="G29" i="22"/>
  <c r="B33" i="22"/>
  <c r="C33" i="22"/>
  <c r="D33" i="22"/>
  <c r="E33" i="22"/>
  <c r="F33" i="22"/>
  <c r="G33" i="22"/>
  <c r="B38" i="22"/>
  <c r="C38" i="22"/>
  <c r="D38" i="22"/>
  <c r="E38" i="22"/>
  <c r="F38" i="22"/>
  <c r="G38" i="22"/>
  <c r="B40" i="22"/>
  <c r="C40" i="22"/>
  <c r="D40" i="22"/>
  <c r="E40" i="22"/>
  <c r="F40" i="22"/>
  <c r="G40" i="22"/>
  <c r="B41" i="22"/>
  <c r="C41" i="22"/>
  <c r="D41" i="22"/>
  <c r="E41" i="22"/>
  <c r="F41" i="22"/>
  <c r="G41" i="22"/>
  <c r="B36" i="22"/>
  <c r="C36" i="22"/>
  <c r="D36" i="22"/>
  <c r="E36" i="22"/>
  <c r="F36" i="22"/>
  <c r="G36" i="22"/>
  <c r="I36" i="22"/>
  <c r="B35" i="22"/>
  <c r="C35" i="22"/>
  <c r="D35" i="22"/>
  <c r="E35" i="22"/>
  <c r="F35" i="22"/>
  <c r="G35" i="22"/>
  <c r="H35" i="22"/>
  <c r="B39" i="22"/>
  <c r="C39" i="22"/>
  <c r="D39" i="22"/>
  <c r="E39" i="22"/>
  <c r="F39" i="22"/>
  <c r="G39" i="22"/>
  <c r="B18" i="22"/>
  <c r="C18" i="22"/>
  <c r="D18" i="22"/>
  <c r="E18" i="22"/>
  <c r="F18" i="22"/>
  <c r="G18" i="22"/>
  <c r="B19" i="22"/>
  <c r="C19" i="22"/>
  <c r="D19" i="22"/>
  <c r="E19" i="22"/>
  <c r="F19" i="22"/>
  <c r="G19" i="22"/>
  <c r="B21" i="22"/>
  <c r="C21" i="22"/>
  <c r="D21" i="22"/>
  <c r="E21" i="22"/>
  <c r="F21" i="22"/>
  <c r="G21" i="22"/>
  <c r="B20" i="22"/>
  <c r="C20" i="22"/>
  <c r="D20" i="22"/>
  <c r="E20" i="22"/>
  <c r="F20" i="22"/>
  <c r="G20" i="22"/>
  <c r="B22" i="22"/>
  <c r="C22" i="22"/>
  <c r="D22" i="22"/>
  <c r="E22" i="22"/>
  <c r="F22" i="22"/>
  <c r="G22" i="22"/>
  <c r="B46" i="22"/>
  <c r="C46" i="22"/>
  <c r="D46" i="22"/>
  <c r="E46" i="22"/>
  <c r="F46" i="22"/>
  <c r="G46" i="22"/>
  <c r="H46" i="22"/>
  <c r="I46" i="22"/>
  <c r="B6" i="22"/>
  <c r="C6" i="22"/>
  <c r="D6" i="22"/>
  <c r="E6" i="22"/>
  <c r="F6" i="22"/>
  <c r="G6" i="22"/>
  <c r="H6" i="22"/>
  <c r="B5" i="22"/>
  <c r="C5" i="22"/>
  <c r="D5" i="22"/>
  <c r="E5" i="22"/>
  <c r="F5" i="22"/>
  <c r="G5" i="22"/>
  <c r="H5" i="22"/>
  <c r="B8" i="22"/>
  <c r="C8" i="22"/>
  <c r="D8" i="22"/>
  <c r="E8" i="22"/>
  <c r="F8" i="22"/>
  <c r="G8" i="22"/>
  <c r="H8" i="22"/>
  <c r="B7" i="22"/>
  <c r="C7" i="22"/>
  <c r="D7" i="22"/>
  <c r="E7" i="22"/>
  <c r="F7" i="22"/>
  <c r="G7" i="22"/>
  <c r="B14" i="22"/>
  <c r="C14" i="22"/>
  <c r="D14" i="22"/>
  <c r="E14" i="22"/>
  <c r="F14" i="22"/>
  <c r="G14" i="22"/>
  <c r="B11" i="22"/>
  <c r="C11" i="22"/>
  <c r="D11" i="22"/>
  <c r="E11" i="22"/>
  <c r="F11" i="22"/>
  <c r="G11" i="22"/>
  <c r="I11" i="22"/>
  <c r="B13" i="22"/>
  <c r="C13" i="22"/>
  <c r="D13" i="22"/>
  <c r="E13" i="22"/>
  <c r="F13" i="22"/>
  <c r="G13" i="22"/>
  <c r="H13" i="22"/>
  <c r="I13" i="22"/>
  <c r="B15" i="22"/>
  <c r="C15" i="22"/>
  <c r="D15" i="22"/>
  <c r="E15" i="22"/>
  <c r="F15" i="22"/>
  <c r="G15" i="22"/>
  <c r="B12" i="22"/>
  <c r="C12" i="22"/>
  <c r="D12" i="22"/>
  <c r="E12" i="22"/>
  <c r="F12" i="22"/>
  <c r="G12" i="22"/>
  <c r="H12" i="22"/>
  <c r="K3" i="29"/>
  <c r="K3" i="28"/>
  <c r="K3" i="27"/>
  <c r="C3" i="29"/>
  <c r="C3" i="28"/>
  <c r="C3" i="27"/>
  <c r="C2" i="27"/>
  <c r="C2" i="28"/>
  <c r="C2" i="29"/>
  <c r="K3" i="26"/>
  <c r="C3" i="26"/>
  <c r="C2" i="26"/>
  <c r="C30" i="29"/>
  <c r="C29" i="29"/>
  <c r="B29" i="29"/>
  <c r="C28" i="29"/>
  <c r="C27" i="29"/>
  <c r="B27" i="29"/>
  <c r="C26" i="29"/>
  <c r="C25" i="29"/>
  <c r="B25" i="29"/>
  <c r="C24" i="29"/>
  <c r="C23" i="29"/>
  <c r="B23" i="29"/>
  <c r="C22" i="29"/>
  <c r="C21" i="29"/>
  <c r="B21" i="29"/>
  <c r="O8" i="29"/>
  <c r="O10" i="29"/>
  <c r="O12" i="29"/>
  <c r="O14" i="29"/>
  <c r="O16" i="29"/>
  <c r="O18" i="29"/>
  <c r="O20" i="29"/>
  <c r="O22" i="29"/>
  <c r="O24" i="29"/>
  <c r="O26" i="29"/>
  <c r="O28" i="29"/>
  <c r="O30" i="29"/>
  <c r="C30" i="28"/>
  <c r="C29" i="28"/>
  <c r="B29" i="28"/>
  <c r="C28" i="28"/>
  <c r="C27" i="28"/>
  <c r="B27" i="28"/>
  <c r="C26" i="28"/>
  <c r="C25" i="28"/>
  <c r="B25" i="28"/>
  <c r="C24" i="28"/>
  <c r="C23" i="28"/>
  <c r="B23" i="28"/>
  <c r="C22" i="28"/>
  <c r="C21" i="28"/>
  <c r="B21" i="28"/>
  <c r="O8" i="28"/>
  <c r="O10" i="28"/>
  <c r="O12" i="28"/>
  <c r="O14" i="28"/>
  <c r="O16" i="28"/>
  <c r="O18" i="28"/>
  <c r="O20" i="28"/>
  <c r="O22" i="28"/>
  <c r="O24" i="28"/>
  <c r="O26" i="28"/>
  <c r="O28" i="28"/>
  <c r="O30" i="28"/>
  <c r="C30" i="27"/>
  <c r="C29" i="27"/>
  <c r="B29" i="27"/>
  <c r="C28" i="27"/>
  <c r="C27" i="27"/>
  <c r="B27" i="27"/>
  <c r="C26" i="27"/>
  <c r="C25" i="27"/>
  <c r="B25" i="27"/>
  <c r="C24" i="27"/>
  <c r="C23" i="27"/>
  <c r="B23" i="27"/>
  <c r="C22" i="27"/>
  <c r="C21" i="27"/>
  <c r="B21" i="27"/>
  <c r="C20" i="27"/>
  <c r="C19" i="27"/>
  <c r="B19" i="27"/>
  <c r="O8" i="27"/>
  <c r="O10" i="27"/>
  <c r="O12" i="27"/>
  <c r="O14" i="27"/>
  <c r="O16" i="27"/>
  <c r="O18" i="27"/>
  <c r="O20" i="27"/>
  <c r="O22" i="27"/>
  <c r="O24" i="27"/>
  <c r="O26" i="27"/>
  <c r="O28" i="27"/>
  <c r="O30" i="27"/>
  <c r="C30" i="26"/>
  <c r="C29" i="26"/>
  <c r="B29" i="26"/>
  <c r="C28" i="26"/>
  <c r="C27" i="26"/>
  <c r="B27" i="26"/>
  <c r="O30" i="26"/>
  <c r="O28" i="26"/>
  <c r="O26" i="26"/>
  <c r="O24" i="26"/>
  <c r="O22" i="26"/>
  <c r="O20" i="26"/>
  <c r="O18" i="26"/>
  <c r="O16" i="26"/>
  <c r="O14" i="26"/>
  <c r="O12" i="26"/>
  <c r="O10" i="26"/>
  <c r="O8" i="26"/>
  <c r="G27" i="22"/>
  <c r="F27" i="22"/>
  <c r="D27" i="22"/>
  <c r="E27" i="22"/>
  <c r="C27" i="22"/>
  <c r="B27" i="22"/>
  <c r="H28" i="22"/>
  <c r="G28" i="22"/>
  <c r="F28" i="22"/>
  <c r="D28" i="22"/>
  <c r="E28" i="22"/>
  <c r="C28" i="22"/>
  <c r="B28" i="22"/>
  <c r="G17" i="22"/>
  <c r="F17" i="22"/>
  <c r="D17" i="22"/>
  <c r="E17" i="22"/>
  <c r="C17" i="22"/>
  <c r="B17" i="22"/>
  <c r="G9" i="22"/>
  <c r="F9" i="22"/>
  <c r="D9" i="22"/>
  <c r="E9" i="22"/>
  <c r="C9" i="22"/>
  <c r="B9" i="22"/>
  <c r="H11" i="22"/>
  <c r="I40" i="22"/>
  <c r="H26" i="22"/>
  <c r="H24" i="22"/>
  <c r="I21" i="22"/>
  <c r="I14" i="22"/>
  <c r="I8" i="22"/>
  <c r="H39" i="22"/>
  <c r="H33" i="22"/>
  <c r="H14" i="22"/>
  <c r="I19" i="22"/>
  <c r="H44" i="22"/>
  <c r="H40" i="22"/>
  <c r="H38" i="22"/>
  <c r="I32" i="22"/>
  <c r="I26" i="22"/>
  <c r="L25" i="22"/>
  <c r="L24" i="22"/>
  <c r="P14" i="45" l="1"/>
  <c r="Q14" i="45" s="1"/>
  <c r="I25" i="22"/>
  <c r="L45" i="22"/>
  <c r="H9" i="22"/>
  <c r="H7" i="22"/>
  <c r="G13" i="24"/>
  <c r="R31" i="36"/>
  <c r="R29" i="20"/>
  <c r="R29" i="31"/>
  <c r="L43" i="22"/>
  <c r="G41" i="24"/>
  <c r="H15" i="22"/>
  <c r="I56" i="22"/>
  <c r="P15" i="45"/>
  <c r="P16" i="53"/>
  <c r="W16" i="53" s="1"/>
  <c r="M70" i="22" s="1"/>
  <c r="H43" i="22"/>
  <c r="G44" i="24"/>
  <c r="U18" i="31"/>
  <c r="H32" i="24"/>
  <c r="H12" i="24"/>
  <c r="R15" i="53"/>
  <c r="P19" i="47"/>
  <c r="P21" i="47"/>
  <c r="Q21" i="47" s="1"/>
  <c r="P13" i="47"/>
  <c r="Q13" i="47" s="1"/>
  <c r="L58" i="22"/>
  <c r="L50" i="22"/>
  <c r="U12" i="36"/>
  <c r="H88" i="24"/>
  <c r="G27" i="51"/>
  <c r="G36" i="51"/>
  <c r="G84" i="24"/>
  <c r="G41" i="51"/>
  <c r="G90" i="24"/>
  <c r="P27" i="19"/>
  <c r="P29" i="19"/>
  <c r="P25" i="19"/>
  <c r="P29" i="47"/>
  <c r="Q29" i="47" s="1"/>
  <c r="P31" i="47"/>
  <c r="I31" i="22"/>
  <c r="H57" i="22"/>
  <c r="I50" i="22"/>
  <c r="H79" i="24"/>
  <c r="I58" i="22"/>
  <c r="H36" i="51"/>
  <c r="H33" i="51"/>
  <c r="H38" i="51"/>
  <c r="H87" i="24"/>
  <c r="H84" i="24"/>
  <c r="M47" i="58"/>
  <c r="S18" i="46"/>
  <c r="S20" i="46"/>
  <c r="S12" i="46"/>
  <c r="L41" i="58"/>
  <c r="L44" i="22"/>
  <c r="U14" i="31"/>
  <c r="L33" i="22"/>
  <c r="U26" i="47"/>
  <c r="L51" i="58"/>
  <c r="J93" i="24"/>
  <c r="R23" i="53"/>
  <c r="P24" i="53"/>
  <c r="W24" i="53" s="1"/>
  <c r="R25" i="53"/>
  <c r="P26" i="53"/>
  <c r="W26" i="53" s="1"/>
  <c r="P25" i="47"/>
  <c r="Q25" i="47" s="1"/>
  <c r="P27" i="47"/>
  <c r="I28" i="51" s="1"/>
  <c r="H74" i="22"/>
  <c r="H30" i="22"/>
  <c r="H32" i="22"/>
  <c r="G11" i="24"/>
  <c r="H37" i="22"/>
  <c r="H31" i="22"/>
  <c r="H17" i="24"/>
  <c r="H42" i="22"/>
  <c r="H10" i="24"/>
  <c r="I37" i="22"/>
  <c r="H20" i="24"/>
  <c r="P11" i="45"/>
  <c r="U11" i="45" s="1"/>
  <c r="R14" i="45"/>
  <c r="J12" i="52" s="1"/>
  <c r="U20" i="47"/>
  <c r="L63" i="58"/>
  <c r="U18" i="47"/>
  <c r="L55" i="58"/>
  <c r="U12" i="47"/>
  <c r="L62" i="58"/>
  <c r="T24" i="47"/>
  <c r="K58" i="58"/>
  <c r="T18" i="47"/>
  <c r="K55" i="58"/>
  <c r="T16" i="47"/>
  <c r="K71" i="58"/>
  <c r="T12" i="47"/>
  <c r="K62" i="58"/>
  <c r="T10" i="47"/>
  <c r="K56" i="58"/>
  <c r="S12" i="47"/>
  <c r="V12" i="47" s="1"/>
  <c r="T24" i="46"/>
  <c r="T22" i="46"/>
  <c r="K74" i="58"/>
  <c r="T20" i="46"/>
  <c r="K57" i="58"/>
  <c r="T18" i="46"/>
  <c r="K59" i="58"/>
  <c r="T16" i="46"/>
  <c r="K52" i="58"/>
  <c r="T14" i="46"/>
  <c r="K67" i="58"/>
  <c r="T12" i="46"/>
  <c r="K81" i="58"/>
  <c r="T10" i="46"/>
  <c r="K73" i="58"/>
  <c r="S22" i="46"/>
  <c r="U26" i="31"/>
  <c r="U22" i="31"/>
  <c r="L12" i="58"/>
  <c r="L30" i="22"/>
  <c r="U10" i="31"/>
  <c r="K43" i="22"/>
  <c r="K40" i="58"/>
  <c r="K24" i="22"/>
  <c r="U26" i="21"/>
  <c r="U22" i="21"/>
  <c r="U18" i="21"/>
  <c r="T22" i="20"/>
  <c r="K26" i="58"/>
  <c r="T14" i="20"/>
  <c r="K27" i="58"/>
  <c r="J51" i="24"/>
  <c r="P10" i="54"/>
  <c r="W10" i="54" s="1"/>
  <c r="R9" i="54"/>
  <c r="R13" i="54"/>
  <c r="J53" i="24"/>
  <c r="P14" i="54"/>
  <c r="W14" i="54" s="1"/>
  <c r="J50" i="24"/>
  <c r="P16" i="54"/>
  <c r="W16" i="54" s="1"/>
  <c r="R15" i="54"/>
  <c r="R21" i="54"/>
  <c r="P22" i="54"/>
  <c r="W22" i="54" s="1"/>
  <c r="J49" i="24"/>
  <c r="R11" i="54"/>
  <c r="P12" i="54"/>
  <c r="W12" i="54" s="1"/>
  <c r="P18" i="54"/>
  <c r="W18" i="54" s="1"/>
  <c r="J55" i="24"/>
  <c r="R17" i="54"/>
  <c r="J48" i="24"/>
  <c r="R19" i="54"/>
  <c r="P20" i="54"/>
  <c r="W20" i="54" s="1"/>
  <c r="J30" i="51"/>
  <c r="P10" i="53"/>
  <c r="W10" i="53" s="1"/>
  <c r="R9" i="53"/>
  <c r="J76" i="24"/>
  <c r="P20" i="53"/>
  <c r="W20" i="53" s="1"/>
  <c r="J59" i="24"/>
  <c r="R19" i="53"/>
  <c r="J56" i="24"/>
  <c r="P22" i="53"/>
  <c r="W22" i="53" s="1"/>
  <c r="R21" i="53"/>
  <c r="J62" i="24"/>
  <c r="R11" i="53"/>
  <c r="P12" i="53"/>
  <c r="W12" i="53" s="1"/>
  <c r="J68" i="24"/>
  <c r="P14" i="53"/>
  <c r="W14" i="53" s="1"/>
  <c r="R13" i="53"/>
  <c r="P18" i="53"/>
  <c r="W18" i="53" s="1"/>
  <c r="R17" i="53"/>
  <c r="J52" i="24"/>
  <c r="P23" i="47"/>
  <c r="H79" i="22"/>
  <c r="H63" i="58"/>
  <c r="H78" i="58"/>
  <c r="H83" i="22"/>
  <c r="I79" i="22"/>
  <c r="I58" i="58"/>
  <c r="H76" i="58"/>
  <c r="I85" i="22"/>
  <c r="H43" i="51"/>
  <c r="I81" i="58"/>
  <c r="H64" i="22"/>
  <c r="H67" i="58"/>
  <c r="H65" i="24"/>
  <c r="I57" i="58"/>
  <c r="H61" i="22"/>
  <c r="H52" i="58"/>
  <c r="I59" i="22"/>
  <c r="I52" i="22"/>
  <c r="H50" i="22"/>
  <c r="G87" i="24"/>
  <c r="G79" i="24"/>
  <c r="H56" i="22"/>
  <c r="H42" i="51"/>
  <c r="I53" i="22"/>
  <c r="I43" i="22"/>
  <c r="I40" i="58"/>
  <c r="P21" i="31"/>
  <c r="H42" i="58"/>
  <c r="I7" i="58"/>
  <c r="P17" i="31"/>
  <c r="H6" i="58"/>
  <c r="H8" i="24"/>
  <c r="I8" i="58"/>
  <c r="G16" i="24"/>
  <c r="H34" i="22"/>
  <c r="I42" i="22"/>
  <c r="I38" i="58"/>
  <c r="I33" i="22"/>
  <c r="I16" i="58"/>
  <c r="P21" i="21"/>
  <c r="H16" i="58"/>
  <c r="P9" i="21"/>
  <c r="H8" i="58"/>
  <c r="H27" i="22"/>
  <c r="G8" i="24"/>
  <c r="P11" i="21"/>
  <c r="H21" i="58"/>
  <c r="P13" i="21"/>
  <c r="H38" i="58"/>
  <c r="I30" i="58"/>
  <c r="P17" i="20"/>
  <c r="Q17" i="20" s="1"/>
  <c r="H20" i="58"/>
  <c r="P25" i="20"/>
  <c r="I38" i="22"/>
  <c r="I24" i="58"/>
  <c r="H41" i="22"/>
  <c r="H30" i="58"/>
  <c r="P21" i="19"/>
  <c r="P12" i="45"/>
  <c r="Q12" i="45" s="1"/>
  <c r="R12" i="45" s="1"/>
  <c r="J10" i="52" s="1"/>
  <c r="P13" i="45"/>
  <c r="G22" i="24"/>
  <c r="P16" i="45"/>
  <c r="Q16" i="45" s="1"/>
  <c r="R16" i="45" s="1"/>
  <c r="P10" i="45"/>
  <c r="Q10" i="45" s="1"/>
  <c r="R10" i="45" s="1"/>
  <c r="J5" i="52" s="1"/>
  <c r="P9" i="45"/>
  <c r="Q9" i="45" s="1"/>
  <c r="U28" i="36"/>
  <c r="L77" i="58"/>
  <c r="L59" i="22"/>
  <c r="U24" i="36"/>
  <c r="L55" i="22"/>
  <c r="L69" i="58"/>
  <c r="L57" i="22"/>
  <c r="L56" i="22"/>
  <c r="U20" i="36"/>
  <c r="L79" i="58"/>
  <c r="L52" i="22"/>
  <c r="U16" i="36"/>
  <c r="L49" i="22"/>
  <c r="L72" i="58"/>
  <c r="L51" i="22"/>
  <c r="U10" i="36"/>
  <c r="I64" i="58"/>
  <c r="G33" i="51"/>
  <c r="H34" i="51"/>
  <c r="H80" i="24"/>
  <c r="I49" i="22"/>
  <c r="P15" i="36"/>
  <c r="I80" i="24" s="1"/>
  <c r="H65" i="58"/>
  <c r="I72" i="58"/>
  <c r="G35" i="51"/>
  <c r="G83" i="24"/>
  <c r="H51" i="22"/>
  <c r="P13" i="36"/>
  <c r="I83" i="24" s="1"/>
  <c r="H58" i="22"/>
  <c r="G38" i="51"/>
  <c r="T22" i="18"/>
  <c r="K14" i="58"/>
  <c r="T10" i="18"/>
  <c r="K37" i="58"/>
  <c r="I12" i="22"/>
  <c r="G15" i="51"/>
  <c r="H32" i="58"/>
  <c r="H21" i="24"/>
  <c r="I14" i="58"/>
  <c r="H14" i="58"/>
  <c r="I15" i="22"/>
  <c r="I39" i="58"/>
  <c r="G16" i="51"/>
  <c r="H35" i="58"/>
  <c r="H36" i="58"/>
  <c r="G11" i="51"/>
  <c r="H22" i="58"/>
  <c r="P13" i="18"/>
  <c r="H25" i="58"/>
  <c r="P11" i="18"/>
  <c r="I10" i="51" s="1"/>
  <c r="H41" i="24"/>
  <c r="I37" i="58"/>
  <c r="H37" i="58"/>
  <c r="P9" i="18"/>
  <c r="Q9" i="18" s="1"/>
  <c r="U16" i="18"/>
  <c r="L8" i="22"/>
  <c r="T28" i="18"/>
  <c r="T12" i="20"/>
  <c r="T20" i="20"/>
  <c r="K35" i="22"/>
  <c r="T28" i="20"/>
  <c r="T12" i="19"/>
  <c r="T20" i="19"/>
  <c r="T28" i="19"/>
  <c r="U10" i="21"/>
  <c r="L27" i="22"/>
  <c r="Q15" i="45"/>
  <c r="R15" i="45" s="1"/>
  <c r="J11" i="52" s="1"/>
  <c r="U15" i="45"/>
  <c r="L14" i="22"/>
  <c r="U20" i="18"/>
  <c r="T26" i="18"/>
  <c r="T10" i="20"/>
  <c r="L41" i="22"/>
  <c r="U16" i="20"/>
  <c r="T26" i="20"/>
  <c r="T10" i="19"/>
  <c r="K17" i="22"/>
  <c r="T18" i="19"/>
  <c r="K20" i="22"/>
  <c r="T26" i="19"/>
  <c r="L31" i="22"/>
  <c r="U16" i="21"/>
  <c r="U14" i="18"/>
  <c r="T20" i="18"/>
  <c r="U22" i="18"/>
  <c r="L11" i="22"/>
  <c r="T24" i="18"/>
  <c r="U30" i="18"/>
  <c r="T32" i="18"/>
  <c r="K46" i="22"/>
  <c r="U14" i="20"/>
  <c r="L40" i="22"/>
  <c r="T16" i="20"/>
  <c r="U22" i="20"/>
  <c r="L39" i="22"/>
  <c r="T24" i="20"/>
  <c r="U30" i="20"/>
  <c r="T32" i="20"/>
  <c r="U14" i="19"/>
  <c r="L19" i="22"/>
  <c r="T16" i="19"/>
  <c r="U22" i="19"/>
  <c r="T24" i="19"/>
  <c r="U30" i="19"/>
  <c r="T32" i="19"/>
  <c r="L42" i="22"/>
  <c r="U14" i="21"/>
  <c r="T16" i="21"/>
  <c r="T12" i="18"/>
  <c r="T18" i="18"/>
  <c r="U26" i="18"/>
  <c r="L15" i="22"/>
  <c r="L28" i="22"/>
  <c r="U10" i="20"/>
  <c r="U18" i="20"/>
  <c r="L36" i="22"/>
  <c r="U26" i="20"/>
  <c r="U10" i="19"/>
  <c r="L17" i="22"/>
  <c r="U18" i="19"/>
  <c r="L20" i="22"/>
  <c r="U26" i="19"/>
  <c r="T12" i="21"/>
  <c r="T16" i="18"/>
  <c r="K8" i="22"/>
  <c r="L13" i="22"/>
  <c r="U24" i="18"/>
  <c r="U32" i="18"/>
  <c r="T18" i="20"/>
  <c r="K36" i="22"/>
  <c r="U24" i="20"/>
  <c r="U32" i="20"/>
  <c r="U16" i="19"/>
  <c r="U24" i="19"/>
  <c r="U32" i="19"/>
  <c r="T10" i="21"/>
  <c r="L62" i="22"/>
  <c r="U20" i="46"/>
  <c r="U12" i="18"/>
  <c r="T14" i="18"/>
  <c r="K5" i="22"/>
  <c r="L7" i="22"/>
  <c r="U18" i="18"/>
  <c r="L12" i="22"/>
  <c r="U28" i="18"/>
  <c r="U12" i="20"/>
  <c r="L35" i="22"/>
  <c r="U20" i="20"/>
  <c r="U28" i="20"/>
  <c r="T30" i="20"/>
  <c r="U12" i="19"/>
  <c r="T14" i="19"/>
  <c r="K19" i="22"/>
  <c r="L22" i="22"/>
  <c r="U20" i="19"/>
  <c r="T22" i="19"/>
  <c r="U28" i="19"/>
  <c r="T30" i="19"/>
  <c r="L37" i="22"/>
  <c r="U12" i="21"/>
  <c r="T14" i="21"/>
  <c r="K42" i="22"/>
  <c r="T18" i="21"/>
  <c r="T24" i="21"/>
  <c r="T26" i="21"/>
  <c r="T32" i="21"/>
  <c r="T10" i="31"/>
  <c r="T16" i="31"/>
  <c r="T18" i="31"/>
  <c r="T24" i="31"/>
  <c r="T26" i="31"/>
  <c r="T32" i="31"/>
  <c r="T12" i="36"/>
  <c r="T18" i="36"/>
  <c r="T20" i="36"/>
  <c r="T26" i="36"/>
  <c r="T28" i="36"/>
  <c r="U10" i="18"/>
  <c r="T10" i="36"/>
  <c r="P15" i="47"/>
  <c r="I74" i="24" s="1"/>
  <c r="H85" i="22"/>
  <c r="I83" i="22"/>
  <c r="Q31" i="47"/>
  <c r="L61" i="22"/>
  <c r="U16" i="46"/>
  <c r="U10" i="47"/>
  <c r="U14" i="47"/>
  <c r="L85" i="22"/>
  <c r="L79" i="22"/>
  <c r="U24" i="47"/>
  <c r="L76" i="22"/>
  <c r="U28" i="47"/>
  <c r="U32" i="47"/>
  <c r="T28" i="47"/>
  <c r="L29" i="22"/>
  <c r="K53" i="22"/>
  <c r="U24" i="21"/>
  <c r="U32" i="21"/>
  <c r="U16" i="31"/>
  <c r="U24" i="31"/>
  <c r="U32" i="31"/>
  <c r="U18" i="36"/>
  <c r="U26" i="36"/>
  <c r="Q11" i="45"/>
  <c r="Q18" i="45"/>
  <c r="U18" i="45"/>
  <c r="U24" i="46"/>
  <c r="P25" i="18"/>
  <c r="G21" i="51"/>
  <c r="G6" i="52"/>
  <c r="P29" i="18"/>
  <c r="T20" i="21"/>
  <c r="K33" i="22"/>
  <c r="T22" i="21"/>
  <c r="T28" i="21"/>
  <c r="T12" i="31"/>
  <c r="T14" i="31"/>
  <c r="T20" i="31"/>
  <c r="T22" i="31"/>
  <c r="T28" i="31"/>
  <c r="T30" i="31"/>
  <c r="T14" i="36"/>
  <c r="T16" i="36"/>
  <c r="T22" i="36"/>
  <c r="T24" i="36"/>
  <c r="T30" i="36"/>
  <c r="T32" i="36"/>
  <c r="Q19" i="45"/>
  <c r="Q19" i="47"/>
  <c r="P20" i="47" s="1"/>
  <c r="I73" i="24"/>
  <c r="I76" i="22"/>
  <c r="H28" i="51"/>
  <c r="L82" i="22"/>
  <c r="L9" i="22"/>
  <c r="L26" i="22"/>
  <c r="U20" i="21"/>
  <c r="U28" i="21"/>
  <c r="U12" i="31"/>
  <c r="U20" i="31"/>
  <c r="U28" i="31"/>
  <c r="U14" i="36"/>
  <c r="U22" i="36"/>
  <c r="U30" i="36"/>
  <c r="Q24" i="45"/>
  <c r="U24" i="45"/>
  <c r="U32" i="46"/>
  <c r="U16" i="47"/>
  <c r="H77" i="22"/>
  <c r="P17" i="47"/>
  <c r="Q17" i="47" s="1"/>
  <c r="H76" i="22"/>
  <c r="L86" i="22"/>
  <c r="T20" i="47"/>
  <c r="P17" i="21"/>
  <c r="P21" i="36"/>
  <c r="P9" i="20"/>
  <c r="K86" i="22"/>
  <c r="T14" i="47"/>
  <c r="K87" i="22"/>
  <c r="T22" i="47"/>
  <c r="T26" i="47"/>
  <c r="K74" i="22"/>
  <c r="T30" i="47"/>
  <c r="T32" i="47"/>
  <c r="H86" i="22"/>
  <c r="K82" i="22"/>
  <c r="P27" i="18"/>
  <c r="P21" i="20"/>
  <c r="H87" i="22"/>
  <c r="P13" i="20"/>
  <c r="P19" i="20"/>
  <c r="P27" i="20"/>
  <c r="P25" i="21"/>
  <c r="P11" i="31"/>
  <c r="P27" i="31"/>
  <c r="P11" i="20"/>
  <c r="Q25" i="20"/>
  <c r="P25" i="31"/>
  <c r="P19" i="21"/>
  <c r="Q29" i="21"/>
  <c r="P9" i="31"/>
  <c r="P13" i="31"/>
  <c r="P11" i="36"/>
  <c r="P17" i="18"/>
  <c r="I15" i="51" s="1"/>
  <c r="P19" i="18"/>
  <c r="I19" i="51" s="1"/>
  <c r="P21" i="18"/>
  <c r="I7" i="51" s="1"/>
  <c r="P32" i="36"/>
  <c r="S10" i="18"/>
  <c r="J9" i="22"/>
  <c r="S18" i="18"/>
  <c r="J7" i="22"/>
  <c r="J13" i="22"/>
  <c r="S24" i="18"/>
  <c r="J38" i="22"/>
  <c r="S12" i="20"/>
  <c r="V12" i="20" s="1"/>
  <c r="J41" i="22"/>
  <c r="S16" i="20"/>
  <c r="S28" i="20"/>
  <c r="S32" i="20"/>
  <c r="S12" i="19"/>
  <c r="V12" i="19" s="1"/>
  <c r="J18" i="22"/>
  <c r="S20" i="19"/>
  <c r="J22" i="22"/>
  <c r="S24" i="19"/>
  <c r="S28" i="19"/>
  <c r="V28" i="19" s="1"/>
  <c r="S32" i="19"/>
  <c r="J37" i="22"/>
  <c r="S12" i="21"/>
  <c r="J31" i="22"/>
  <c r="S16" i="21"/>
  <c r="S20" i="21"/>
  <c r="J29" i="22"/>
  <c r="S24" i="21"/>
  <c r="S28" i="21"/>
  <c r="S32" i="21"/>
  <c r="S12" i="31"/>
  <c r="J44" i="22"/>
  <c r="J26" i="22"/>
  <c r="S16" i="31"/>
  <c r="J30" i="22"/>
  <c r="S20" i="31"/>
  <c r="S24" i="31"/>
  <c r="J32" i="22"/>
  <c r="S28" i="31"/>
  <c r="S32" i="31"/>
  <c r="S14" i="36"/>
  <c r="J51" i="22"/>
  <c r="S18" i="36"/>
  <c r="J52" i="22"/>
  <c r="S22" i="36"/>
  <c r="J57" i="22"/>
  <c r="S26" i="36"/>
  <c r="V26" i="36" s="1"/>
  <c r="J59" i="22"/>
  <c r="S30" i="36"/>
  <c r="V32" i="46"/>
  <c r="J65" i="22"/>
  <c r="S10" i="46"/>
  <c r="S24" i="46"/>
  <c r="S30" i="46"/>
  <c r="J77" i="22"/>
  <c r="S18" i="47"/>
  <c r="V18" i="47" s="1"/>
  <c r="J79" i="22"/>
  <c r="S24" i="47"/>
  <c r="S12" i="18"/>
  <c r="J6" i="22"/>
  <c r="S20" i="18"/>
  <c r="J14" i="22"/>
  <c r="S28" i="18"/>
  <c r="J12" i="22"/>
  <c r="S32" i="18"/>
  <c r="J46" i="22"/>
  <c r="W31" i="18"/>
  <c r="S20" i="20"/>
  <c r="J35" i="22"/>
  <c r="S24" i="20"/>
  <c r="S16" i="19"/>
  <c r="J21" i="22"/>
  <c r="J5" i="22"/>
  <c r="S14" i="18"/>
  <c r="J8" i="22"/>
  <c r="S16" i="18"/>
  <c r="S22" i="18"/>
  <c r="J11" i="22"/>
  <c r="S26" i="18"/>
  <c r="J15" i="22"/>
  <c r="S30" i="18"/>
  <c r="W29" i="18"/>
  <c r="S10" i="20"/>
  <c r="J28" i="22"/>
  <c r="S14" i="20"/>
  <c r="J40" i="22"/>
  <c r="J36" i="22"/>
  <c r="S18" i="20"/>
  <c r="J39" i="22"/>
  <c r="S22" i="20"/>
  <c r="S26" i="20"/>
  <c r="S30" i="20"/>
  <c r="S10" i="19"/>
  <c r="J17" i="22"/>
  <c r="J19" i="22"/>
  <c r="S14" i="19"/>
  <c r="J20" i="22"/>
  <c r="S18" i="19"/>
  <c r="S22" i="19"/>
  <c r="S26" i="19"/>
  <c r="S30" i="19"/>
  <c r="S10" i="21"/>
  <c r="J27" i="22"/>
  <c r="S14" i="21"/>
  <c r="J42" i="22"/>
  <c r="S18" i="21"/>
  <c r="J34" i="22"/>
  <c r="S22" i="21"/>
  <c r="J33" i="22"/>
  <c r="S26" i="21"/>
  <c r="S30" i="21"/>
  <c r="J24" i="22"/>
  <c r="S10" i="31"/>
  <c r="J43" i="22"/>
  <c r="S14" i="31"/>
  <c r="J25" i="22"/>
  <c r="S18" i="31"/>
  <c r="S22" i="31"/>
  <c r="J45" i="22"/>
  <c r="S26" i="31"/>
  <c r="S30" i="31"/>
  <c r="S12" i="36"/>
  <c r="V12" i="36" s="1"/>
  <c r="J50" i="22"/>
  <c r="S16" i="36"/>
  <c r="J49" i="22"/>
  <c r="S20" i="36"/>
  <c r="J56" i="22"/>
  <c r="S24" i="36"/>
  <c r="J55" i="22"/>
  <c r="S28" i="36"/>
  <c r="J58" i="22"/>
  <c r="S32" i="36"/>
  <c r="H15" i="51"/>
  <c r="H5" i="51"/>
  <c r="H13" i="51"/>
  <c r="I5" i="52"/>
  <c r="I10" i="52"/>
  <c r="I12" i="52"/>
  <c r="I86" i="24"/>
  <c r="P23" i="45"/>
  <c r="Q23" i="45" s="1"/>
  <c r="I65" i="22"/>
  <c r="H75" i="24"/>
  <c r="H29" i="51"/>
  <c r="G77" i="24"/>
  <c r="G31" i="51"/>
  <c r="P17" i="46"/>
  <c r="Q17" i="46" s="1"/>
  <c r="H63" i="22"/>
  <c r="P29" i="46"/>
  <c r="Q29" i="46" s="1"/>
  <c r="P31" i="46"/>
  <c r="Q31" i="46" s="1"/>
  <c r="H81" i="24"/>
  <c r="I86" i="22"/>
  <c r="H82" i="24"/>
  <c r="I87" i="22"/>
  <c r="U14" i="46"/>
  <c r="L77" i="22"/>
  <c r="V20" i="46"/>
  <c r="J86" i="22"/>
  <c r="S14" i="47"/>
  <c r="L74" i="22"/>
  <c r="S32" i="47"/>
  <c r="L65" i="22"/>
  <c r="L64" i="22"/>
  <c r="P27" i="21"/>
  <c r="Q27" i="21" s="1"/>
  <c r="K9" i="22"/>
  <c r="K28" i="22"/>
  <c r="K31" i="22"/>
  <c r="K30" i="22"/>
  <c r="I17" i="22"/>
  <c r="H35" i="24"/>
  <c r="H14" i="24"/>
  <c r="H16" i="24"/>
  <c r="H6" i="24"/>
  <c r="H10" i="51"/>
  <c r="H17" i="51"/>
  <c r="H8" i="51"/>
  <c r="H5" i="52"/>
  <c r="H39" i="24"/>
  <c r="G10" i="52"/>
  <c r="G64" i="24"/>
  <c r="H12" i="52"/>
  <c r="H86" i="24"/>
  <c r="U10" i="46"/>
  <c r="G24" i="51"/>
  <c r="G57" i="24"/>
  <c r="P15" i="46"/>
  <c r="Q15" i="46" s="1"/>
  <c r="H69" i="24"/>
  <c r="I82" i="22"/>
  <c r="H72" i="24"/>
  <c r="H60" i="24"/>
  <c r="J61" i="22"/>
  <c r="K78" i="22"/>
  <c r="P15" i="18"/>
  <c r="Q15" i="18" s="1"/>
  <c r="K6" i="22"/>
  <c r="K39" i="22"/>
  <c r="K37" i="22"/>
  <c r="K27" i="22"/>
  <c r="K26" i="22"/>
  <c r="I28" i="22"/>
  <c r="I9" i="22"/>
  <c r="I44" i="22"/>
  <c r="K18" i="22"/>
  <c r="H11" i="51"/>
  <c r="H7" i="51"/>
  <c r="H6" i="52"/>
  <c r="H9" i="51"/>
  <c r="H6" i="51"/>
  <c r="I61" i="24"/>
  <c r="H92" i="24"/>
  <c r="I67" i="22"/>
  <c r="H77" i="24"/>
  <c r="H31" i="51"/>
  <c r="S10" i="47"/>
  <c r="I81" i="24"/>
  <c r="I82" i="24"/>
  <c r="P30" i="47"/>
  <c r="R29" i="47"/>
  <c r="J64" i="22"/>
  <c r="J76" i="22"/>
  <c r="S28" i="47"/>
  <c r="V28" i="47" s="1"/>
  <c r="G18" i="51"/>
  <c r="P23" i="18"/>
  <c r="Q23" i="18" s="1"/>
  <c r="I36" i="51"/>
  <c r="H41" i="51"/>
  <c r="H21" i="51"/>
  <c r="G65" i="24"/>
  <c r="G25" i="51"/>
  <c r="H62" i="22"/>
  <c r="P19" i="46"/>
  <c r="Q19" i="46" s="1"/>
  <c r="G63" i="24"/>
  <c r="P9" i="47"/>
  <c r="Q9" i="47" s="1"/>
  <c r="L67" i="22"/>
  <c r="P15" i="20"/>
  <c r="Q15" i="20" s="1"/>
  <c r="P31" i="20"/>
  <c r="Q31" i="20" s="1"/>
  <c r="K40" i="22"/>
  <c r="K25" i="22"/>
  <c r="I24" i="22"/>
  <c r="I34" i="22"/>
  <c r="K13" i="22"/>
  <c r="H19" i="24"/>
  <c r="H7" i="24"/>
  <c r="H19" i="51"/>
  <c r="H14" i="51"/>
  <c r="H20" i="51"/>
  <c r="G5" i="52"/>
  <c r="G39" i="24"/>
  <c r="H10" i="52"/>
  <c r="H64" i="24"/>
  <c r="G12" i="52"/>
  <c r="G86" i="24"/>
  <c r="U22" i="45"/>
  <c r="G29" i="51"/>
  <c r="P9" i="46"/>
  <c r="Q9" i="46" s="1"/>
  <c r="G67" i="24"/>
  <c r="G26" i="51"/>
  <c r="P13" i="46"/>
  <c r="Q13" i="46" s="1"/>
  <c r="I62" i="22"/>
  <c r="H32" i="51"/>
  <c r="H78" i="24"/>
  <c r="I66" i="22"/>
  <c r="P27" i="46"/>
  <c r="Q27" i="46" s="1"/>
  <c r="H63" i="24"/>
  <c r="I78" i="22"/>
  <c r="J81" i="24"/>
  <c r="P14" i="47"/>
  <c r="R13" i="47"/>
  <c r="J82" i="24"/>
  <c r="P22" i="47"/>
  <c r="R21" i="47"/>
  <c r="U26" i="46"/>
  <c r="V26" i="46" s="1"/>
  <c r="L87" i="22"/>
  <c r="L83" i="22"/>
  <c r="I39" i="24"/>
  <c r="K22" i="22"/>
  <c r="I18" i="22"/>
  <c r="K14" i="22"/>
  <c r="I30" i="22"/>
  <c r="I27" i="22"/>
  <c r="H37" i="24"/>
  <c r="I37" i="51"/>
  <c r="I85" i="24"/>
  <c r="I66" i="24"/>
  <c r="I11" i="52"/>
  <c r="G92" i="24"/>
  <c r="G43" i="51"/>
  <c r="H67" i="22"/>
  <c r="P11" i="46"/>
  <c r="Q11" i="46" s="1"/>
  <c r="H24" i="51"/>
  <c r="H57" i="24"/>
  <c r="P25" i="46"/>
  <c r="Q25" i="46" s="1"/>
  <c r="I60" i="24"/>
  <c r="J67" i="22"/>
  <c r="J63" i="22"/>
  <c r="J62" i="22"/>
  <c r="J66" i="22"/>
  <c r="J82" i="22"/>
  <c r="J85" i="22"/>
  <c r="S16" i="47"/>
  <c r="J83" i="22"/>
  <c r="S20" i="47"/>
  <c r="J87" i="22"/>
  <c r="S22" i="47"/>
  <c r="J74" i="22"/>
  <c r="S26" i="47"/>
  <c r="S30" i="47"/>
  <c r="V30" i="47" s="1"/>
  <c r="K61" i="22"/>
  <c r="U22" i="46"/>
  <c r="V22" i="46" s="1"/>
  <c r="K85" i="22"/>
  <c r="L66" i="22"/>
  <c r="H78" i="22"/>
  <c r="K76" i="22"/>
  <c r="K83" i="22"/>
  <c r="H25" i="51"/>
  <c r="L5" i="22"/>
  <c r="L6" i="22"/>
  <c r="K21" i="22"/>
  <c r="L21" i="22"/>
  <c r="K41" i="22"/>
  <c r="L38" i="22"/>
  <c r="K29" i="22"/>
  <c r="K44" i="22"/>
  <c r="K45" i="22"/>
  <c r="K32" i="22"/>
  <c r="L32" i="22"/>
  <c r="K11" i="22"/>
  <c r="K34" i="22"/>
  <c r="I39" i="22"/>
  <c r="K12" i="22"/>
  <c r="K38" i="22"/>
  <c r="I29" i="22"/>
  <c r="I7" i="22"/>
  <c r="I20" i="22"/>
  <c r="I45" i="22"/>
  <c r="K15" i="22"/>
  <c r="I5" i="22"/>
  <c r="I6" i="22"/>
  <c r="L46" i="22"/>
  <c r="I35" i="22"/>
  <c r="I22" i="22"/>
  <c r="K7" i="22"/>
  <c r="L18" i="22"/>
  <c r="L34" i="22"/>
  <c r="H40" i="24"/>
  <c r="H26" i="24"/>
  <c r="H34" i="24"/>
  <c r="H23" i="24"/>
  <c r="H29" i="24"/>
  <c r="G33" i="24"/>
  <c r="H31" i="24"/>
  <c r="H18" i="24"/>
  <c r="H43" i="24"/>
  <c r="H13" i="24"/>
  <c r="H44" i="24"/>
  <c r="K58" i="22"/>
  <c r="K59" i="22"/>
  <c r="K55" i="22"/>
  <c r="K57" i="22"/>
  <c r="K56" i="22"/>
  <c r="K52" i="22"/>
  <c r="K49" i="22"/>
  <c r="K51" i="22"/>
  <c r="K50" i="22"/>
  <c r="H16" i="51"/>
  <c r="H7" i="52"/>
  <c r="H12" i="51"/>
  <c r="S10" i="36"/>
  <c r="H37" i="51"/>
  <c r="H85" i="24"/>
  <c r="G85" i="24"/>
  <c r="U12" i="45"/>
  <c r="H61" i="24"/>
  <c r="G61" i="24"/>
  <c r="U14" i="45"/>
  <c r="H66" i="24"/>
  <c r="H11" i="52"/>
  <c r="G11" i="52"/>
  <c r="G66" i="24"/>
  <c r="P17" i="45"/>
  <c r="Q17" i="45" s="1"/>
  <c r="U20" i="45"/>
  <c r="P21" i="45"/>
  <c r="Q21" i="45" s="1"/>
  <c r="U12" i="46"/>
  <c r="H26" i="51"/>
  <c r="I64" i="22"/>
  <c r="S14" i="46"/>
  <c r="S16" i="46"/>
  <c r="G78" i="24"/>
  <c r="G32" i="51"/>
  <c r="P21" i="46"/>
  <c r="Q21" i="46" s="1"/>
  <c r="P23" i="46"/>
  <c r="Q23" i="46" s="1"/>
  <c r="S28" i="46"/>
  <c r="G69" i="24"/>
  <c r="H82" i="22"/>
  <c r="P11" i="47"/>
  <c r="Q11" i="47" s="1"/>
  <c r="U22" i="47"/>
  <c r="K65" i="22"/>
  <c r="V12" i="46"/>
  <c r="L63" i="22"/>
  <c r="U18" i="46"/>
  <c r="V18" i="46" s="1"/>
  <c r="U30" i="46"/>
  <c r="K79" i="22"/>
  <c r="H65" i="22"/>
  <c r="H66" i="22"/>
  <c r="K62" i="22"/>
  <c r="I63" i="22"/>
  <c r="I61" i="22"/>
  <c r="J78" i="22"/>
  <c r="I74" i="22"/>
  <c r="I77" i="22"/>
  <c r="G75" i="24"/>
  <c r="H67" i="24"/>
  <c r="H18" i="51"/>
  <c r="J73" i="24"/>
  <c r="K66" i="22"/>
  <c r="K64" i="22"/>
  <c r="G7" i="52"/>
  <c r="P31" i="18"/>
  <c r="Q31" i="18" s="1"/>
  <c r="P23" i="19"/>
  <c r="Q23" i="19" s="1"/>
  <c r="P25" i="36"/>
  <c r="Q25" i="36" s="1"/>
  <c r="G39" i="51"/>
  <c r="H74" i="24"/>
  <c r="H73" i="24"/>
  <c r="H58" i="24"/>
  <c r="I58" i="24"/>
  <c r="H71" i="24"/>
  <c r="L78" i="22"/>
  <c r="P31" i="19"/>
  <c r="Q31" i="19" s="1"/>
  <c r="P23" i="20"/>
  <c r="Q23" i="20" s="1"/>
  <c r="I17" i="51"/>
  <c r="P19" i="31"/>
  <c r="Q19" i="31" s="1"/>
  <c r="P17" i="36"/>
  <c r="Q17" i="36" s="1"/>
  <c r="H40" i="51"/>
  <c r="P27" i="36"/>
  <c r="Q27" i="36" s="1"/>
  <c r="G72" i="24"/>
  <c r="G60" i="24"/>
  <c r="G71" i="24"/>
  <c r="G58" i="24"/>
  <c r="G82" i="24"/>
  <c r="G73" i="24"/>
  <c r="G74" i="24"/>
  <c r="G81" i="24"/>
  <c r="G28" i="51"/>
  <c r="P19" i="36"/>
  <c r="Q19" i="36" s="1"/>
  <c r="H39" i="51"/>
  <c r="P15" i="21"/>
  <c r="Q15" i="21" s="1"/>
  <c r="P23" i="21"/>
  <c r="Q23" i="21" s="1"/>
  <c r="P31" i="21"/>
  <c r="Q31" i="21" s="1"/>
  <c r="P15" i="31"/>
  <c r="Q15" i="31" s="1"/>
  <c r="P23" i="31"/>
  <c r="Q23" i="31" s="1"/>
  <c r="P31" i="31"/>
  <c r="Q31" i="31" s="1"/>
  <c r="P9" i="36"/>
  <c r="Q9" i="36" s="1"/>
  <c r="P23" i="36"/>
  <c r="Q23" i="36" s="1"/>
  <c r="U10" i="45" l="1"/>
  <c r="V10" i="21"/>
  <c r="V18" i="19"/>
  <c r="V32" i="20"/>
  <c r="V16" i="47"/>
  <c r="V30" i="18"/>
  <c r="V24" i="46"/>
  <c r="W30" i="31"/>
  <c r="I20" i="51"/>
  <c r="I41" i="24"/>
  <c r="I22" i="24"/>
  <c r="V26" i="47"/>
  <c r="R25" i="47"/>
  <c r="J72" i="24"/>
  <c r="P18" i="47"/>
  <c r="P26" i="47"/>
  <c r="Q23" i="47"/>
  <c r="Q27" i="47"/>
  <c r="P28" i="47" s="1"/>
  <c r="W28" i="47" s="1"/>
  <c r="M54" i="58" s="1"/>
  <c r="I71" i="24"/>
  <c r="J60" i="24"/>
  <c r="I72" i="24"/>
  <c r="V28" i="36"/>
  <c r="V10" i="36"/>
  <c r="Q29" i="19"/>
  <c r="Q25" i="19"/>
  <c r="Q27" i="19"/>
  <c r="I64" i="24"/>
  <c r="V26" i="21"/>
  <c r="M83" i="58"/>
  <c r="M89" i="22"/>
  <c r="M87" i="58"/>
  <c r="R17" i="47"/>
  <c r="W14" i="47"/>
  <c r="M76" i="58" s="1"/>
  <c r="V10" i="46"/>
  <c r="V16" i="31"/>
  <c r="V12" i="31"/>
  <c r="M72" i="22"/>
  <c r="M49" i="58"/>
  <c r="M81" i="22"/>
  <c r="M61" i="58"/>
  <c r="M92" i="22"/>
  <c r="M86" i="58"/>
  <c r="M69" i="22"/>
  <c r="M46" i="58"/>
  <c r="M90" i="22"/>
  <c r="M84" i="58"/>
  <c r="M91" i="22"/>
  <c r="M85" i="58"/>
  <c r="M48" i="58"/>
  <c r="M71" i="22"/>
  <c r="M60" i="58"/>
  <c r="M80" i="22"/>
  <c r="M82" i="58"/>
  <c r="M88" i="22"/>
  <c r="M70" i="58"/>
  <c r="M84" i="22"/>
  <c r="M53" i="58"/>
  <c r="M75" i="22"/>
  <c r="M50" i="58"/>
  <c r="M73" i="22"/>
  <c r="Q13" i="36"/>
  <c r="I35" i="51"/>
  <c r="Q17" i="31"/>
  <c r="I7" i="24"/>
  <c r="Q21" i="31"/>
  <c r="I6" i="51"/>
  <c r="I13" i="24"/>
  <c r="I8" i="24"/>
  <c r="Q9" i="21"/>
  <c r="I20" i="24"/>
  <c r="Q11" i="21"/>
  <c r="Q21" i="21"/>
  <c r="I18" i="24"/>
  <c r="Q13" i="21"/>
  <c r="I43" i="24"/>
  <c r="I19" i="24"/>
  <c r="Q21" i="19"/>
  <c r="Q13" i="45"/>
  <c r="R13" i="45" s="1"/>
  <c r="U13" i="45"/>
  <c r="U16" i="45"/>
  <c r="U9" i="45"/>
  <c r="J37" i="51"/>
  <c r="R11" i="45"/>
  <c r="J85" i="24"/>
  <c r="Q15" i="36"/>
  <c r="J34" i="51" s="1"/>
  <c r="I34" i="51"/>
  <c r="V16" i="18"/>
  <c r="Q13" i="18"/>
  <c r="J11" i="51" s="1"/>
  <c r="I27" i="24"/>
  <c r="I11" i="51"/>
  <c r="Q11" i="18"/>
  <c r="I26" i="24"/>
  <c r="R19" i="47"/>
  <c r="V24" i="47"/>
  <c r="Q19" i="21"/>
  <c r="I10" i="24"/>
  <c r="Q9" i="31"/>
  <c r="I6" i="24"/>
  <c r="P26" i="20"/>
  <c r="W26" i="20" s="1"/>
  <c r="Q11" i="31"/>
  <c r="I5" i="24"/>
  <c r="Q29" i="18"/>
  <c r="I6" i="52"/>
  <c r="V32" i="47"/>
  <c r="V20" i="31"/>
  <c r="Q21" i="18"/>
  <c r="J7" i="51" s="1"/>
  <c r="I21" i="24"/>
  <c r="Q27" i="20"/>
  <c r="J22" i="24"/>
  <c r="W22" i="47"/>
  <c r="M78" i="58" s="1"/>
  <c r="V14" i="47"/>
  <c r="V22" i="18"/>
  <c r="V10" i="18"/>
  <c r="Q19" i="18"/>
  <c r="P20" i="18" s="1"/>
  <c r="W20" i="18" s="1"/>
  <c r="M36" i="58" s="1"/>
  <c r="I40" i="24"/>
  <c r="Q13" i="31"/>
  <c r="I44" i="24"/>
  <c r="Q25" i="31"/>
  <c r="Q11" i="20"/>
  <c r="I28" i="24"/>
  <c r="Q27" i="31"/>
  <c r="Q13" i="20"/>
  <c r="I31" i="24"/>
  <c r="Q21" i="20"/>
  <c r="I29" i="24"/>
  <c r="P32" i="47"/>
  <c r="W32" i="47" s="1"/>
  <c r="R31" i="47"/>
  <c r="Q15" i="47"/>
  <c r="Q9" i="20"/>
  <c r="I14" i="24"/>
  <c r="V22" i="31"/>
  <c r="V32" i="18"/>
  <c r="V20" i="21"/>
  <c r="Q17" i="21"/>
  <c r="I16" i="24"/>
  <c r="V14" i="18"/>
  <c r="Q17" i="18"/>
  <c r="J35" i="24" s="1"/>
  <c r="I35" i="24"/>
  <c r="Q11" i="36"/>
  <c r="J84" i="24" s="1"/>
  <c r="I84" i="24"/>
  <c r="P30" i="21"/>
  <c r="P18" i="20"/>
  <c r="W18" i="20" s="1"/>
  <c r="M20" i="58" s="1"/>
  <c r="J19" i="24"/>
  <c r="Q25" i="21"/>
  <c r="Q19" i="20"/>
  <c r="I24" i="24"/>
  <c r="Q27" i="18"/>
  <c r="I37" i="24"/>
  <c r="R25" i="20"/>
  <c r="I40" i="51"/>
  <c r="Q21" i="36"/>
  <c r="I89" i="24"/>
  <c r="R17" i="20"/>
  <c r="Q25" i="18"/>
  <c r="J42" i="24" s="1"/>
  <c r="I21" i="51"/>
  <c r="I42" i="24"/>
  <c r="I27" i="51"/>
  <c r="I70" i="24"/>
  <c r="I39" i="51"/>
  <c r="I88" i="24"/>
  <c r="I33" i="24"/>
  <c r="I63" i="24"/>
  <c r="I32" i="51"/>
  <c r="I78" i="24"/>
  <c r="I43" i="51"/>
  <c r="I92" i="24"/>
  <c r="I25" i="51"/>
  <c r="I65" i="24"/>
  <c r="W30" i="47"/>
  <c r="V20" i="20"/>
  <c r="V24" i="21"/>
  <c r="V20" i="47"/>
  <c r="W18" i="47"/>
  <c r="M55" i="58" s="1"/>
  <c r="V10" i="47"/>
  <c r="I16" i="51"/>
  <c r="I36" i="24"/>
  <c r="J64" i="24"/>
  <c r="V20" i="36"/>
  <c r="V26" i="31"/>
  <c r="V14" i="31"/>
  <c r="V10" i="31"/>
  <c r="V18" i="21"/>
  <c r="V26" i="19"/>
  <c r="V14" i="19"/>
  <c r="V22" i="20"/>
  <c r="V18" i="20"/>
  <c r="V24" i="20"/>
  <c r="V30" i="46"/>
  <c r="V30" i="36"/>
  <c r="V14" i="36"/>
  <c r="V28" i="21"/>
  <c r="V16" i="21"/>
  <c r="V24" i="19"/>
  <c r="V20" i="19"/>
  <c r="I41" i="51"/>
  <c r="I90" i="24"/>
  <c r="I11" i="24"/>
  <c r="I7" i="52"/>
  <c r="I45" i="24"/>
  <c r="J66" i="24"/>
  <c r="I75" i="24"/>
  <c r="I29" i="51"/>
  <c r="I18" i="51"/>
  <c r="I38" i="24"/>
  <c r="J61" i="24"/>
  <c r="I77" i="24"/>
  <c r="I31" i="51"/>
  <c r="J86" i="24"/>
  <c r="W32" i="36"/>
  <c r="V32" i="36"/>
  <c r="V22" i="19"/>
  <c r="V10" i="20"/>
  <c r="V28" i="18"/>
  <c r="V22" i="36"/>
  <c r="V32" i="19"/>
  <c r="P30" i="36"/>
  <c r="W30" i="36" s="1"/>
  <c r="R29" i="36"/>
  <c r="I17" i="24"/>
  <c r="P30" i="18"/>
  <c r="W30" i="18" s="1"/>
  <c r="R29" i="18"/>
  <c r="J6" i="52" s="1"/>
  <c r="I69" i="24"/>
  <c r="W26" i="47"/>
  <c r="M51" i="58" s="1"/>
  <c r="I57" i="24"/>
  <c r="I24" i="51"/>
  <c r="V16" i="36"/>
  <c r="W30" i="21"/>
  <c r="V30" i="21"/>
  <c r="V14" i="21"/>
  <c r="W30" i="20"/>
  <c r="V30" i="20"/>
  <c r="V26" i="20"/>
  <c r="V14" i="20"/>
  <c r="V32" i="31"/>
  <c r="V12" i="21"/>
  <c r="V16" i="20"/>
  <c r="I42" i="51"/>
  <c r="I91" i="24"/>
  <c r="I9" i="24"/>
  <c r="I38" i="51"/>
  <c r="I87" i="24"/>
  <c r="V16" i="46"/>
  <c r="U21" i="45"/>
  <c r="I15" i="24"/>
  <c r="I33" i="51"/>
  <c r="I79" i="24"/>
  <c r="V28" i="46"/>
  <c r="V14" i="46"/>
  <c r="U17" i="45"/>
  <c r="J20" i="51"/>
  <c r="P10" i="18"/>
  <c r="W10" i="18" s="1"/>
  <c r="M37" i="58" s="1"/>
  <c r="R9" i="18"/>
  <c r="J41" i="24"/>
  <c r="V22" i="47"/>
  <c r="I26" i="51"/>
  <c r="I67" i="24"/>
  <c r="W20" i="47"/>
  <c r="M63" i="58" s="1"/>
  <c r="U23" i="45"/>
  <c r="J39" i="24"/>
  <c r="V24" i="36"/>
  <c r="V30" i="31"/>
  <c r="V18" i="31"/>
  <c r="V22" i="21"/>
  <c r="V30" i="19"/>
  <c r="V10" i="19"/>
  <c r="V26" i="18"/>
  <c r="V16" i="19"/>
  <c r="V20" i="18"/>
  <c r="V12" i="18"/>
  <c r="V18" i="36"/>
  <c r="V28" i="31"/>
  <c r="V24" i="31"/>
  <c r="V32" i="21"/>
  <c r="V28" i="20"/>
  <c r="V24" i="18"/>
  <c r="V18" i="18"/>
  <c r="R13" i="18" l="1"/>
  <c r="J17" i="51"/>
  <c r="J27" i="24"/>
  <c r="R27" i="47"/>
  <c r="J58" i="24"/>
  <c r="P24" i="47"/>
  <c r="W24" i="47" s="1"/>
  <c r="M58" i="58" s="1"/>
  <c r="R23" i="47"/>
  <c r="J28" i="51"/>
  <c r="J71" i="24"/>
  <c r="M86" i="22"/>
  <c r="R13" i="36"/>
  <c r="P28" i="19"/>
  <c r="W28" i="19" s="1"/>
  <c r="R27" i="19"/>
  <c r="P26" i="19"/>
  <c r="W26" i="19" s="1"/>
  <c r="R25" i="19"/>
  <c r="P30" i="19"/>
  <c r="W30" i="19" s="1"/>
  <c r="R29" i="19"/>
  <c r="P14" i="18"/>
  <c r="W14" i="18" s="1"/>
  <c r="M22" i="58" s="1"/>
  <c r="P28" i="18"/>
  <c r="W28" i="18" s="1"/>
  <c r="M33" i="58" s="1"/>
  <c r="R27" i="18"/>
  <c r="J35" i="51"/>
  <c r="P14" i="36"/>
  <c r="W14" i="36" s="1"/>
  <c r="M72" i="58" s="1"/>
  <c r="J83" i="24"/>
  <c r="J21" i="51"/>
  <c r="M87" i="22"/>
  <c r="P16" i="36"/>
  <c r="W16" i="36" s="1"/>
  <c r="M65" i="58" s="1"/>
  <c r="R21" i="31"/>
  <c r="J13" i="24"/>
  <c r="J6" i="51"/>
  <c r="P22" i="31"/>
  <c r="W22" i="31" s="1"/>
  <c r="P18" i="31"/>
  <c r="W18" i="31" s="1"/>
  <c r="J7" i="24"/>
  <c r="R17" i="31"/>
  <c r="P14" i="21"/>
  <c r="W14" i="21" s="1"/>
  <c r="M38" i="58" s="1"/>
  <c r="J43" i="24"/>
  <c r="R13" i="21"/>
  <c r="P22" i="21"/>
  <c r="W22" i="21" s="1"/>
  <c r="M16" i="58" s="1"/>
  <c r="J18" i="24"/>
  <c r="R21" i="21"/>
  <c r="J20" i="24"/>
  <c r="R11" i="21"/>
  <c r="P12" i="21"/>
  <c r="W12" i="21" s="1"/>
  <c r="M21" i="58" s="1"/>
  <c r="P10" i="21"/>
  <c r="W10" i="21" s="1"/>
  <c r="M8" i="58" s="1"/>
  <c r="J8" i="24"/>
  <c r="R9" i="21"/>
  <c r="M36" i="22"/>
  <c r="P22" i="19"/>
  <c r="W22" i="19" s="1"/>
  <c r="R21" i="19"/>
  <c r="J80" i="24"/>
  <c r="R15" i="36"/>
  <c r="J36" i="51"/>
  <c r="R21" i="36"/>
  <c r="J40" i="51"/>
  <c r="P12" i="36"/>
  <c r="W12" i="36" s="1"/>
  <c r="M66" i="58" s="1"/>
  <c r="R11" i="36"/>
  <c r="J37" i="24"/>
  <c r="P26" i="18"/>
  <c r="W26" i="18" s="1"/>
  <c r="M39" i="58" s="1"/>
  <c r="R25" i="18"/>
  <c r="R19" i="18"/>
  <c r="J40" i="24"/>
  <c r="J19" i="51"/>
  <c r="J21" i="24"/>
  <c r="R17" i="18"/>
  <c r="J15" i="51"/>
  <c r="P18" i="18"/>
  <c r="W18" i="18" s="1"/>
  <c r="M32" i="58" s="1"/>
  <c r="J26" i="24"/>
  <c r="J10" i="51"/>
  <c r="P12" i="18"/>
  <c r="W12" i="18" s="1"/>
  <c r="R11" i="18"/>
  <c r="R27" i="20"/>
  <c r="P28" i="20"/>
  <c r="W28" i="20" s="1"/>
  <c r="R11" i="31"/>
  <c r="J5" i="24"/>
  <c r="P12" i="31"/>
  <c r="W12" i="31" s="1"/>
  <c r="M41" i="58" s="1"/>
  <c r="P22" i="18"/>
  <c r="W22" i="18" s="1"/>
  <c r="M14" i="58" s="1"/>
  <c r="P22" i="36"/>
  <c r="W22" i="36" s="1"/>
  <c r="M69" i="58" s="1"/>
  <c r="J24" i="24"/>
  <c r="R19" i="20"/>
  <c r="P20" i="20"/>
  <c r="W20" i="20" s="1"/>
  <c r="M19" i="58" s="1"/>
  <c r="P10" i="20"/>
  <c r="W10" i="20" s="1"/>
  <c r="M10" i="58" s="1"/>
  <c r="J14" i="24"/>
  <c r="R9" i="20"/>
  <c r="R11" i="20"/>
  <c r="J28" i="24"/>
  <c r="P12" i="20"/>
  <c r="W12" i="20" s="1"/>
  <c r="M24" i="58" s="1"/>
  <c r="P26" i="21"/>
  <c r="W26" i="21" s="1"/>
  <c r="R25" i="21"/>
  <c r="P22" i="20"/>
  <c r="W22" i="20" s="1"/>
  <c r="M26" i="58" s="1"/>
  <c r="J29" i="24"/>
  <c r="R21" i="20"/>
  <c r="R13" i="20"/>
  <c r="P14" i="20"/>
  <c r="W14" i="20" s="1"/>
  <c r="M27" i="58" s="1"/>
  <c r="J31" i="24"/>
  <c r="P26" i="31"/>
  <c r="W26" i="31" s="1"/>
  <c r="R25" i="31"/>
  <c r="J44" i="24"/>
  <c r="R13" i="31"/>
  <c r="P14" i="31"/>
  <c r="W14" i="31" s="1"/>
  <c r="M40" i="58" s="1"/>
  <c r="P10" i="31"/>
  <c r="W10" i="31" s="1"/>
  <c r="M5" i="58" s="1"/>
  <c r="J6" i="24"/>
  <c r="R9" i="31"/>
  <c r="J10" i="24"/>
  <c r="R19" i="21"/>
  <c r="P20" i="21"/>
  <c r="W20" i="21" s="1"/>
  <c r="M11" i="58" s="1"/>
  <c r="P18" i="21"/>
  <c r="W18" i="21" s="1"/>
  <c r="M17" i="58" s="1"/>
  <c r="J16" i="24"/>
  <c r="R17" i="21"/>
  <c r="R21" i="18"/>
  <c r="J89" i="24"/>
  <c r="P16" i="47"/>
  <c r="W16" i="47" s="1"/>
  <c r="M71" i="58" s="1"/>
  <c r="R15" i="47"/>
  <c r="J74" i="24"/>
  <c r="P28" i="31"/>
  <c r="W28" i="31" s="1"/>
  <c r="R27" i="31"/>
  <c r="P24" i="20"/>
  <c r="W24" i="20" s="1"/>
  <c r="R23" i="20"/>
  <c r="P20" i="31"/>
  <c r="W20" i="31" s="1"/>
  <c r="M12" i="58" s="1"/>
  <c r="J11" i="24"/>
  <c r="R19" i="31"/>
  <c r="J92" i="24"/>
  <c r="J43" i="51"/>
  <c r="R11" i="46"/>
  <c r="P12" i="46"/>
  <c r="W12" i="46" s="1"/>
  <c r="M81" i="58" s="1"/>
  <c r="M76" i="22"/>
  <c r="J69" i="24"/>
  <c r="R11" i="47"/>
  <c r="P12" i="47"/>
  <c r="W12" i="47" s="1"/>
  <c r="M62" i="58" s="1"/>
  <c r="P32" i="31"/>
  <c r="W32" i="31" s="1"/>
  <c r="R31" i="31"/>
  <c r="R29" i="46"/>
  <c r="P30" i="46"/>
  <c r="W30" i="46" s="1"/>
  <c r="J33" i="51"/>
  <c r="P20" i="36"/>
  <c r="W20" i="36" s="1"/>
  <c r="M68" i="58" s="1"/>
  <c r="J79" i="24"/>
  <c r="R19" i="36"/>
  <c r="P24" i="31"/>
  <c r="W24" i="31" s="1"/>
  <c r="M15" i="58" s="1"/>
  <c r="J15" i="24"/>
  <c r="R23" i="31"/>
  <c r="P16" i="31"/>
  <c r="W16" i="31" s="1"/>
  <c r="M7" i="58" s="1"/>
  <c r="J9" i="24"/>
  <c r="R15" i="31"/>
  <c r="M74" i="22"/>
  <c r="R27" i="46"/>
  <c r="P28" i="46"/>
  <c r="W28" i="46" s="1"/>
  <c r="J31" i="51"/>
  <c r="R17" i="46"/>
  <c r="P18" i="46"/>
  <c r="W18" i="46" s="1"/>
  <c r="M59" i="58" s="1"/>
  <c r="J77" i="24"/>
  <c r="J41" i="51"/>
  <c r="P18" i="36"/>
  <c r="W18" i="36" s="1"/>
  <c r="M79" i="58" s="1"/>
  <c r="J90" i="24"/>
  <c r="R17" i="36"/>
  <c r="P32" i="21"/>
  <c r="W32" i="21" s="1"/>
  <c r="R31" i="21"/>
  <c r="M77" i="22"/>
  <c r="M83" i="22"/>
  <c r="M12" i="22"/>
  <c r="J42" i="51"/>
  <c r="J91" i="24"/>
  <c r="R9" i="36"/>
  <c r="P10" i="36"/>
  <c r="W10" i="36" s="1"/>
  <c r="M80" i="58" s="1"/>
  <c r="P32" i="20"/>
  <c r="W32" i="20" s="1"/>
  <c r="R31" i="20"/>
  <c r="R25" i="46"/>
  <c r="P26" i="46"/>
  <c r="W26" i="46" s="1"/>
  <c r="J65" i="24"/>
  <c r="J25" i="51"/>
  <c r="R19" i="46"/>
  <c r="P20" i="46"/>
  <c r="W20" i="46" s="1"/>
  <c r="M57" i="58" s="1"/>
  <c r="J78" i="24"/>
  <c r="J32" i="51"/>
  <c r="R21" i="46"/>
  <c r="P22" i="46"/>
  <c r="W22" i="46" s="1"/>
  <c r="M74" i="58" s="1"/>
  <c r="M5" i="22"/>
  <c r="P16" i="21"/>
  <c r="W16" i="21" s="1"/>
  <c r="M13" i="58" s="1"/>
  <c r="R15" i="21"/>
  <c r="J17" i="24"/>
  <c r="J29" i="51"/>
  <c r="J75" i="24"/>
  <c r="P10" i="46"/>
  <c r="W10" i="46" s="1"/>
  <c r="M73" i="58" s="1"/>
  <c r="R9" i="46"/>
  <c r="P32" i="18"/>
  <c r="W32" i="18" s="1"/>
  <c r="M43" i="58" s="1"/>
  <c r="R31" i="18"/>
  <c r="J7" i="52" s="1"/>
  <c r="J45" i="24"/>
  <c r="P16" i="20"/>
  <c r="W16" i="20" s="1"/>
  <c r="M30" i="58" s="1"/>
  <c r="R15" i="20"/>
  <c r="J33" i="24"/>
  <c r="J67" i="24"/>
  <c r="J26" i="51"/>
  <c r="R13" i="46"/>
  <c r="P14" i="46"/>
  <c r="W14" i="46" s="1"/>
  <c r="M67" i="58" s="1"/>
  <c r="P24" i="21"/>
  <c r="W24" i="21" s="1"/>
  <c r="R23" i="21"/>
  <c r="P28" i="21"/>
  <c r="W28" i="21" s="1"/>
  <c r="R27" i="21"/>
  <c r="M9" i="22"/>
  <c r="P24" i="19"/>
  <c r="W24" i="19" s="1"/>
  <c r="R23" i="19"/>
  <c r="P32" i="19"/>
  <c r="W32" i="19" s="1"/>
  <c r="R31" i="19"/>
  <c r="P28" i="36"/>
  <c r="W28" i="36" s="1"/>
  <c r="M75" i="58" s="1"/>
  <c r="J38" i="51"/>
  <c r="J87" i="24"/>
  <c r="R27" i="36"/>
  <c r="R31" i="46"/>
  <c r="P32" i="46"/>
  <c r="W32" i="46" s="1"/>
  <c r="J24" i="51"/>
  <c r="J57" i="24"/>
  <c r="R15" i="46"/>
  <c r="P16" i="46"/>
  <c r="W16" i="46" s="1"/>
  <c r="M52" i="58" s="1"/>
  <c r="P24" i="18"/>
  <c r="W24" i="18" s="1"/>
  <c r="M34" i="58" s="1"/>
  <c r="J18" i="51"/>
  <c r="J38" i="24"/>
  <c r="R23" i="18"/>
  <c r="P16" i="18"/>
  <c r="W16" i="18" s="1"/>
  <c r="M35" i="58" s="1"/>
  <c r="J16" i="51"/>
  <c r="R15" i="18"/>
  <c r="J36" i="24"/>
  <c r="M14" i="22"/>
  <c r="R9" i="47"/>
  <c r="P10" i="47"/>
  <c r="W10" i="47" s="1"/>
  <c r="M56" i="58" s="1"/>
  <c r="J63" i="24"/>
  <c r="R23" i="46"/>
  <c r="P24" i="46"/>
  <c r="W24" i="46" s="1"/>
  <c r="J39" i="51"/>
  <c r="P26" i="36"/>
  <c r="W26" i="36" s="1"/>
  <c r="M77" i="58" s="1"/>
  <c r="J88" i="24"/>
  <c r="R25" i="36"/>
  <c r="P24" i="36"/>
  <c r="W24" i="36" s="1"/>
  <c r="M64" i="58" s="1"/>
  <c r="J27" i="51"/>
  <c r="R23" i="36"/>
  <c r="J70" i="24"/>
  <c r="M15" i="22" l="1"/>
  <c r="M79" i="22"/>
  <c r="M51" i="22"/>
  <c r="M49" i="22"/>
  <c r="M85" i="22"/>
  <c r="M43" i="22"/>
  <c r="M33" i="22"/>
  <c r="M42" i="22"/>
  <c r="M37" i="22"/>
  <c r="M27" i="22"/>
  <c r="M40" i="22"/>
  <c r="M38" i="22"/>
  <c r="M39" i="22"/>
  <c r="M6" i="58"/>
  <c r="M25" i="22"/>
  <c r="M42" i="58"/>
  <c r="M45" i="22"/>
  <c r="M50" i="22"/>
  <c r="M7" i="22"/>
  <c r="M25" i="58"/>
  <c r="M6" i="22"/>
  <c r="M44" i="22"/>
  <c r="M11" i="22"/>
  <c r="M57" i="22"/>
  <c r="M34" i="22"/>
  <c r="M28" i="22"/>
  <c r="M29" i="22"/>
  <c r="M24" i="22"/>
  <c r="M35" i="22"/>
  <c r="M31" i="22"/>
  <c r="M66" i="22"/>
  <c r="M59" i="22"/>
  <c r="M8" i="22"/>
  <c r="M65" i="22"/>
  <c r="M62" i="22"/>
  <c r="M78" i="22"/>
  <c r="M61" i="22"/>
  <c r="M46" i="22"/>
  <c r="M26" i="22"/>
  <c r="M32" i="22"/>
  <c r="M56" i="22"/>
  <c r="M13" i="22"/>
  <c r="M53" i="22"/>
  <c r="M52" i="22"/>
  <c r="M55" i="22"/>
  <c r="M41" i="22"/>
  <c r="M58" i="22"/>
  <c r="M64" i="22"/>
  <c r="M63" i="22"/>
  <c r="M82" i="22"/>
  <c r="M67" i="22"/>
  <c r="M30" i="22"/>
  <c r="G12" i="24" l="1"/>
  <c r="H17" i="22"/>
  <c r="H9" i="58"/>
  <c r="G5" i="51"/>
  <c r="P9" i="19"/>
  <c r="I5" i="51" s="1"/>
  <c r="Q9" i="19" l="1"/>
  <c r="J12" i="24" s="1"/>
  <c r="I12" i="24"/>
  <c r="R9" i="19" l="1"/>
  <c r="J5" i="51"/>
  <c r="P10" i="19"/>
  <c r="W10" i="19" s="1"/>
  <c r="M17" i="22" s="1"/>
  <c r="M9" i="58" l="1"/>
  <c r="H18" i="22"/>
  <c r="G8" i="51"/>
  <c r="H18" i="58"/>
  <c r="G23" i="24"/>
  <c r="P11" i="19"/>
  <c r="Q11" i="19" s="1"/>
  <c r="J23" i="24" l="1"/>
  <c r="P12" i="19"/>
  <c r="W12" i="19" s="1"/>
  <c r="R11" i="19"/>
  <c r="J8" i="51"/>
  <c r="I8" i="51"/>
  <c r="I23" i="24"/>
  <c r="M18" i="58" l="1"/>
  <c r="M18" i="22"/>
  <c r="H19" i="22"/>
  <c r="G9" i="51"/>
  <c r="H23" i="58"/>
  <c r="G25" i="24"/>
  <c r="P13" i="19"/>
  <c r="Q13" i="19" l="1"/>
  <c r="J25" i="24" s="1"/>
  <c r="I9" i="51"/>
  <c r="I25" i="24"/>
  <c r="J9" i="51"/>
  <c r="P14" i="19"/>
  <c r="W14" i="19" s="1"/>
  <c r="R13" i="19"/>
  <c r="M19" i="22" l="1"/>
  <c r="M23" i="58"/>
  <c r="H21" i="22"/>
  <c r="G12" i="51"/>
  <c r="G30" i="24"/>
  <c r="H29" i="58"/>
  <c r="P15" i="19"/>
  <c r="I30" i="24" s="1"/>
  <c r="I12" i="51" l="1"/>
  <c r="Q15" i="19"/>
  <c r="J30" i="24" l="1"/>
  <c r="J12" i="51"/>
  <c r="R15" i="19"/>
  <c r="P16" i="19"/>
  <c r="W16" i="19" s="1"/>
  <c r="M29" i="58" l="1"/>
  <c r="M21" i="22"/>
  <c r="H28" i="58"/>
  <c r="G32" i="24"/>
  <c r="H20" i="22"/>
  <c r="G13" i="51"/>
  <c r="P17" i="19"/>
  <c r="I32" i="24" s="1"/>
  <c r="Q17" i="19" l="1"/>
  <c r="I13" i="51"/>
  <c r="J13" i="51" l="1"/>
  <c r="P18" i="19"/>
  <c r="W18" i="19" s="1"/>
  <c r="J32" i="24"/>
  <c r="R17" i="19"/>
  <c r="M28" i="58" l="1"/>
  <c r="M20" i="22"/>
  <c r="G14" i="51"/>
  <c r="G34" i="24"/>
  <c r="H31" i="58"/>
  <c r="H22" i="22"/>
  <c r="P19" i="19"/>
  <c r="I34" i="24" s="1"/>
  <c r="I14" i="51" l="1"/>
  <c r="Q19" i="19"/>
  <c r="R19" i="19" l="1"/>
  <c r="J14" i="51"/>
  <c r="P20" i="19"/>
  <c r="W20" i="19" s="1"/>
  <c r="J34" i="24"/>
  <c r="M22" i="22" l="1"/>
  <c r="M31" i="5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0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 xr:uid="{00000000-0006-0000-0000-000009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 shapeId="0" xr:uid="{00000000-0006-0000-0000-00000A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0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0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4" authorId="2" shapeId="0" xr:uid="{00000000-0006-0000-00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6" authorId="2" shapeId="0" xr:uid="{00000000-0006-0000-0000-00000E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tull</author>
    <author>arne.h.pedersen</author>
  </authors>
  <commentList>
    <comment ref="H7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Bruk fnutt (') for planlagt løft (f.eks. '50). Fjern fnutt for godkjent løft(f.eks. 50), bruk minus (-) for underkjent løft (f.eks. -50).</t>
        </r>
      </text>
    </comment>
    <comment ref="K7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Bruk fnutt (') for planlagt løft (f.eks. '70). Fjern fnutt for godkjent løft (f.eks. 70). Bruk minus (-) for underkjent løft (f.eks. -70).</t>
        </r>
      </text>
    </comment>
    <comment ref="S7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>Angis i meter med to desimaler, f.eks.</t>
        </r>
        <r>
          <rPr>
            <b/>
            <sz val="8"/>
            <color indexed="81"/>
            <rFont val="Tahoma"/>
            <family val="2"/>
          </rPr>
          <t>9,75.</t>
        </r>
      </text>
    </comment>
    <comment ref="U7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900-000006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 shapeId="0" xr:uid="{00000000-0006-0000-0900-00000A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0" shapeId="0" xr:uid="{00000000-0006-0000-0900-00000B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8" authorId="0" shapeId="0" xr:uid="{00000000-0006-0000-0900-00000C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8" authorId="0" shapeId="0" xr:uid="{00000000-0006-0000-0900-00000D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0" shapeId="0" xr:uid="{00000000-0006-0000-0900-00000E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1" shapeId="0" xr:uid="{00000000-0006-0000-09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1" shapeId="0" xr:uid="{00000000-0006-0000-0900-000010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5" authorId="1" shapeId="0" xr:uid="{00000000-0006-0000-0900-000011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6" authorId="1" shapeId="0" xr:uid="{00000000-0006-0000-0900-000012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40" authorId="1" shapeId="0" xr:uid="{00000000-0006-0000-0900-000013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tull</author>
    <author>arne.h.pedersen</author>
  </authors>
  <commentList>
    <comment ref="H7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Bruk fnutt (') for planlagt løft (f.eks. '50). Fjern fnutt for godkjent løft(f.eks. 50), bruk minus (-) for underkjent løft (f.eks. -50).</t>
        </r>
      </text>
    </comment>
    <comment ref="K7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Bruk fnutt (') for planlagt løft (f.eks. '70). Fjern fnutt for godkjent løft (f.eks. 70). Bruk minus (-) for underkjent løft (f.eks. -70).</t>
        </r>
      </text>
    </comment>
    <comment ref="S7" authorId="0" shapeId="0" xr:uid="{00000000-0006-0000-0A00-000003000000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>Angis i meter med to desimaler, f.eks.</t>
        </r>
        <r>
          <rPr>
            <b/>
            <sz val="8"/>
            <color indexed="81"/>
            <rFont val="Tahoma"/>
            <family val="2"/>
          </rPr>
          <t>9,75.</t>
        </r>
      </text>
    </comment>
    <comment ref="U7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A00-000006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A00-000007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 shapeId="0" xr:uid="{00000000-0006-0000-0A00-00000A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0" shapeId="0" xr:uid="{00000000-0006-0000-0A00-00000B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8" authorId="0" shapeId="0" xr:uid="{00000000-0006-0000-0A00-00000C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8" authorId="0" shapeId="0" xr:uid="{00000000-0006-0000-0A00-00000D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0" shapeId="0" xr:uid="{00000000-0006-0000-0A00-00000E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1" shapeId="0" xr:uid="{00000000-0006-0000-0A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1" shapeId="0" xr:uid="{00000000-0006-0000-0A00-000010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5" authorId="1" shapeId="0" xr:uid="{00000000-0006-0000-0A00-000011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6" authorId="1" shapeId="0" xr:uid="{00000000-0006-0000-0A00-000012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40" authorId="1" shapeId="0" xr:uid="{00000000-0006-0000-0A00-000013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tull</author>
    <author>arne.h.pedersen</author>
  </authors>
  <commentList>
    <comment ref="H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Bruk fnutt (') for planlagt løft (f.eks. '50). Fjern fnutt for godkjent løft(f.eks. 50), bruk minus (-) for underkjent løft (f.eks. -50).</t>
        </r>
      </text>
    </comment>
    <comment ref="K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Bruk fnutt (') for planlagt løft (f.eks. '70). Fjern fnutt for godkjent løft (f.eks. 70). Bruk minus (-) for underkjent løft (f.eks. -70).</t>
        </r>
      </text>
    </comment>
    <comment ref="S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Angis i meter med to desimaler, f.eks.</t>
        </r>
        <r>
          <rPr>
            <b/>
            <sz val="8"/>
            <color indexed="81"/>
            <rFont val="Tahoma"/>
            <family val="2"/>
          </rPr>
          <t>9,75.</t>
        </r>
      </text>
    </comment>
    <comment ref="U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8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8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1" shapeId="0" xr:uid="{00000000-0006-0000-01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1" shapeId="0" xr:uid="{00000000-0006-0000-0100-000010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5" authorId="1" shapeId="0" xr:uid="{00000000-0006-0000-0100-000011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6" authorId="1" shapeId="0" xr:uid="{00000000-0006-0000-0100-000012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40" authorId="1" shapeId="0" xr:uid="{00000000-0006-0000-0100-000013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tull</author>
    <author>arne.h.pedersen</author>
  </authors>
  <commentList>
    <comment ref="H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Bruk fnutt (') for planlagt løft (f.eks. '50). Fjern fnutt for godkjent løft(f.eks. 50), bruk minus (-) for underkjent løft (f.eks. -50).</t>
        </r>
      </text>
    </comment>
    <comment ref="K7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Bruk fnutt (') for planlagt løft (f.eks. '70). Fjern fnutt for godkjent løft (f.eks. 70). Bruk minus (-) for underkjent løft (f.eks. -70).</t>
        </r>
      </text>
    </comment>
    <comment ref="S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Angis i meter med to desimaler, f.eks.</t>
        </r>
        <r>
          <rPr>
            <b/>
            <sz val="8"/>
            <color indexed="81"/>
            <rFont val="Tahoma"/>
            <family val="2"/>
          </rPr>
          <t>9,75.</t>
        </r>
      </text>
    </comment>
    <comment ref="U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8" authorId="0" shapeId="0" xr:uid="{00000000-0006-0000-0200-00000C000000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T8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1" shapeId="0" xr:uid="{00000000-0006-0000-02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1" shapeId="0" xr:uid="{00000000-0006-0000-0200-000010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5" authorId="1" shapeId="0" xr:uid="{00000000-0006-0000-0200-000011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6" authorId="1" shapeId="0" xr:uid="{00000000-0006-0000-0200-000012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1" shapeId="0" xr:uid="{00000000-0006-0000-0200-000013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tull</author>
    <author>arne.h.pedersen</author>
  </authors>
  <commentList>
    <comment ref="H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Bruk fnutt (') for planlagt løft (f.eks. '50). Fjern fnutt for godkjent løft(f.eks. 50), bruk minus (-) for underkjent løft (f.eks. -50).</t>
        </r>
      </text>
    </comment>
    <comment ref="K7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Bruk fnutt (') for planlagt løft (f.eks. '70). Fjern fnutt for godkjent løft (f.eks. 70). Bruk minus (-) for underkjent løft (f.eks. -70).</t>
        </r>
      </text>
    </comment>
    <comment ref="S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Angis i meter med to desimaler, f.eks.</t>
        </r>
        <r>
          <rPr>
            <b/>
            <sz val="8"/>
            <color indexed="81"/>
            <rFont val="Tahoma"/>
            <family val="2"/>
          </rPr>
          <t>9,75.</t>
        </r>
      </text>
    </comment>
    <comment ref="U7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8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8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1" shapeId="0" xr:uid="{00000000-0006-0000-03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1" shapeId="0" xr:uid="{00000000-0006-0000-0300-000010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5" authorId="1" shapeId="0" xr:uid="{00000000-0006-0000-0300-000011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6" authorId="1" shapeId="0" xr:uid="{00000000-0006-0000-0300-000012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40" authorId="1" shapeId="0" xr:uid="{00000000-0006-0000-0300-000013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tull</author>
    <author>arne.h.pedersen</author>
  </authors>
  <commentList>
    <comment ref="H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Bruk fnutt (') for planlagt løft (f.eks. '50). Fjern fnutt for godkjent løft(f.eks. 50), bruk minus (-) for underkjent løft (f.eks. -50).</t>
        </r>
      </text>
    </comment>
    <comment ref="K7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Bruk fnutt (') for planlagt løft (f.eks. '70). Fjern fnutt for godkjent løft (f.eks. 70). Bruk minus (-) for underkjent løft (f.eks. -70).</t>
        </r>
      </text>
    </comment>
    <comment ref="S7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Angis i meter med to desimaler, f.eks.</t>
        </r>
        <r>
          <rPr>
            <b/>
            <sz val="8"/>
            <color indexed="81"/>
            <rFont val="Tahoma"/>
            <family val="2"/>
          </rPr>
          <t>9,75.</t>
        </r>
      </text>
    </comment>
    <comment ref="U7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8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8" authorId="0" shapeId="0" xr:uid="{00000000-0006-0000-0400-00000D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0" shapeId="0" xr:uid="{00000000-0006-0000-0400-00000E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1" shapeId="0" xr:uid="{00000000-0006-0000-04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1" shapeId="0" xr:uid="{00000000-0006-0000-0400-000010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5" authorId="1" shapeId="0" xr:uid="{00000000-0006-0000-0400-000011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6" authorId="1" shapeId="0" xr:uid="{00000000-0006-0000-0400-000012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40" authorId="1" shapeId="0" xr:uid="{00000000-0006-0000-0400-000013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tull</author>
    <author>arne.h.pedersen</author>
  </authors>
  <commentList>
    <comment ref="H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Bruk fnutt (') for planlagt løft (f.eks. '50). Fjern fnutt for godkjent løft(f.eks. 50), bruk minus (-) for underkjent løft (f.eks. -50).</t>
        </r>
      </text>
    </comment>
    <comment ref="K7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Bruk fnutt (') for planlagt løft (f.eks. '70). Fjern fnutt for godkjent løft (f.eks. 70). Bruk minus (-) for underkjent løft (f.eks. -70).</t>
        </r>
      </text>
    </comment>
    <comment ref="S7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Angis i meter med to desimaler, f.eks.</t>
        </r>
        <r>
          <rPr>
            <b/>
            <sz val="8"/>
            <color indexed="81"/>
            <rFont val="Tahoma"/>
            <family val="2"/>
          </rPr>
          <t>9,75.</t>
        </r>
      </text>
    </comment>
    <comment ref="U7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8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8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1" shapeId="0" xr:uid="{00000000-0006-0000-05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1" shapeId="0" xr:uid="{00000000-0006-0000-0500-000010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5" authorId="1" shapeId="0" xr:uid="{00000000-0006-0000-0500-000011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6" authorId="1" shapeId="0" xr:uid="{00000000-0006-0000-0500-000012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40" authorId="1" shapeId="0" xr:uid="{00000000-0006-0000-0500-000013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tull</author>
    <author>arne.h.pedersen</author>
  </authors>
  <commentList>
    <comment ref="H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Bruk fnutt (') for planlagt løft (f.eks. '50). Fjern fnutt for godkjent løft(f.eks. 50), bruk minus (-) for underkjent løft (f.eks. -50).</t>
        </r>
      </text>
    </comment>
    <comment ref="K7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Bruk fnutt (') for planlagt løft (f.eks. '70). Fjern fnutt for godkjent løft (f.eks. 70). Bruk minus (-) for underkjent løft (f.eks. -70).</t>
        </r>
      </text>
    </comment>
    <comment ref="S7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Angis i meter med to desimaler, f.eks.</t>
        </r>
        <r>
          <rPr>
            <b/>
            <sz val="8"/>
            <color indexed="81"/>
            <rFont val="Tahoma"/>
            <family val="2"/>
          </rPr>
          <t>9,75.</t>
        </r>
      </text>
    </comment>
    <comment ref="U7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0" shapeId="0" xr:uid="{00000000-0006-0000-0600-00000B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8" authorId="0" shapeId="0" xr:uid="{00000000-0006-0000-0600-00000C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8" authorId="0" shapeId="0" xr:uid="{00000000-0006-0000-0600-00000D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0" shapeId="0" xr:uid="{00000000-0006-0000-0600-00000E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1" shapeId="0" xr:uid="{00000000-0006-0000-06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1" shapeId="0" xr:uid="{00000000-0006-0000-0600-000010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5" authorId="1" shapeId="0" xr:uid="{00000000-0006-0000-0600-000011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6" authorId="1" shapeId="0" xr:uid="{00000000-0006-0000-0600-000012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40" authorId="1" shapeId="0" xr:uid="{00000000-0006-0000-0600-000013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tull</author>
    <author>arne.h.pedersen</author>
  </authors>
  <commentList>
    <comment ref="H7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Bruk fnutt (') for planlagt løft (f.eks. '50). Fjern fnutt for godkjent løft(f.eks. 50), bruk minus (-) for underkjent løft (f.eks. -50).</t>
        </r>
      </text>
    </comment>
    <comment ref="K7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Bruk fnutt (') for planlagt løft (f.eks. '70). Fjern fnutt for godkjent løft (f.eks. 70). Bruk minus (-) for underkjent løft (f.eks. -70).</t>
        </r>
      </text>
    </comment>
    <comment ref="S7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Angis i meter med to desimaler, f.eks.</t>
        </r>
        <r>
          <rPr>
            <b/>
            <sz val="8"/>
            <color indexed="81"/>
            <rFont val="Tahoma"/>
            <family val="2"/>
          </rPr>
          <t>9,75.</t>
        </r>
      </text>
    </comment>
    <comment ref="U7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700-000006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 shapeId="0" xr:uid="{00000000-0006-0000-0700-00000A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0" shapeId="0" xr:uid="{00000000-0006-0000-0700-00000B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8" authorId="0" shapeId="0" xr:uid="{00000000-0006-0000-0700-00000C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8" authorId="0" shapeId="0" xr:uid="{00000000-0006-0000-0700-00000D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0" shapeId="0" xr:uid="{00000000-0006-0000-0700-00000E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1" shapeId="0" xr:uid="{00000000-0006-0000-07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1" shapeId="0" xr:uid="{00000000-0006-0000-0700-000010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5" authorId="1" shapeId="0" xr:uid="{00000000-0006-0000-0700-000011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6" authorId="1" shapeId="0" xr:uid="{00000000-0006-0000-0700-000012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40" authorId="1" shapeId="0" xr:uid="{00000000-0006-0000-0700-000013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tull</author>
    <author>arne.h.pedersen</author>
  </authors>
  <commentList>
    <comment ref="H7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Bruk fnutt (') for planlagt løft (f.eks. '50). Fjern fnutt for godkjent løft(f.eks. 50), bruk minus (-) for underkjent løft (f.eks. -50).</t>
        </r>
      </text>
    </comment>
    <comment ref="K7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Bruk fnutt (') for planlagt løft (f.eks. '70). Fjern fnutt for godkjent løft (f.eks. 70). Bruk minus (-) for underkjent løft (f.eks. -70).</t>
        </r>
      </text>
    </comment>
    <comment ref="S7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>Angis i meter med to desimaler, f.eks.</t>
        </r>
        <r>
          <rPr>
            <b/>
            <sz val="8"/>
            <color indexed="81"/>
            <rFont val="Tahoma"/>
            <family val="2"/>
          </rPr>
          <t>9,75.</t>
        </r>
      </text>
    </comment>
    <comment ref="U7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800-000006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 shapeId="0" xr:uid="{00000000-0006-0000-0800-00000A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0" shapeId="0" xr:uid="{00000000-0006-0000-0800-00000B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8" authorId="0" shapeId="0" xr:uid="{00000000-0006-0000-0800-00000C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8" authorId="0" shapeId="0" xr:uid="{00000000-0006-0000-0800-00000D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0" shapeId="0" xr:uid="{00000000-0006-0000-0800-00000E00000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1" shapeId="0" xr:uid="{00000000-0006-0000-08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1" shapeId="0" xr:uid="{00000000-0006-0000-0800-000010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35" authorId="1" shapeId="0" xr:uid="{00000000-0006-0000-0800-000011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6" authorId="1" shapeId="0" xr:uid="{00000000-0006-0000-0800-000012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1" shapeId="0" xr:uid="{00000000-0006-0000-0800-000013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<sst xmlns="http://schemas.openxmlformats.org/spreadsheetml/2006/main" count="1563" uniqueCount="287">
  <si>
    <t>S t e v n e p r o t o k o l l</t>
  </si>
  <si>
    <t>Norges Vektløfterforbund</t>
  </si>
  <si>
    <t>Stevnekat:</t>
  </si>
  <si>
    <t>NM 5-kamp og Norges Cup 3. runde</t>
  </si>
  <si>
    <t>Arrangør:</t>
  </si>
  <si>
    <t>Larvik AK</t>
  </si>
  <si>
    <t>Sted:</t>
  </si>
  <si>
    <t>Stavernhallen</t>
  </si>
  <si>
    <t>Dato:</t>
  </si>
  <si>
    <t>Pulje:</t>
  </si>
  <si>
    <t>P1, 1</t>
  </si>
  <si>
    <t>Vekt-</t>
  </si>
  <si>
    <t>Kropps-</t>
  </si>
  <si>
    <t xml:space="preserve"> Kate-</t>
  </si>
  <si>
    <t>Fødsels-</t>
  </si>
  <si>
    <t>Navn</t>
  </si>
  <si>
    <t>Lag</t>
  </si>
  <si>
    <t>Rykk</t>
  </si>
  <si>
    <t>Støt</t>
  </si>
  <si>
    <t xml:space="preserve">    Beste forsøk i</t>
  </si>
  <si>
    <t>Sammen-</t>
  </si>
  <si>
    <t>Poeng</t>
  </si>
  <si>
    <t>Pl.</t>
  </si>
  <si>
    <t>Rek.</t>
  </si>
  <si>
    <t>Sinclair Coeff.</t>
  </si>
  <si>
    <t>klasse</t>
  </si>
  <si>
    <t>vekt</t>
  </si>
  <si>
    <t>gori</t>
  </si>
  <si>
    <t>dato</t>
  </si>
  <si>
    <t xml:space="preserve">      hver øvelse</t>
  </si>
  <si>
    <t>lagt</t>
  </si>
  <si>
    <t>Veteran</t>
  </si>
  <si>
    <t>SK</t>
  </si>
  <si>
    <t>Marie Haakstad</t>
  </si>
  <si>
    <t>Spydeberg Atletene</t>
  </si>
  <si>
    <t>K4</t>
  </si>
  <si>
    <t>Eva Grøndahl Lundberg</t>
  </si>
  <si>
    <t>JM</t>
  </si>
  <si>
    <t>Gard Bahmanyar</t>
  </si>
  <si>
    <t>M4</t>
  </si>
  <si>
    <t>Atle Rønning Kauppinen</t>
  </si>
  <si>
    <t>Grenland AK</t>
  </si>
  <si>
    <t xml:space="preserve"> </t>
  </si>
  <si>
    <t>SM</t>
  </si>
  <si>
    <t>Anders Albert</t>
  </si>
  <si>
    <t>Nidelv IL</t>
  </si>
  <si>
    <t>M7</t>
  </si>
  <si>
    <t>Johan Thonerud</t>
  </si>
  <si>
    <t>-</t>
  </si>
  <si>
    <t>Alexander Bahmanyar</t>
  </si>
  <si>
    <t>Stevnets leder:</t>
  </si>
  <si>
    <t>Tryggve Duun, Trondheim AK, Int I</t>
  </si>
  <si>
    <t xml:space="preserve">Dommere:                                  </t>
  </si>
  <si>
    <t>Sofie Prytz Løwer, Larvik AK, F</t>
  </si>
  <si>
    <t>Kira Ingelsrudøyen, Larvik AK, Int II</t>
  </si>
  <si>
    <t>Jury:</t>
  </si>
  <si>
    <t>Kristoffer Solheimsnes, Gjøvik AK, R</t>
  </si>
  <si>
    <t>Teknisk kontrollør:</t>
  </si>
  <si>
    <t>Chief Marshall:</t>
  </si>
  <si>
    <t>Tor Steinar Herikstad, Vigrestad IK, F - Nicolai Roness, Gjøvik AK, F</t>
  </si>
  <si>
    <t>Sekretær:</t>
  </si>
  <si>
    <t>Arne Grostad, Nidelv IL, Int II</t>
  </si>
  <si>
    <t>Tidtaker:</t>
  </si>
  <si>
    <t>Jarle T. Bjerkholt, Larvik AK, F</t>
  </si>
  <si>
    <t>Hans Bjørnar Hagenes, Vigrestad IK, F</t>
  </si>
  <si>
    <t>Speaker:</t>
  </si>
  <si>
    <t>Beskrivelse Rekorder:</t>
  </si>
  <si>
    <t>K4. Klasse 90 kg: Eva Grøndahl Lundberg, Spydeberg AT. Støt 43 kg. Sml 78 kg.</t>
  </si>
  <si>
    <t>Notater:</t>
  </si>
  <si>
    <t>Ny Sinclair tablell benyttes fra 1.1.2013</t>
  </si>
  <si>
    <r>
      <t xml:space="preserve">5 - k a m p    p r o t o k o l l 
</t>
    </r>
    <r>
      <rPr>
        <b/>
        <sz val="24"/>
        <rFont val="Arial Black"/>
        <family val="2"/>
      </rPr>
      <t>inkl. vektløft-protokoll</t>
    </r>
  </si>
  <si>
    <t>P1, 2</t>
  </si>
  <si>
    <t>Kat.</t>
  </si>
  <si>
    <t>St</t>
  </si>
  <si>
    <t>Vektløfting  total</t>
  </si>
  <si>
    <t>Trehopp</t>
  </si>
  <si>
    <t>Kulekast</t>
  </si>
  <si>
    <t>40 m sprint</t>
  </si>
  <si>
    <t>3-kamp</t>
  </si>
  <si>
    <t>5-kamp</t>
  </si>
  <si>
    <t>PL</t>
  </si>
  <si>
    <t>Rek</t>
  </si>
  <si>
    <t>v.løft</t>
  </si>
  <si>
    <t>år</t>
  </si>
  <si>
    <t>nr</t>
  </si>
  <si>
    <t>Klubb</t>
  </si>
  <si>
    <t>5-kamp poeng</t>
  </si>
  <si>
    <t>Sml</t>
  </si>
  <si>
    <t>sum</t>
  </si>
  <si>
    <t>total</t>
  </si>
  <si>
    <t>48</t>
  </si>
  <si>
    <t>UK</t>
  </si>
  <si>
    <t>13-14</t>
  </si>
  <si>
    <t>Iben Karete Karlsen</t>
  </si>
  <si>
    <t>Gjøvik AK</t>
  </si>
  <si>
    <t>53</t>
  </si>
  <si>
    <t>Ronja Lenvik</t>
  </si>
  <si>
    <t>Hitra VK</t>
  </si>
  <si>
    <t>Åse Johanne Berge</t>
  </si>
  <si>
    <t>58</t>
  </si>
  <si>
    <t>Thea Andersen Larsen</t>
  </si>
  <si>
    <t>+75</t>
  </si>
  <si>
    <t>Carmen Grimseth</t>
  </si>
  <si>
    <t>Tambarskjelvar IL</t>
  </si>
  <si>
    <t>15.16</t>
  </si>
  <si>
    <t>Louisa Hjelmås</t>
  </si>
  <si>
    <t>15-16</t>
  </si>
  <si>
    <t>Julia Jordanger Loen</t>
  </si>
  <si>
    <t>Breimsbygda IL</t>
  </si>
  <si>
    <t>63</t>
  </si>
  <si>
    <t>Iselin Mehl Brekkhus</t>
  </si>
  <si>
    <t>Vigrestad IK</t>
  </si>
  <si>
    <t>75</t>
  </si>
  <si>
    <t>Camilla Strand</t>
  </si>
  <si>
    <t>Erika Jellestad</t>
  </si>
  <si>
    <t>Dommere:</t>
  </si>
  <si>
    <t>Iselin Hatlenes, AK Bjørgvin, F</t>
  </si>
  <si>
    <t xml:space="preserve">Kira Ingelsrudøyen, Larvik AK, Int II											</t>
  </si>
  <si>
    <t>Johnny Olsen, Grenland AK, F</t>
  </si>
  <si>
    <t>Nicolai Roness, Gjvik AK, F - Rebekka Tao Jacobsen, Larvik AK, F</t>
  </si>
  <si>
    <t>P1, 3</t>
  </si>
  <si>
    <t>JK</t>
  </si>
  <si>
    <t>17-18</t>
  </si>
  <si>
    <t>Tiril Boge</t>
  </si>
  <si>
    <t>AK Bjørgvin</t>
  </si>
  <si>
    <t>Helene Skuggedal</t>
  </si>
  <si>
    <t>Ida Vaka</t>
  </si>
  <si>
    <t>Tysvær VK</t>
  </si>
  <si>
    <t>69</t>
  </si>
  <si>
    <t>Marthe Knutsen</t>
  </si>
  <si>
    <t>Hannah Økland</t>
  </si>
  <si>
    <t>Trondheim AK</t>
  </si>
  <si>
    <t>Amalie Straume</t>
  </si>
  <si>
    <t>Roald Bjerkholt, Larvik AK, F</t>
  </si>
  <si>
    <t>Nicolai Roness, Gjøvik AK, F</t>
  </si>
  <si>
    <t>Tor Steinar Herikstad, Vigrestad IK, F - Larisa Izumrudova, Vigrestad IK, Int I</t>
  </si>
  <si>
    <t>P1, 4</t>
  </si>
  <si>
    <t>+18</t>
  </si>
  <si>
    <t>Vibeke Carlsen</t>
  </si>
  <si>
    <t>Tønsberg-Kam.</t>
  </si>
  <si>
    <t>Linda Kolobekken</t>
  </si>
  <si>
    <t>Isabell Thorberg</t>
  </si>
  <si>
    <t>13.05.94</t>
  </si>
  <si>
    <t>Ingvild Solberg Hansen</t>
  </si>
  <si>
    <t>T &amp; IL National</t>
  </si>
  <si>
    <t>Hanna Sletvold</t>
  </si>
  <si>
    <t>Julie Kristine Brotangen</t>
  </si>
  <si>
    <t>90</t>
  </si>
  <si>
    <t>21.01.96</t>
  </si>
  <si>
    <t>Anette Vårvik</t>
  </si>
  <si>
    <t xml:space="preserve">Kira Ingelsrudøyen, Larvik AK, Int II	</t>
  </si>
  <si>
    <t>Stian Grimseth, Tambarskjelvar IL, R</t>
  </si>
  <si>
    <t>P1, 5</t>
  </si>
  <si>
    <t>12.09.96</t>
  </si>
  <si>
    <t>Rebekka Tao Jacobsen</t>
  </si>
  <si>
    <t>Mari Myhrer</t>
  </si>
  <si>
    <t>Kamilla Storstein Grønnestad</t>
  </si>
  <si>
    <t>Emmy Kristine L. Rustad</t>
  </si>
  <si>
    <t>Iselin Hatlenes</t>
  </si>
  <si>
    <t>Emma Hald</t>
  </si>
  <si>
    <t>Elisabeth Settem</t>
  </si>
  <si>
    <t>Terje Gulvik, Larvik AK, F</t>
  </si>
  <si>
    <t>Helene Skuggedal, Larvik AK, F - Sofie Prytz Løwer, Larvik AK, F</t>
  </si>
  <si>
    <t>P1, 6</t>
  </si>
  <si>
    <t>Sarah Hovden Øvsthus</t>
  </si>
  <si>
    <t>Sol Anette Waaler</t>
  </si>
  <si>
    <t>Zekiye C. Nyland</t>
  </si>
  <si>
    <t>02.02.84</t>
  </si>
  <si>
    <t>Marie Mossige Grythe</t>
  </si>
  <si>
    <t>Marit Årdalsbakke</t>
  </si>
  <si>
    <t>14.11.85</t>
  </si>
  <si>
    <t>Marianne Hasfjord</t>
  </si>
  <si>
    <t>Maren Fikse</t>
  </si>
  <si>
    <t>10.11.92</t>
  </si>
  <si>
    <t>Lone Kalland</t>
  </si>
  <si>
    <t>P2, 7</t>
  </si>
  <si>
    <t>50</t>
  </si>
  <si>
    <t>UM</t>
  </si>
  <si>
    <t>Stefan Rønnevik</t>
  </si>
  <si>
    <t>62</t>
  </si>
  <si>
    <t>Joachim Offman</t>
  </si>
  <si>
    <t>Kristen Røyseth</t>
  </si>
  <si>
    <t>Henrik Reiakvam</t>
  </si>
  <si>
    <t>77</t>
  </si>
  <si>
    <t>Daniel Ravndal</t>
  </si>
  <si>
    <t>Mats Hofstad</t>
  </si>
  <si>
    <t>Anders Vik</t>
  </si>
  <si>
    <t>94</t>
  </si>
  <si>
    <t>Dennis Lauritsen</t>
  </si>
  <si>
    <t>Hans Gunnar Kvadsheim</t>
  </si>
  <si>
    <t>+94</t>
  </si>
  <si>
    <t>Mathias Dale</t>
  </si>
  <si>
    <t>Julie Kristine Brotangen, Gjøvik AK, F</t>
  </si>
  <si>
    <t>Ken Berge, Larvik AK, F</t>
  </si>
  <si>
    <t>Per Marstad, Tønsberg-Kam, Int I</t>
  </si>
  <si>
    <t>Johan Fredrik Murberg, Tønsberg-Kam, R - Isabell Thorberg, Tønsberg-Kam, F</t>
  </si>
  <si>
    <t>Arne H. Pedersen, AK Bjørgvin</t>
  </si>
  <si>
    <t>P2, 8</t>
  </si>
  <si>
    <t>Remy Aune</t>
  </si>
  <si>
    <t>Marcus Bratli</t>
  </si>
  <si>
    <t>25.11.01</t>
  </si>
  <si>
    <t>Aron Süssmann</t>
  </si>
  <si>
    <t>Stavanger VK</t>
  </si>
  <si>
    <t>Robert Andre Moldestad</t>
  </si>
  <si>
    <t>85</t>
  </si>
  <si>
    <t>Bernt Andre Midtbø</t>
  </si>
  <si>
    <t>Håkon Eik Litland</t>
  </si>
  <si>
    <t>Daniel Solberg</t>
  </si>
  <si>
    <t>Bjørnar Olsen, Grenland AK,</t>
  </si>
  <si>
    <t>Johan Fredrik Murberg, Tønsberg-Kam, R - Mats Olsen, Tønsberg-Kam, F</t>
  </si>
  <si>
    <t>P2, 9</t>
  </si>
  <si>
    <t>01.07.85</t>
  </si>
  <si>
    <t>Mauricio Kjeldner</t>
  </si>
  <si>
    <t>03.09.91</t>
  </si>
  <si>
    <t>Trygve Stenrud Nilsen</t>
  </si>
  <si>
    <t>Oslo AK</t>
  </si>
  <si>
    <t>25.10.92</t>
  </si>
  <si>
    <t>Andreas Viken</t>
  </si>
  <si>
    <t>12.05.92</t>
  </si>
  <si>
    <t>Johnny Stokke</t>
  </si>
  <si>
    <t>Lørenskog AK</t>
  </si>
  <si>
    <t>Bjarne Bergheim</t>
  </si>
  <si>
    <t>Åsmund Rykhus</t>
  </si>
  <si>
    <t>105</t>
  </si>
  <si>
    <t>Kristoffer Solheimsnes</t>
  </si>
  <si>
    <t>09.11.96</t>
  </si>
  <si>
    <t>Runar Klungrvik</t>
  </si>
  <si>
    <t>Bjørn Emil Evensen</t>
  </si>
  <si>
    <t>12.09.99</t>
  </si>
  <si>
    <t>Vetle Andersen</t>
  </si>
  <si>
    <t>Bjørnar Olsen, Grenand AK, F</t>
  </si>
  <si>
    <t>Sofie Prytz Løwer, Larvik AK, F - Atle Rønning Kauppinen, Grenland AK</t>
  </si>
  <si>
    <t>P2, 10</t>
  </si>
  <si>
    <t>Ole-Kristoffer Sørland</t>
  </si>
  <si>
    <t>21.06.84</t>
  </si>
  <si>
    <t>Kenneth Friberg</t>
  </si>
  <si>
    <t>06.06.87</t>
  </si>
  <si>
    <t>John Anders Terland</t>
  </si>
  <si>
    <t>27.12.93</t>
  </si>
  <si>
    <t>Roy Sømme Ommedal</t>
  </si>
  <si>
    <t>02.09.94</t>
  </si>
  <si>
    <t>Jantsen Øverås</t>
  </si>
  <si>
    <t>Ole Magnus Strand</t>
  </si>
  <si>
    <t>Jørgen Kjellevand</t>
  </si>
  <si>
    <t>+105</t>
  </si>
  <si>
    <t>Lars Joachim Nilsen</t>
  </si>
  <si>
    <t>Bjørnar Olsen, Grenland AK, F</t>
  </si>
  <si>
    <t>Per Marstad, Tønsberg-Kam, F</t>
  </si>
  <si>
    <t>Helene Skuggedal, Larvik AK, F - Johan Fredrik Murberg, Tønsberg-Kam, R - Atle Rønning Kauppinen, Grenland AK</t>
  </si>
  <si>
    <t>P2, 11</t>
  </si>
  <si>
    <t>19.07.95</t>
  </si>
  <si>
    <t>Mats Olsen</t>
  </si>
  <si>
    <t>05.01.95</t>
  </si>
  <si>
    <t>Roger B. Myrholt</t>
  </si>
  <si>
    <t>xx</t>
  </si>
  <si>
    <t>11.01.89</t>
  </si>
  <si>
    <t>Leik Simon Aas</t>
  </si>
  <si>
    <t>Håvard Grostad</t>
  </si>
  <si>
    <t>17.11.91</t>
  </si>
  <si>
    <t>Tord Gravdal</t>
  </si>
  <si>
    <t>Kim Eirik Tollefsen</t>
  </si>
  <si>
    <t>Marcus Bratli, AK Bjørgvin, F - Robert Andre Moldestad, Breimsbygda IL, F</t>
  </si>
  <si>
    <t>Roger B. Myrholt, 77 kg, NRS rykk 133 kg, sml. 302 kg</t>
  </si>
  <si>
    <t>Resultat NM 5-kamp katagori</t>
  </si>
  <si>
    <t>Kvinner</t>
  </si>
  <si>
    <t>Plass</t>
  </si>
  <si>
    <t>Kr.vekt</t>
  </si>
  <si>
    <t>Kat. vl</t>
  </si>
  <si>
    <t>Kat. 5-k</t>
  </si>
  <si>
    <t>Født</t>
  </si>
  <si>
    <t>Hopp</t>
  </si>
  <si>
    <t>Kule</t>
  </si>
  <si>
    <t>Menn</t>
  </si>
  <si>
    <t>Årets klubb (NM 5-kamp)</t>
  </si>
  <si>
    <t>Tønsberg-Kameratene</t>
  </si>
  <si>
    <t>Resultat NM 5-kamp ranking</t>
  </si>
  <si>
    <t>Resultat Norges Cup 3. runde</t>
  </si>
  <si>
    <t>Sml.</t>
  </si>
  <si>
    <t>Resultat Norges Cup 3  runde Junior - Ungdom</t>
  </si>
  <si>
    <t>Resultat Norges Cup 3. runde Veteran</t>
  </si>
  <si>
    <t>Stevnets art:</t>
  </si>
  <si>
    <r>
      <t xml:space="preserve">Kulestørrelser: Gutter: 11-12: </t>
    </r>
    <r>
      <rPr>
        <b/>
        <sz val="10"/>
        <rFont val="MS Sans Serif"/>
      </rPr>
      <t>2 kg</t>
    </r>
    <r>
      <rPr>
        <sz val="10"/>
        <rFont val="MS Sans Serif"/>
      </rPr>
      <t xml:space="preserve">, 13-14: </t>
    </r>
    <r>
      <rPr>
        <b/>
        <sz val="10"/>
        <rFont val="Arial"/>
        <family val="2"/>
      </rPr>
      <t>3 kg</t>
    </r>
    <r>
      <rPr>
        <sz val="10"/>
        <rFont val="MS Sans Serif"/>
      </rPr>
      <t xml:space="preserve">, 15-16: </t>
    </r>
    <r>
      <rPr>
        <b/>
        <sz val="10"/>
        <rFont val="Arial"/>
        <family val="2"/>
      </rPr>
      <t>4 kg</t>
    </r>
    <r>
      <rPr>
        <sz val="10"/>
        <rFont val="MS Sans Serif"/>
      </rPr>
      <t xml:space="preserve">, 17-18, +18: </t>
    </r>
    <r>
      <rPr>
        <b/>
        <sz val="10"/>
        <rFont val="Arial"/>
        <family val="2"/>
      </rPr>
      <t>5 kg</t>
    </r>
    <r>
      <rPr>
        <sz val="10"/>
        <rFont val="MS Sans Serif"/>
      </rPr>
      <t xml:space="preserve">.     Jenter:11-12, 13-14: </t>
    </r>
    <r>
      <rPr>
        <b/>
        <sz val="10"/>
        <rFont val="MS Sans Serif"/>
      </rPr>
      <t>2 kg,</t>
    </r>
    <r>
      <rPr>
        <sz val="10"/>
        <rFont val="MS Sans Serif"/>
      </rPr>
      <t xml:space="preserve">  Alle andre: </t>
    </r>
    <r>
      <rPr>
        <b/>
        <sz val="10"/>
        <rFont val="Arial"/>
        <family val="2"/>
      </rPr>
      <t>3 kg</t>
    </r>
    <r>
      <rPr>
        <sz val="10"/>
        <rFont val="MS Sans Serif"/>
      </rPr>
      <t>.</t>
    </r>
  </si>
  <si>
    <t>40m sprint</t>
  </si>
  <si>
    <t>Beste</t>
  </si>
  <si>
    <t>Kulestørrelser: Gutter: 11-12: 2 kg, 13-14: 3 kg, 15-16: 4 kg, 17-18, +18: 5 kg.     Jenter:11-12, 13-14: 2 kg,  Alle andre: 3 kg.</t>
  </si>
  <si>
    <t>Meltzer-Malone tabellen</t>
  </si>
  <si>
    <t>Alder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</si>
</sst>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</numFmts>
  <fonts count="45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8"/>
      <name val="MS Sans Serif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0"/>
      <name val="MS Sans Serif"/>
    </font>
    <font>
      <b/>
      <sz val="24"/>
      <color indexed="9"/>
      <name val="Arial"/>
      <family val="2"/>
    </font>
    <font>
      <b/>
      <sz val="20"/>
      <color indexed="9"/>
      <name val="Arial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sz val="18"/>
      <name val="Arial Black"/>
      <family val="2"/>
    </font>
    <font>
      <sz val="28"/>
      <name val="Arial Black"/>
      <family val="2"/>
    </font>
    <font>
      <b/>
      <sz val="12"/>
      <color indexed="18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color indexed="56"/>
      <name val="Times New Roman"/>
      <family val="1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2"/>
      <color indexed="12"/>
      <name val="Times New Roman"/>
      <family val="1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medium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dashed">
        <color auto="1"/>
      </top>
      <bottom/>
      <diagonal/>
    </border>
    <border>
      <left style="mediumDashed">
        <color auto="1"/>
      </left>
      <right style="medium">
        <color auto="1"/>
      </right>
      <top/>
      <bottom style="dashed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C3C8CD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9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165" fontId="8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0" fillId="0" borderId="0" xfId="0" applyAlignment="1">
      <alignment horizontal="center"/>
    </xf>
    <xf numFmtId="165" fontId="3" fillId="0" borderId="2" xfId="0" applyNumberFormat="1" applyFont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9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15" fillId="0" borderId="0" xfId="1" applyNumberFormat="1" applyFont="1" applyAlignment="1" applyProtection="1">
      <alignment horizontal="right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Font="1" applyAlignment="1">
      <alignment horizontal="center"/>
    </xf>
    <xf numFmtId="0" fontId="9" fillId="0" borderId="10" xfId="1" applyFont="1" applyBorder="1" applyAlignment="1" applyProtection="1">
      <alignment horizontal="center"/>
    </xf>
    <xf numFmtId="0" fontId="9" fillId="0" borderId="11" xfId="1" applyFont="1" applyBorder="1" applyAlignment="1" applyProtection="1">
      <alignment horizontal="center"/>
    </xf>
    <xf numFmtId="165" fontId="9" fillId="0" borderId="13" xfId="1" applyNumberFormat="1" applyFont="1" applyBorder="1" applyAlignment="1" applyProtection="1">
      <alignment horizontal="center"/>
    </xf>
    <xf numFmtId="2" fontId="9" fillId="0" borderId="13" xfId="1" applyNumberFormat="1" applyFont="1" applyBorder="1" applyAlignment="1" applyProtection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1" applyFont="1" applyBorder="1" applyAlignment="1" applyProtection="1">
      <alignment horizontal="center"/>
    </xf>
    <xf numFmtId="0" fontId="9" fillId="0" borderId="16" xfId="1" applyFont="1" applyBorder="1" applyAlignment="1" applyProtection="1">
      <alignment horizontal="center"/>
    </xf>
    <xf numFmtId="0" fontId="9" fillId="0" borderId="17" xfId="1" applyFont="1" applyBorder="1" applyAlignment="1" applyProtection="1">
      <alignment horizontal="center"/>
    </xf>
    <xf numFmtId="165" fontId="9" fillId="0" borderId="18" xfId="1" applyNumberFormat="1" applyFont="1" applyBorder="1" applyAlignment="1" applyProtection="1">
      <alignment horizontal="center"/>
    </xf>
    <xf numFmtId="0" fontId="9" fillId="0" borderId="18" xfId="1" applyFont="1" applyBorder="1" applyAlignment="1" applyProtection="1">
      <alignment horizontal="center"/>
    </xf>
    <xf numFmtId="0" fontId="9" fillId="0" borderId="20" xfId="1" applyFont="1" applyBorder="1" applyAlignment="1" applyProtection="1">
      <alignment horizontal="center"/>
    </xf>
    <xf numFmtId="0" fontId="9" fillId="0" borderId="21" xfId="1" applyFont="1" applyBorder="1" applyAlignment="1" applyProtection="1">
      <alignment horizontal="center"/>
    </xf>
    <xf numFmtId="0" fontId="9" fillId="0" borderId="22" xfId="1" applyFont="1" applyBorder="1" applyAlignment="1" applyProtection="1">
      <alignment horizontal="center"/>
    </xf>
    <xf numFmtId="2" fontId="9" fillId="0" borderId="18" xfId="1" applyNumberFormat="1" applyFont="1" applyBorder="1" applyAlignment="1" applyProtection="1">
      <alignment horizontal="center"/>
    </xf>
    <xf numFmtId="0" fontId="18" fillId="0" borderId="2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0" fillId="0" borderId="0" xfId="0" applyFont="1"/>
    <xf numFmtId="0" fontId="19" fillId="0" borderId="0" xfId="0" applyFont="1"/>
    <xf numFmtId="1" fontId="16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 vertical="center"/>
    </xf>
    <xf numFmtId="0" fontId="23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/>
      <protection locked="0"/>
    </xf>
    <xf numFmtId="0" fontId="13" fillId="0" borderId="0" xfId="0" applyFont="1"/>
    <xf numFmtId="0" fontId="13" fillId="0" borderId="24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left" vertical="center"/>
      <protection locked="0"/>
    </xf>
    <xf numFmtId="0" fontId="0" fillId="0" borderId="26" xfId="0" applyBorder="1" applyProtection="1"/>
    <xf numFmtId="0" fontId="0" fillId="0" borderId="22" xfId="0" applyBorder="1" applyProtection="1"/>
    <xf numFmtId="0" fontId="0" fillId="0" borderId="2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7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2" fontId="12" fillId="0" borderId="11" xfId="0" applyNumberFormat="1" applyFont="1" applyBorder="1" applyAlignment="1">
      <alignment horizontal="center"/>
    </xf>
    <xf numFmtId="2" fontId="24" fillId="0" borderId="29" xfId="1" applyNumberFormat="1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/>
    </xf>
    <xf numFmtId="49" fontId="16" fillId="0" borderId="30" xfId="0" applyNumberFormat="1" applyFont="1" applyBorder="1" applyAlignment="1">
      <alignment horizontal="center"/>
    </xf>
    <xf numFmtId="0" fontId="24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2" fontId="24" fillId="0" borderId="32" xfId="0" applyNumberFormat="1" applyFont="1" applyBorder="1" applyAlignment="1" applyProtection="1">
      <alignment vertical="center"/>
    </xf>
    <xf numFmtId="2" fontId="16" fillId="0" borderId="0" xfId="0" applyNumberFormat="1" applyFont="1" applyBorder="1" applyAlignment="1" applyProtection="1">
      <alignment vertical="center" wrapText="1"/>
    </xf>
    <xf numFmtId="2" fontId="12" fillId="0" borderId="7" xfId="0" applyNumberFormat="1" applyFont="1" applyBorder="1" applyAlignment="1">
      <alignment horizontal="center"/>
    </xf>
    <xf numFmtId="2" fontId="24" fillId="0" borderId="33" xfId="1" applyNumberFormat="1" applyFont="1" applyBorder="1" applyAlignment="1" applyProtection="1">
      <alignment vertical="center"/>
    </xf>
    <xf numFmtId="2" fontId="24" fillId="0" borderId="34" xfId="1" applyNumberFormat="1" applyFont="1" applyBorder="1" applyAlignment="1" applyProtection="1">
      <alignment vertical="center"/>
    </xf>
    <xf numFmtId="0" fontId="25" fillId="0" borderId="35" xfId="0" applyFont="1" applyBorder="1" applyAlignment="1" applyProtection="1">
      <alignment vertical="center"/>
      <protection locked="0"/>
    </xf>
    <xf numFmtId="0" fontId="25" fillId="0" borderId="36" xfId="0" applyFont="1" applyBorder="1" applyAlignment="1" applyProtection="1">
      <alignment vertical="center"/>
      <protection locked="0"/>
    </xf>
    <xf numFmtId="0" fontId="24" fillId="0" borderId="31" xfId="0" applyFont="1" applyBorder="1" applyAlignment="1" applyProtection="1">
      <alignment vertical="center"/>
      <protection locked="0"/>
    </xf>
    <xf numFmtId="0" fontId="25" fillId="0" borderId="37" xfId="0" applyFont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alignment vertical="center"/>
      <protection locked="0"/>
    </xf>
    <xf numFmtId="0" fontId="16" fillId="0" borderId="31" xfId="0" applyFont="1" applyBorder="1" applyAlignment="1" applyProtection="1">
      <alignment vertical="center"/>
      <protection locked="0"/>
    </xf>
    <xf numFmtId="2" fontId="24" fillId="0" borderId="31" xfId="0" applyNumberFormat="1" applyFont="1" applyBorder="1" applyAlignment="1" applyProtection="1">
      <alignment vertical="center"/>
    </xf>
    <xf numFmtId="0" fontId="0" fillId="0" borderId="1" xfId="0" applyBorder="1"/>
    <xf numFmtId="2" fontId="25" fillId="0" borderId="38" xfId="1" quotePrefix="1" applyNumberFormat="1" applyFont="1" applyBorder="1" applyAlignment="1" applyProtection="1">
      <alignment vertical="center"/>
      <protection locked="0"/>
    </xf>
    <xf numFmtId="2" fontId="25" fillId="0" borderId="38" xfId="1" applyNumberFormat="1" applyFont="1" applyBorder="1" applyAlignment="1" applyProtection="1">
      <alignment vertical="center"/>
      <protection locked="0"/>
    </xf>
    <xf numFmtId="2" fontId="25" fillId="0" borderId="39" xfId="1" quotePrefix="1" applyNumberFormat="1" applyFont="1" applyBorder="1" applyAlignment="1" applyProtection="1">
      <alignment vertical="center"/>
      <protection locked="0"/>
    </xf>
    <xf numFmtId="2" fontId="25" fillId="0" borderId="39" xfId="1" applyNumberFormat="1" applyFont="1" applyBorder="1" applyAlignment="1" applyProtection="1">
      <alignment vertical="center"/>
      <protection locked="0"/>
    </xf>
    <xf numFmtId="2" fontId="25" fillId="0" borderId="40" xfId="1" quotePrefix="1" applyNumberFormat="1" applyFont="1" applyBorder="1" applyAlignment="1" applyProtection="1">
      <alignment vertical="center"/>
      <protection locked="0"/>
    </xf>
    <xf numFmtId="2" fontId="25" fillId="0" borderId="41" xfId="1" quotePrefix="1" applyNumberFormat="1" applyFont="1" applyBorder="1" applyAlignment="1" applyProtection="1">
      <alignment vertical="center"/>
      <protection locked="0"/>
    </xf>
    <xf numFmtId="2" fontId="25" fillId="0" borderId="42" xfId="1" applyNumberFormat="1" applyFont="1" applyBorder="1" applyAlignment="1" applyProtection="1">
      <alignment vertical="center"/>
      <protection locked="0"/>
    </xf>
    <xf numFmtId="2" fontId="25" fillId="0" borderId="43" xfId="1" applyNumberFormat="1" applyFont="1" applyBorder="1" applyAlignment="1" applyProtection="1">
      <alignment vertical="center"/>
      <protection locked="0"/>
    </xf>
    <xf numFmtId="0" fontId="25" fillId="0" borderId="44" xfId="0" applyFont="1" applyBorder="1" applyAlignment="1" applyProtection="1">
      <alignment vertical="center"/>
      <protection locked="0"/>
    </xf>
    <xf numFmtId="2" fontId="25" fillId="0" borderId="45" xfId="1" applyNumberFormat="1" applyFont="1" applyBorder="1" applyAlignment="1" applyProtection="1">
      <alignment vertical="center"/>
      <protection locked="0"/>
    </xf>
    <xf numFmtId="2" fontId="12" fillId="0" borderId="11" xfId="0" applyNumberFormat="1" applyFont="1" applyBorder="1" applyAlignment="1">
      <alignment horizontal="left"/>
    </xf>
    <xf numFmtId="2" fontId="12" fillId="0" borderId="35" xfId="0" applyNumberFormat="1" applyFont="1" applyBorder="1" applyAlignment="1">
      <alignment horizontal="left"/>
    </xf>
    <xf numFmtId="2" fontId="12" fillId="0" borderId="7" xfId="0" applyNumberFormat="1" applyFont="1" applyBorder="1" applyAlignment="1">
      <alignment horizontal="left"/>
    </xf>
    <xf numFmtId="0" fontId="0" fillId="0" borderId="0" xfId="0" applyBorder="1"/>
    <xf numFmtId="0" fontId="0" fillId="0" borderId="9" xfId="0" applyBorder="1"/>
    <xf numFmtId="49" fontId="16" fillId="0" borderId="35" xfId="0" applyNumberFormat="1" applyFont="1" applyBorder="1" applyAlignment="1">
      <alignment horizontal="center"/>
    </xf>
    <xf numFmtId="169" fontId="24" fillId="0" borderId="0" xfId="0" applyNumberFormat="1" applyFont="1" applyAlignment="1" applyProtection="1">
      <alignment vertical="center"/>
    </xf>
    <xf numFmtId="1" fontId="24" fillId="0" borderId="0" xfId="0" applyNumberFormat="1" applyFont="1" applyAlignment="1" applyProtection="1">
      <alignment horizontal="center" vertical="center"/>
    </xf>
    <xf numFmtId="169" fontId="24" fillId="0" borderId="0" xfId="0" applyNumberFormat="1" applyFont="1" applyAlignment="1" applyProtection="1"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left"/>
    </xf>
    <xf numFmtId="170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/>
    <xf numFmtId="170" fontId="3" fillId="0" borderId="0" xfId="0" applyNumberFormat="1" applyFont="1" applyAlignment="1" applyProtection="1">
      <alignment horizontal="center"/>
    </xf>
    <xf numFmtId="170" fontId="5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1" fontId="16" fillId="0" borderId="0" xfId="0" applyNumberFormat="1" applyFont="1" applyBorder="1" applyAlignment="1" applyProtection="1">
      <alignment horizontal="right"/>
      <protection locked="0"/>
    </xf>
    <xf numFmtId="2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26" fillId="0" borderId="0" xfId="0" applyFont="1"/>
    <xf numFmtId="0" fontId="15" fillId="0" borderId="0" xfId="0" applyFont="1" applyAlignment="1">
      <alignment horizontal="right"/>
    </xf>
    <xf numFmtId="169" fontId="17" fillId="0" borderId="0" xfId="0" applyNumberFormat="1" applyFont="1" applyAlignment="1" applyProtection="1">
      <alignment horizontal="left"/>
      <protection locked="0"/>
    </xf>
    <xf numFmtId="1" fontId="17" fillId="0" borderId="0" xfId="0" applyNumberFormat="1" applyFont="1" applyAlignment="1" applyProtection="1">
      <alignment horizontal="center"/>
      <protection locked="0"/>
    </xf>
    <xf numFmtId="1" fontId="17" fillId="0" borderId="0" xfId="0" applyNumberFormat="1" applyFont="1" applyAlignment="1" applyProtection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 applyProtection="1">
      <alignment vertical="top"/>
    </xf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2" fontId="17" fillId="0" borderId="46" xfId="1" applyNumberFormat="1" applyFont="1" applyBorder="1" applyAlignment="1" applyProtection="1">
      <alignment horizontal="center" vertical="center"/>
      <protection locked="0"/>
    </xf>
    <xf numFmtId="49" fontId="17" fillId="0" borderId="25" xfId="1" applyNumberFormat="1" applyFont="1" applyBorder="1" applyAlignment="1" applyProtection="1">
      <alignment horizontal="center" vertical="center"/>
      <protection locked="0"/>
    </xf>
    <xf numFmtId="0" fontId="17" fillId="0" borderId="25" xfId="1" applyFont="1" applyBorder="1" applyAlignment="1" applyProtection="1">
      <alignment horizontal="left" vertical="center"/>
      <protection locked="0"/>
    </xf>
    <xf numFmtId="171" fontId="17" fillId="0" borderId="47" xfId="1" quotePrefix="1" applyNumberFormat="1" applyFont="1" applyBorder="1" applyAlignment="1" applyProtection="1">
      <alignment horizontal="center" vertical="center"/>
      <protection locked="0"/>
    </xf>
    <xf numFmtId="2" fontId="17" fillId="0" borderId="48" xfId="0" applyNumberFormat="1" applyFont="1" applyBorder="1" applyAlignment="1" applyProtection="1">
      <alignment horizontal="center" vertical="center" wrapText="1"/>
    </xf>
    <xf numFmtId="2" fontId="33" fillId="0" borderId="47" xfId="1" applyNumberFormat="1" applyFont="1" applyBorder="1" applyAlignment="1" applyProtection="1">
      <alignment horizontal="center" vertical="center"/>
      <protection locked="0"/>
    </xf>
    <xf numFmtId="2" fontId="17" fillId="0" borderId="47" xfId="0" applyNumberFormat="1" applyFont="1" applyBorder="1" applyAlignment="1" applyProtection="1">
      <alignment horizontal="center" vertical="center" wrapText="1"/>
    </xf>
    <xf numFmtId="2" fontId="17" fillId="0" borderId="49" xfId="1" applyNumberFormat="1" applyFont="1" applyBorder="1" applyAlignment="1" applyProtection="1">
      <alignment horizontal="center" vertical="center"/>
    </xf>
    <xf numFmtId="2" fontId="17" fillId="0" borderId="8" xfId="1" applyNumberFormat="1" applyFont="1" applyBorder="1" applyAlignment="1" applyProtection="1">
      <alignment horizontal="center" vertical="center"/>
    </xf>
    <xf numFmtId="2" fontId="17" fillId="0" borderId="3" xfId="1" applyNumberFormat="1" applyFont="1" applyBorder="1" applyAlignment="1" applyProtection="1">
      <alignment horizontal="center" vertical="center"/>
    </xf>
    <xf numFmtId="0" fontId="17" fillId="0" borderId="3" xfId="1" applyFont="1" applyBorder="1" applyAlignment="1" applyProtection="1">
      <alignment horizontal="center" vertical="center"/>
    </xf>
    <xf numFmtId="14" fontId="17" fillId="0" borderId="3" xfId="1" applyNumberFormat="1" applyFont="1" applyBorder="1" applyAlignment="1" applyProtection="1">
      <alignment horizontal="center" vertical="center"/>
    </xf>
    <xf numFmtId="0" fontId="17" fillId="0" borderId="35" xfId="1" applyFont="1" applyBorder="1" applyAlignment="1" applyProtection="1">
      <alignment horizontal="left" vertical="center"/>
      <protection locked="0"/>
    </xf>
    <xf numFmtId="2" fontId="17" fillId="0" borderId="9" xfId="1" applyNumberFormat="1" applyFont="1" applyBorder="1" applyAlignment="1" applyProtection="1">
      <alignment horizontal="center" vertical="center"/>
    </xf>
    <xf numFmtId="2" fontId="17" fillId="0" borderId="30" xfId="1" applyNumberFormat="1" applyFont="1" applyBorder="1" applyAlignment="1" applyProtection="1">
      <alignment horizontal="center" vertical="center"/>
    </xf>
    <xf numFmtId="2" fontId="17" fillId="0" borderId="30" xfId="0" applyNumberFormat="1" applyFont="1" applyBorder="1" applyAlignment="1">
      <alignment horizontal="center" vertical="center"/>
    </xf>
    <xf numFmtId="2" fontId="33" fillId="0" borderId="50" xfId="1" applyNumberFormat="1" applyFont="1" applyBorder="1" applyAlignment="1" applyProtection="1">
      <alignment horizontal="center" vertical="center"/>
      <protection locked="0"/>
    </xf>
    <xf numFmtId="1" fontId="17" fillId="0" borderId="25" xfId="1" applyNumberFormat="1" applyFont="1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/>
      <protection locked="0"/>
    </xf>
    <xf numFmtId="2" fontId="17" fillId="0" borderId="15" xfId="1" applyNumberFormat="1" applyFont="1" applyBorder="1" applyAlignment="1" applyProtection="1">
      <alignment horizontal="center" vertical="center"/>
    </xf>
    <xf numFmtId="2" fontId="17" fillId="0" borderId="16" xfId="1" applyNumberFormat="1" applyFont="1" applyBorder="1" applyAlignment="1" applyProtection="1">
      <alignment horizontal="center" vertical="center"/>
    </xf>
    <xf numFmtId="2" fontId="17" fillId="0" borderId="18" xfId="1" applyNumberFormat="1" applyFont="1" applyBorder="1" applyAlignment="1" applyProtection="1">
      <alignment horizontal="center" vertical="center"/>
    </xf>
    <xf numFmtId="0" fontId="17" fillId="0" borderId="18" xfId="1" applyFont="1" applyBorder="1" applyAlignment="1" applyProtection="1">
      <alignment horizontal="center" vertical="center"/>
    </xf>
    <xf numFmtId="14" fontId="17" fillId="0" borderId="18" xfId="1" applyNumberFormat="1" applyFont="1" applyBorder="1" applyAlignment="1" applyProtection="1">
      <alignment horizontal="center" vertical="center"/>
    </xf>
    <xf numFmtId="0" fontId="17" fillId="0" borderId="20" xfId="1" applyFont="1" applyBorder="1" applyAlignment="1" applyProtection="1">
      <alignment horizontal="left" vertical="center"/>
      <protection locked="0"/>
    </xf>
    <xf numFmtId="2" fontId="17" fillId="0" borderId="20" xfId="1" applyNumberFormat="1" applyFont="1" applyBorder="1" applyAlignment="1" applyProtection="1">
      <alignment horizontal="center" vertical="center"/>
    </xf>
    <xf numFmtId="2" fontId="17" fillId="0" borderId="20" xfId="0" applyNumberFormat="1" applyFont="1" applyBorder="1" applyAlignment="1">
      <alignment horizontal="center" vertical="center"/>
    </xf>
    <xf numFmtId="2" fontId="17" fillId="0" borderId="52" xfId="1" applyNumberFormat="1" applyFont="1" applyBorder="1" applyAlignment="1" applyProtection="1">
      <alignment horizontal="center" vertical="center"/>
      <protection locked="0"/>
    </xf>
    <xf numFmtId="49" fontId="17" fillId="0" borderId="7" xfId="1" applyNumberFormat="1" applyFont="1" applyBorder="1" applyAlignment="1" applyProtection="1">
      <alignment horizontal="center" vertical="center"/>
      <protection locked="0"/>
    </xf>
    <xf numFmtId="49" fontId="17" fillId="0" borderId="2" xfId="1" applyNumberFormat="1" applyFont="1" applyBorder="1" applyAlignment="1" applyProtection="1">
      <alignment horizontal="center" vertical="center"/>
      <protection locked="0"/>
    </xf>
    <xf numFmtId="169" fontId="17" fillId="0" borderId="7" xfId="0" applyNumberFormat="1" applyFont="1" applyBorder="1" applyAlignment="1" applyProtection="1">
      <alignment horizontal="center" vertical="center"/>
      <protection locked="0"/>
    </xf>
    <xf numFmtId="1" fontId="17" fillId="0" borderId="7" xfId="1" applyNumberFormat="1" applyFont="1" applyBorder="1" applyAlignment="1" applyProtection="1">
      <alignment horizontal="center" vertical="center"/>
    </xf>
    <xf numFmtId="0" fontId="17" fillId="0" borderId="50" xfId="0" applyFont="1" applyBorder="1" applyAlignment="1" applyProtection="1">
      <alignment vertical="center"/>
      <protection locked="0"/>
    </xf>
    <xf numFmtId="1" fontId="17" fillId="0" borderId="53" xfId="1" applyNumberFormat="1" applyFont="1" applyBorder="1" applyAlignment="1" applyProtection="1">
      <alignment horizontal="center" vertical="center"/>
      <protection locked="0"/>
    </xf>
    <xf numFmtId="1" fontId="17" fillId="0" borderId="53" xfId="1" quotePrefix="1" applyNumberFormat="1" applyFont="1" applyBorder="1" applyAlignment="1" applyProtection="1">
      <alignment horizontal="center" vertical="center"/>
      <protection locked="0"/>
    </xf>
    <xf numFmtId="1" fontId="17" fillId="0" borderId="8" xfId="1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/>
    <xf numFmtId="1" fontId="17" fillId="0" borderId="13" xfId="1" applyNumberFormat="1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2" fontId="17" fillId="0" borderId="35" xfId="1" applyNumberFormat="1" applyFont="1" applyBorder="1" applyAlignment="1" applyProtection="1">
      <alignment horizontal="center" vertical="center"/>
    </xf>
    <xf numFmtId="2" fontId="6" fillId="0" borderId="55" xfId="0" applyNumberFormat="1" applyFont="1" applyBorder="1" applyAlignment="1" applyProtection="1">
      <alignment horizontal="center" vertical="center"/>
      <protection locked="0"/>
    </xf>
    <xf numFmtId="169" fontId="6" fillId="0" borderId="55" xfId="0" applyNumberFormat="1" applyFont="1" applyBorder="1" applyAlignment="1" applyProtection="1">
      <alignment horizontal="center" vertical="center"/>
      <protection locked="0"/>
    </xf>
    <xf numFmtId="168" fontId="34" fillId="0" borderId="0" xfId="0" applyNumberFormat="1" applyFont="1" applyBorder="1" applyAlignment="1">
      <alignment horizontal="center" vertical="center"/>
    </xf>
    <xf numFmtId="0" fontId="6" fillId="0" borderId="55" xfId="0" applyFont="1" applyBorder="1" applyAlignment="1" applyProtection="1">
      <alignment horizontal="left" vertical="center"/>
      <protection locked="0"/>
    </xf>
    <xf numFmtId="0" fontId="6" fillId="0" borderId="54" xfId="0" applyFont="1" applyBorder="1" applyAlignment="1" applyProtection="1">
      <alignment horizontal="left" vertical="center"/>
      <protection locked="0"/>
    </xf>
    <xf numFmtId="169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49" fontId="17" fillId="0" borderId="7" xfId="1" quotePrefix="1" applyNumberFormat="1" applyFont="1" applyBorder="1" applyAlignment="1" applyProtection="1">
      <alignment horizontal="center" vertical="center"/>
      <protection locked="0"/>
    </xf>
    <xf numFmtId="1" fontId="17" fillId="0" borderId="47" xfId="1" applyNumberFormat="1" applyFont="1" applyBorder="1" applyAlignment="1" applyProtection="1">
      <alignment horizontal="center" vertical="center"/>
      <protection locked="0"/>
    </xf>
    <xf numFmtId="1" fontId="17" fillId="0" borderId="47" xfId="1" quotePrefix="1" applyNumberFormat="1" applyFont="1" applyBorder="1" applyAlignment="1" applyProtection="1">
      <alignment horizontal="center" vertical="center"/>
      <protection locked="0"/>
    </xf>
    <xf numFmtId="1" fontId="17" fillId="0" borderId="48" xfId="1" applyNumberFormat="1" applyFont="1" applyBorder="1" applyAlignment="1" applyProtection="1">
      <alignment horizontal="center" vertical="center"/>
    </xf>
    <xf numFmtId="1" fontId="17" fillId="0" borderId="41" xfId="1" applyNumberFormat="1" applyFont="1" applyBorder="1" applyAlignment="1" applyProtection="1">
      <alignment horizontal="center" vertical="center"/>
    </xf>
    <xf numFmtId="1" fontId="17" fillId="0" borderId="39" xfId="0" applyNumberFormat="1" applyFont="1" applyBorder="1" applyAlignment="1" applyProtection="1">
      <alignment horizontal="center" vertical="center"/>
    </xf>
    <xf numFmtId="0" fontId="17" fillId="0" borderId="2" xfId="1" applyFont="1" applyBorder="1" applyAlignment="1" applyProtection="1">
      <alignment horizontal="left" vertical="center"/>
      <protection locked="0"/>
    </xf>
    <xf numFmtId="1" fontId="17" fillId="0" borderId="7" xfId="1" applyNumberFormat="1" applyFont="1" applyBorder="1" applyAlignment="1" applyProtection="1">
      <alignment horizontal="center" vertical="center"/>
      <protection locked="0"/>
    </xf>
    <xf numFmtId="1" fontId="17" fillId="0" borderId="7" xfId="1" quotePrefix="1" applyNumberFormat="1" applyFont="1" applyBorder="1" applyAlignment="1" applyProtection="1">
      <alignment horizontal="center" vertical="center"/>
      <protection locked="0"/>
    </xf>
    <xf numFmtId="14" fontId="17" fillId="0" borderId="8" xfId="1" applyNumberFormat="1" applyFont="1" applyBorder="1" applyAlignment="1" applyProtection="1">
      <alignment horizontal="center" vertical="center"/>
    </xf>
    <xf numFmtId="0" fontId="17" fillId="0" borderId="62" xfId="1" applyFont="1" applyBorder="1" applyAlignment="1" applyProtection="1">
      <alignment horizontal="left" vertical="center"/>
      <protection locked="0"/>
    </xf>
    <xf numFmtId="166" fontId="13" fillId="0" borderId="63" xfId="2" applyNumberFormat="1" applyFont="1" applyBorder="1" applyAlignment="1" applyProtection="1">
      <alignment horizontal="center" vertical="center"/>
      <protection locked="0"/>
    </xf>
    <xf numFmtId="166" fontId="13" fillId="0" borderId="64" xfId="2" quotePrefix="1" applyNumberFormat="1" applyFont="1" applyBorder="1" applyAlignment="1" applyProtection="1">
      <alignment horizontal="center" vertical="center"/>
      <protection locked="0"/>
    </xf>
    <xf numFmtId="166" fontId="13" fillId="0" borderId="65" xfId="2" applyNumberFormat="1" applyFont="1" applyBorder="1" applyAlignment="1" applyProtection="1">
      <alignment horizontal="center" vertical="center"/>
      <protection locked="0"/>
    </xf>
    <xf numFmtId="1" fontId="17" fillId="0" borderId="16" xfId="1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protection locked="0"/>
    </xf>
    <xf numFmtId="2" fontId="17" fillId="0" borderId="44" xfId="1" applyNumberFormat="1" applyFont="1" applyBorder="1" applyAlignment="1" applyProtection="1">
      <alignment horizontal="center" vertical="center"/>
    </xf>
    <xf numFmtId="2" fontId="17" fillId="0" borderId="39" xfId="0" applyNumberFormat="1" applyFont="1" applyBorder="1" applyAlignment="1" applyProtection="1">
      <alignment horizontal="center" vertical="center" wrapText="1"/>
    </xf>
    <xf numFmtId="2" fontId="17" fillId="0" borderId="50" xfId="0" applyNumberFormat="1" applyFont="1" applyBorder="1" applyAlignment="1" applyProtection="1">
      <alignment horizontal="center" vertical="center" wrapText="1"/>
    </xf>
    <xf numFmtId="169" fontId="0" fillId="0" borderId="0" xfId="0" applyNumberFormat="1"/>
    <xf numFmtId="169" fontId="0" fillId="0" borderId="67" xfId="0" applyNumberFormat="1" applyBorder="1"/>
    <xf numFmtId="0" fontId="9" fillId="0" borderId="68" xfId="1" applyFont="1" applyBorder="1" applyAlignment="1" applyProtection="1">
      <alignment horizontal="center"/>
    </xf>
    <xf numFmtId="169" fontId="13" fillId="0" borderId="0" xfId="0" applyNumberFormat="1" applyFont="1" applyBorder="1" applyAlignment="1">
      <alignment horizontal="right" vertical="center"/>
    </xf>
    <xf numFmtId="0" fontId="12" fillId="0" borderId="69" xfId="2" applyFont="1" applyBorder="1" applyAlignment="1" applyProtection="1">
      <alignment horizontal="right" vertical="center"/>
      <protection locked="0"/>
    </xf>
    <xf numFmtId="2" fontId="12" fillId="0" borderId="70" xfId="2" applyNumberFormat="1" applyFont="1" applyBorder="1" applyAlignment="1" applyProtection="1">
      <alignment horizontal="right" vertical="center"/>
      <protection locked="0"/>
    </xf>
    <xf numFmtId="0" fontId="12" fillId="0" borderId="70" xfId="2" applyFont="1" applyBorder="1" applyAlignment="1" applyProtection="1">
      <alignment horizontal="center" vertical="center"/>
      <protection locked="0"/>
    </xf>
    <xf numFmtId="169" fontId="12" fillId="0" borderId="70" xfId="2" applyNumberFormat="1" applyFont="1" applyBorder="1" applyAlignment="1" applyProtection="1">
      <alignment horizontal="center" vertical="center"/>
      <protection locked="0"/>
    </xf>
    <xf numFmtId="1" fontId="12" fillId="0" borderId="69" xfId="2" applyNumberFormat="1" applyFont="1" applyBorder="1" applyAlignment="1" applyProtection="1">
      <alignment horizontal="center" vertical="center"/>
      <protection locked="0"/>
    </xf>
    <xf numFmtId="0" fontId="12" fillId="0" borderId="70" xfId="2" applyFont="1" applyBorder="1" applyAlignment="1" applyProtection="1">
      <alignment vertical="center"/>
      <protection locked="0"/>
    </xf>
    <xf numFmtId="2" fontId="33" fillId="0" borderId="11" xfId="1" applyNumberFormat="1" applyFont="1" applyBorder="1" applyAlignment="1" applyProtection="1">
      <alignment horizontal="center" vertical="center"/>
      <protection locked="0"/>
    </xf>
    <xf numFmtId="2" fontId="17" fillId="0" borderId="11" xfId="0" applyNumberFormat="1" applyFont="1" applyBorder="1" applyAlignment="1" applyProtection="1">
      <alignment horizontal="center" vertical="center" wrapText="1"/>
    </xf>
    <xf numFmtId="2" fontId="17" fillId="0" borderId="35" xfId="0" applyNumberFormat="1" applyFont="1" applyBorder="1" applyAlignment="1">
      <alignment horizontal="center" vertical="center"/>
    </xf>
    <xf numFmtId="2" fontId="17" fillId="0" borderId="35" xfId="0" applyNumberFormat="1" applyFont="1" applyBorder="1" applyAlignment="1" applyProtection="1">
      <alignment horizontal="center" vertical="center" wrapText="1"/>
    </xf>
    <xf numFmtId="1" fontId="17" fillId="0" borderId="36" xfId="1" applyNumberFormat="1" applyFont="1" applyBorder="1" applyAlignment="1" applyProtection="1">
      <alignment horizontal="center" vertical="center"/>
      <protection locked="0"/>
    </xf>
    <xf numFmtId="0" fontId="17" fillId="0" borderId="71" xfId="0" applyFont="1" applyBorder="1" applyAlignment="1">
      <alignment horizontal="center" vertical="center"/>
    </xf>
    <xf numFmtId="0" fontId="35" fillId="0" borderId="10" xfId="1" applyFont="1" applyBorder="1" applyAlignment="1" applyProtection="1">
      <alignment horizontal="center"/>
    </xf>
    <xf numFmtId="0" fontId="35" fillId="0" borderId="11" xfId="1" applyFont="1" applyBorder="1" applyAlignment="1" applyProtection="1">
      <alignment horizontal="center"/>
    </xf>
    <xf numFmtId="165" fontId="35" fillId="0" borderId="13" xfId="1" applyNumberFormat="1" applyFont="1" applyBorder="1" applyAlignment="1" applyProtection="1">
      <alignment horizontal="center"/>
    </xf>
    <xf numFmtId="0" fontId="35" fillId="0" borderId="68" xfId="1" applyFont="1" applyBorder="1" applyAlignment="1" applyProtection="1">
      <alignment horizontal="center"/>
    </xf>
    <xf numFmtId="2" fontId="35" fillId="0" borderId="13" xfId="1" applyNumberFormat="1" applyFont="1" applyBorder="1" applyAlignment="1" applyProtection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1" applyFont="1" applyBorder="1" applyAlignment="1" applyProtection="1">
      <alignment horizontal="center"/>
    </xf>
    <xf numFmtId="0" fontId="35" fillId="0" borderId="16" xfId="1" applyFont="1" applyBorder="1" applyAlignment="1" applyProtection="1">
      <alignment horizontal="center"/>
    </xf>
    <xf numFmtId="0" fontId="35" fillId="0" borderId="17" xfId="1" applyFont="1" applyBorder="1" applyAlignment="1" applyProtection="1">
      <alignment horizontal="center"/>
    </xf>
    <xf numFmtId="165" fontId="35" fillId="0" borderId="18" xfId="1" applyNumberFormat="1" applyFont="1" applyBorder="1" applyAlignment="1" applyProtection="1">
      <alignment horizontal="center"/>
    </xf>
    <xf numFmtId="0" fontId="35" fillId="0" borderId="18" xfId="1" applyFont="1" applyBorder="1" applyAlignment="1" applyProtection="1">
      <alignment horizontal="center"/>
    </xf>
    <xf numFmtId="0" fontId="35" fillId="0" borderId="20" xfId="1" applyFont="1" applyBorder="1" applyAlignment="1" applyProtection="1">
      <alignment horizontal="center"/>
    </xf>
    <xf numFmtId="0" fontId="35" fillId="0" borderId="21" xfId="1" applyFont="1" applyBorder="1" applyAlignment="1" applyProtection="1">
      <alignment horizontal="center"/>
    </xf>
    <xf numFmtId="0" fontId="35" fillId="0" borderId="22" xfId="1" applyFont="1" applyBorder="1" applyAlignment="1" applyProtection="1">
      <alignment horizontal="center"/>
    </xf>
    <xf numFmtId="2" fontId="35" fillId="0" borderId="18" xfId="1" applyNumberFormat="1" applyFont="1" applyBorder="1" applyAlignment="1" applyProtection="1">
      <alignment horizontal="center"/>
    </xf>
    <xf numFmtId="0" fontId="36" fillId="0" borderId="23" xfId="0" applyFont="1" applyBorder="1" applyAlignment="1">
      <alignment horizontal="center"/>
    </xf>
    <xf numFmtId="2" fontId="17" fillId="0" borderId="20" xfId="0" applyNumberFormat="1" applyFont="1" applyBorder="1" applyAlignment="1" applyProtection="1">
      <alignment horizontal="center" vertical="center" wrapText="1"/>
    </xf>
    <xf numFmtId="1" fontId="17" fillId="0" borderId="72" xfId="1" applyNumberFormat="1" applyFont="1" applyBorder="1" applyAlignment="1" applyProtection="1">
      <alignment horizontal="center" vertical="center"/>
      <protection locked="0"/>
    </xf>
    <xf numFmtId="0" fontId="17" fillId="0" borderId="73" xfId="0" applyFont="1" applyBorder="1" applyAlignment="1">
      <alignment horizontal="center" vertical="center"/>
    </xf>
    <xf numFmtId="2" fontId="17" fillId="0" borderId="30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49" fontId="17" fillId="0" borderId="2" xfId="1" quotePrefix="1" applyNumberFormat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/>
      <protection locked="0"/>
    </xf>
    <xf numFmtId="2" fontId="5" fillId="0" borderId="0" xfId="0" applyNumberFormat="1" applyFont="1" applyAlignment="1">
      <alignment horizontal="right"/>
    </xf>
    <xf numFmtId="0" fontId="24" fillId="0" borderId="0" xfId="0" applyFont="1" applyAlignment="1" applyProtection="1">
      <protection locked="0"/>
    </xf>
    <xf numFmtId="14" fontId="5" fillId="0" borderId="0" xfId="0" applyNumberFormat="1" applyFont="1" applyAlignment="1" applyProtection="1">
      <protection locked="0"/>
    </xf>
    <xf numFmtId="2" fontId="12" fillId="0" borderId="30" xfId="0" applyNumberFormat="1" applyFont="1" applyBorder="1" applyAlignment="1">
      <alignment horizontal="left"/>
    </xf>
    <xf numFmtId="2" fontId="12" fillId="0" borderId="50" xfId="0" applyNumberFormat="1" applyFont="1" applyBorder="1" applyAlignment="1">
      <alignment horizontal="left"/>
    </xf>
    <xf numFmtId="2" fontId="37" fillId="0" borderId="70" xfId="2" applyNumberFormat="1" applyFont="1" applyBorder="1" applyAlignment="1" applyProtection="1">
      <alignment horizontal="right" vertical="center"/>
      <protection locked="0"/>
    </xf>
    <xf numFmtId="0" fontId="37" fillId="0" borderId="70" xfId="2" applyFont="1" applyBorder="1" applyAlignment="1" applyProtection="1">
      <alignment horizontal="center" vertical="center"/>
      <protection locked="0"/>
    </xf>
    <xf numFmtId="169" fontId="37" fillId="0" borderId="70" xfId="2" applyNumberFormat="1" applyFont="1" applyBorder="1" applyAlignment="1" applyProtection="1">
      <alignment horizontal="center" vertical="center"/>
      <protection locked="0"/>
    </xf>
    <xf numFmtId="1" fontId="37" fillId="0" borderId="69" xfId="2" applyNumberFormat="1" applyFont="1" applyBorder="1" applyAlignment="1" applyProtection="1">
      <alignment horizontal="center" vertical="center"/>
      <protection locked="0"/>
    </xf>
    <xf numFmtId="0" fontId="37" fillId="0" borderId="70" xfId="2" applyFont="1" applyBorder="1" applyAlignment="1" applyProtection="1">
      <alignment vertical="center"/>
      <protection locked="0"/>
    </xf>
    <xf numFmtId="0" fontId="37" fillId="0" borderId="69" xfId="2" quotePrefix="1" applyFont="1" applyBorder="1" applyAlignment="1" applyProtection="1">
      <alignment horizontal="right" vertical="center"/>
      <protection locked="0"/>
    </xf>
    <xf numFmtId="2" fontId="12" fillId="0" borderId="50" xfId="0" applyNumberFormat="1" applyFont="1" applyBorder="1" applyAlignment="1">
      <alignment horizontal="center"/>
    </xf>
    <xf numFmtId="2" fontId="40" fillId="0" borderId="49" xfId="1" applyNumberFormat="1" applyFont="1" applyBorder="1" applyAlignment="1" applyProtection="1">
      <alignment horizontal="center" vertical="center"/>
    </xf>
    <xf numFmtId="169" fontId="17" fillId="0" borderId="2" xfId="1" applyNumberFormat="1" applyFont="1" applyBorder="1" applyAlignment="1" applyProtection="1">
      <alignment horizontal="center" vertical="center"/>
      <protection locked="0"/>
    </xf>
    <xf numFmtId="0" fontId="37" fillId="0" borderId="69" xfId="2" applyFont="1" applyBorder="1" applyAlignment="1" applyProtection="1">
      <alignment horizontal="right" vertical="center"/>
      <protection locked="0"/>
    </xf>
    <xf numFmtId="166" fontId="5" fillId="0" borderId="70" xfId="2" applyNumberFormat="1" applyFont="1" applyBorder="1" applyAlignment="1" applyProtection="1">
      <alignment horizontal="center" vertical="center"/>
      <protection locked="0"/>
    </xf>
    <xf numFmtId="166" fontId="5" fillId="0" borderId="63" xfId="2" applyNumberFormat="1" applyFont="1" applyBorder="1" applyAlignment="1" applyProtection="1">
      <alignment horizontal="center" vertical="center"/>
      <protection locked="0"/>
    </xf>
    <xf numFmtId="166" fontId="5" fillId="0" borderId="64" xfId="2" applyNumberFormat="1" applyFont="1" applyBorder="1" applyAlignment="1" applyProtection="1">
      <alignment horizontal="center" vertical="center"/>
      <protection locked="0"/>
    </xf>
    <xf numFmtId="166" fontId="5" fillId="0" borderId="65" xfId="2" applyNumberFormat="1" applyFont="1" applyBorder="1" applyAlignment="1" applyProtection="1">
      <alignment horizontal="center" vertical="center"/>
      <protection locked="0"/>
    </xf>
    <xf numFmtId="166" fontId="5" fillId="0" borderId="55" xfId="2" applyNumberFormat="1" applyFont="1" applyBorder="1" applyAlignment="1" applyProtection="1">
      <alignment horizontal="center" vertical="center"/>
      <protection locked="0"/>
    </xf>
    <xf numFmtId="166" fontId="5" fillId="0" borderId="57" xfId="2" applyNumberFormat="1" applyFont="1" applyBorder="1" applyAlignment="1" applyProtection="1">
      <alignment horizontal="center" vertical="center"/>
      <protection locked="0"/>
    </xf>
    <xf numFmtId="166" fontId="5" fillId="0" borderId="59" xfId="2" applyNumberFormat="1" applyFont="1" applyBorder="1" applyAlignment="1" applyProtection="1">
      <alignment horizontal="center" vertical="center"/>
      <protection locked="0"/>
    </xf>
    <xf numFmtId="166" fontId="5" fillId="0" borderId="56" xfId="2" applyNumberFormat="1" applyFont="1" applyBorder="1" applyAlignment="1" applyProtection="1">
      <alignment horizontal="center" vertical="center"/>
      <protection locked="0"/>
    </xf>
    <xf numFmtId="1" fontId="5" fillId="0" borderId="70" xfId="2" applyNumberFormat="1" applyFont="1" applyBorder="1" applyAlignment="1" applyProtection="1">
      <alignment horizontal="center" vertical="center"/>
      <protection locked="0"/>
    </xf>
    <xf numFmtId="1" fontId="5" fillId="0" borderId="63" xfId="2" applyNumberFormat="1" applyFont="1" applyBorder="1" applyAlignment="1" applyProtection="1">
      <alignment horizontal="center" vertical="center"/>
      <protection locked="0"/>
    </xf>
    <xf numFmtId="1" fontId="5" fillId="0" borderId="64" xfId="2" quotePrefix="1" applyNumberFormat="1" applyFont="1" applyBorder="1" applyAlignment="1" applyProtection="1">
      <alignment horizontal="center" vertical="center"/>
      <protection locked="0"/>
    </xf>
    <xf numFmtId="1" fontId="5" fillId="0" borderId="65" xfId="2" applyNumberFormat="1" applyFont="1" applyBorder="1" applyAlignment="1" applyProtection="1">
      <alignment horizontal="center" vertical="center"/>
      <protection locked="0"/>
    </xf>
    <xf numFmtId="2" fontId="36" fillId="0" borderId="7" xfId="0" applyNumberFormat="1" applyFont="1" applyBorder="1" applyAlignment="1">
      <alignment horizontal="left"/>
    </xf>
    <xf numFmtId="1" fontId="42" fillId="5" borderId="0" xfId="0" applyNumberFormat="1" applyFont="1" applyFill="1" applyAlignment="1">
      <alignment horizontal="center"/>
    </xf>
    <xf numFmtId="0" fontId="42" fillId="5" borderId="0" xfId="0" applyFont="1" applyFill="1"/>
    <xf numFmtId="1" fontId="43" fillId="5" borderId="0" xfId="0" applyNumberFormat="1" applyFont="1" applyFill="1" applyAlignment="1">
      <alignment horizontal="right"/>
    </xf>
    <xf numFmtId="1" fontId="0" fillId="0" borderId="0" xfId="0" applyNumberFormat="1"/>
    <xf numFmtId="2" fontId="12" fillId="0" borderId="0" xfId="0" applyNumberFormat="1" applyFont="1" applyBorder="1" applyAlignment="1">
      <alignment horizontal="left"/>
    </xf>
    <xf numFmtId="2" fontId="17" fillId="0" borderId="78" xfId="1" applyNumberFormat="1" applyFont="1" applyBorder="1" applyAlignment="1" applyProtection="1">
      <alignment vertical="center"/>
    </xf>
    <xf numFmtId="0" fontId="5" fillId="0" borderId="64" xfId="0" applyFont="1" applyBorder="1" applyAlignment="1">
      <alignment horizontal="center"/>
    </xf>
    <xf numFmtId="49" fontId="44" fillId="6" borderId="9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29" fillId="0" borderId="0" xfId="0" applyFont="1" applyAlignment="1">
      <alignment horizontal="center"/>
    </xf>
    <xf numFmtId="0" fontId="35" fillId="0" borderId="13" xfId="1" applyFont="1" applyBorder="1" applyAlignment="1" applyProtection="1">
      <alignment horizontal="center"/>
    </xf>
    <xf numFmtId="0" fontId="35" fillId="0" borderId="12" xfId="1" applyFont="1" applyBorder="1" applyAlignment="1" applyProtection="1">
      <alignment horizontal="center"/>
    </xf>
    <xf numFmtId="0" fontId="35" fillId="0" borderId="19" xfId="1" applyFont="1" applyBorder="1" applyAlignment="1" applyProtection="1">
      <alignment horizontal="center"/>
    </xf>
    <xf numFmtId="0" fontId="15" fillId="0" borderId="0" xfId="1" applyFont="1" applyAlignment="1" applyProtection="1">
      <alignment horizontal="right"/>
    </xf>
    <xf numFmtId="2" fontId="17" fillId="0" borderId="72" xfId="1" applyNumberFormat="1" applyFont="1" applyBorder="1" applyAlignment="1" applyProtection="1">
      <alignment horizontal="center" vertical="center"/>
    </xf>
    <xf numFmtId="2" fontId="17" fillId="0" borderId="79" xfId="1" applyNumberFormat="1" applyFont="1" applyBorder="1" applyAlignment="1" applyProtection="1">
      <alignment horizontal="center" vertical="center"/>
    </xf>
    <xf numFmtId="2" fontId="17" fillId="0" borderId="66" xfId="1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9" fillId="0" borderId="19" xfId="1" applyFont="1" applyBorder="1" applyAlignment="1" applyProtection="1">
      <alignment horizontal="center"/>
    </xf>
    <xf numFmtId="0" fontId="9" fillId="0" borderId="13" xfId="1" applyFont="1" applyBorder="1" applyAlignment="1" applyProtection="1">
      <alignment horizontal="center"/>
    </xf>
    <xf numFmtId="0" fontId="9" fillId="0" borderId="12" xfId="1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7" fillId="0" borderId="0" xfId="1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left"/>
      <protection locked="0"/>
    </xf>
    <xf numFmtId="14" fontId="17" fillId="0" borderId="0" xfId="0" applyNumberFormat="1" applyFont="1" applyAlignment="1" applyProtection="1">
      <alignment horizontal="left"/>
      <protection locked="0"/>
    </xf>
    <xf numFmtId="169" fontId="17" fillId="0" borderId="0" xfId="1" applyNumberFormat="1" applyFont="1" applyAlignment="1" applyProtection="1">
      <alignment horizontal="left"/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/>
    </xf>
    <xf numFmtId="2" fontId="17" fillId="0" borderId="72" xfId="1" applyNumberFormat="1" applyFont="1" applyBorder="1" applyAlignment="1" applyProtection="1">
      <alignment horizontal="center" vertical="center"/>
    </xf>
    <xf numFmtId="2" fontId="17" fillId="0" borderId="79" xfId="1" applyNumberFormat="1" applyFont="1" applyBorder="1" applyAlignment="1" applyProtection="1">
      <alignment horizontal="center" vertical="center"/>
    </xf>
    <xf numFmtId="2" fontId="17" fillId="0" borderId="66" xfId="1" applyNumberFormat="1" applyFont="1" applyBorder="1" applyAlignment="1" applyProtection="1">
      <alignment horizontal="center" vertical="center"/>
    </xf>
    <xf numFmtId="2" fontId="17" fillId="0" borderId="36" xfId="1" applyNumberFormat="1" applyFont="1" applyBorder="1" applyAlignment="1" applyProtection="1">
      <alignment horizontal="center" vertical="center"/>
    </xf>
    <xf numFmtId="2" fontId="17" fillId="0" borderId="75" xfId="1" applyNumberFormat="1" applyFont="1" applyBorder="1" applyAlignment="1" applyProtection="1">
      <alignment horizontal="center" vertical="center"/>
    </xf>
    <xf numFmtId="2" fontId="17" fillId="0" borderId="37" xfId="1" applyNumberFormat="1" applyFont="1" applyBorder="1" applyAlignment="1" applyProtection="1">
      <alignment horizontal="center" vertical="center"/>
    </xf>
    <xf numFmtId="2" fontId="17" fillId="0" borderId="75" xfId="1" applyNumberFormat="1" applyFont="1" applyBorder="1" applyAlignment="1" applyProtection="1">
      <alignment horizontal="center" vertical="center" wrapText="1"/>
    </xf>
    <xf numFmtId="2" fontId="17" fillId="0" borderId="79" xfId="1" applyNumberFormat="1" applyFont="1" applyBorder="1" applyAlignment="1" applyProtection="1">
      <alignment horizontal="center" vertical="center" wrapText="1"/>
    </xf>
    <xf numFmtId="2" fontId="17" fillId="0" borderId="76" xfId="1" applyNumberFormat="1" applyFont="1" applyBorder="1" applyAlignment="1" applyProtection="1">
      <alignment horizontal="center" vertical="center" wrapText="1"/>
    </xf>
    <xf numFmtId="2" fontId="17" fillId="0" borderId="77" xfId="1" applyNumberFormat="1" applyFont="1" applyBorder="1" applyAlignment="1" applyProtection="1">
      <alignment horizontal="center" vertical="center" wrapText="1"/>
    </xf>
    <xf numFmtId="2" fontId="17" fillId="0" borderId="78" xfId="1" applyNumberFormat="1" applyFont="1" applyBorder="1" applyAlignment="1" applyProtection="1">
      <alignment horizontal="center" vertical="center" wrapText="1"/>
    </xf>
    <xf numFmtId="2" fontId="17" fillId="0" borderId="76" xfId="1" applyNumberFormat="1" applyFont="1" applyBorder="1" applyAlignment="1" applyProtection="1">
      <alignment horizontal="center" vertical="center"/>
    </xf>
    <xf numFmtId="2" fontId="17" fillId="0" borderId="77" xfId="1" applyNumberFormat="1" applyFont="1" applyBorder="1" applyAlignment="1" applyProtection="1">
      <alignment horizontal="center" vertical="center"/>
    </xf>
    <xf numFmtId="2" fontId="17" fillId="0" borderId="78" xfId="1" applyNumberFormat="1" applyFont="1" applyBorder="1" applyAlignment="1" applyProtection="1">
      <alignment horizontal="center" vertical="center"/>
    </xf>
    <xf numFmtId="0" fontId="15" fillId="0" borderId="0" xfId="1" applyFont="1" applyAlignment="1" applyProtection="1">
      <alignment horizontal="right"/>
    </xf>
    <xf numFmtId="0" fontId="16" fillId="0" borderId="0" xfId="1" applyFont="1" applyAlignment="1" applyProtection="1">
      <alignment horizontal="left"/>
      <protection locked="0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5" fillId="0" borderId="13" xfId="1" applyFont="1" applyBorder="1" applyAlignment="1" applyProtection="1">
      <alignment horizontal="center"/>
    </xf>
    <xf numFmtId="0" fontId="35" fillId="0" borderId="12" xfId="1" applyFont="1" applyBorder="1" applyAlignment="1" applyProtection="1">
      <alignment horizontal="center"/>
    </xf>
    <xf numFmtId="0" fontId="35" fillId="0" borderId="81" xfId="1" applyFont="1" applyBorder="1" applyAlignment="1" applyProtection="1">
      <alignment horizontal="center"/>
    </xf>
    <xf numFmtId="0" fontId="35" fillId="0" borderId="38" xfId="1" applyFont="1" applyBorder="1" applyAlignment="1" applyProtection="1">
      <alignment horizontal="center"/>
    </xf>
    <xf numFmtId="0" fontId="35" fillId="0" borderId="40" xfId="1" applyFont="1" applyBorder="1" applyAlignment="1" applyProtection="1">
      <alignment horizontal="center"/>
    </xf>
    <xf numFmtId="0" fontId="35" fillId="0" borderId="19" xfId="1" applyFont="1" applyBorder="1" applyAlignment="1" applyProtection="1">
      <alignment horizontal="center"/>
    </xf>
    <xf numFmtId="0" fontId="35" fillId="0" borderId="80" xfId="1" applyFont="1" applyBorder="1" applyAlignment="1" applyProtection="1">
      <alignment horizontal="center"/>
    </xf>
    <xf numFmtId="0" fontId="35" fillId="0" borderId="28" xfId="1" applyFont="1" applyBorder="1" applyAlignment="1" applyProtection="1">
      <alignment horizontal="center"/>
    </xf>
    <xf numFmtId="0" fontId="9" fillId="0" borderId="13" xfId="1" applyFont="1" applyBorder="1" applyAlignment="1" applyProtection="1">
      <alignment horizontal="center"/>
    </xf>
    <xf numFmtId="0" fontId="9" fillId="0" borderId="12" xfId="1" applyFont="1" applyBorder="1" applyAlignment="1" applyProtection="1">
      <alignment horizontal="center"/>
    </xf>
    <xf numFmtId="0" fontId="9" fillId="0" borderId="81" xfId="1" applyFont="1" applyBorder="1" applyAlignment="1" applyProtection="1">
      <alignment horizontal="center"/>
    </xf>
    <xf numFmtId="0" fontId="9" fillId="0" borderId="38" xfId="1" applyFont="1" applyBorder="1" applyAlignment="1" applyProtection="1">
      <alignment horizontal="center"/>
    </xf>
    <xf numFmtId="0" fontId="9" fillId="0" borderId="40" xfId="1" applyFont="1" applyBorder="1" applyAlignment="1" applyProtection="1">
      <alignment horizontal="center"/>
    </xf>
    <xf numFmtId="0" fontId="9" fillId="0" borderId="19" xfId="1" applyFont="1" applyBorder="1" applyAlignment="1" applyProtection="1">
      <alignment horizontal="center"/>
    </xf>
    <xf numFmtId="0" fontId="9" fillId="0" borderId="80" xfId="1" applyFont="1" applyBorder="1" applyAlignment="1" applyProtection="1">
      <alignment horizontal="center"/>
    </xf>
    <xf numFmtId="0" fontId="9" fillId="0" borderId="28" xfId="1" applyFont="1" applyBorder="1" applyAlignment="1" applyProtection="1">
      <alignment horizontal="center"/>
    </xf>
    <xf numFmtId="2" fontId="33" fillId="0" borderId="76" xfId="1" applyNumberFormat="1" applyFont="1" applyBorder="1" applyAlignment="1" applyProtection="1">
      <alignment horizontal="center" vertical="center"/>
    </xf>
    <xf numFmtId="2" fontId="33" fillId="0" borderId="77" xfId="1" applyNumberFormat="1" applyFont="1" applyBorder="1" applyAlignment="1" applyProtection="1">
      <alignment horizontal="center" vertical="center"/>
    </xf>
    <xf numFmtId="2" fontId="33" fillId="0" borderId="78" xfId="1" applyNumberFormat="1" applyFont="1" applyBorder="1" applyAlignment="1" applyProtection="1">
      <alignment horizontal="center" vertical="center"/>
    </xf>
    <xf numFmtId="2" fontId="33" fillId="0" borderId="82" xfId="1" applyNumberFormat="1" applyFont="1" applyBorder="1" applyAlignment="1" applyProtection="1">
      <alignment horizontal="center" vertical="center" wrapText="1"/>
    </xf>
    <xf numFmtId="2" fontId="33" fillId="0" borderId="83" xfId="1" applyNumberFormat="1" applyFont="1" applyBorder="1" applyAlignment="1" applyProtection="1">
      <alignment horizontal="center" vertical="center" wrapText="1"/>
    </xf>
    <xf numFmtId="2" fontId="33" fillId="0" borderId="84" xfId="1" applyNumberFormat="1" applyFont="1" applyBorder="1" applyAlignment="1" applyProtection="1">
      <alignment horizontal="center" vertical="center" wrapText="1"/>
    </xf>
    <xf numFmtId="2" fontId="33" fillId="0" borderId="82" xfId="1" applyNumberFormat="1" applyFont="1" applyBorder="1" applyAlignment="1" applyProtection="1">
      <alignment horizontal="center" vertical="center"/>
    </xf>
    <xf numFmtId="2" fontId="33" fillId="0" borderId="83" xfId="1" applyNumberFormat="1" applyFont="1" applyBorder="1" applyAlignment="1" applyProtection="1">
      <alignment horizontal="center" vertical="center"/>
    </xf>
    <xf numFmtId="2" fontId="33" fillId="0" borderId="84" xfId="1" applyNumberFormat="1" applyFont="1" applyBorder="1" applyAlignment="1" applyProtection="1">
      <alignment horizontal="center" vertical="center"/>
    </xf>
    <xf numFmtId="2" fontId="33" fillId="0" borderId="76" xfId="1" applyNumberFormat="1" applyFont="1" applyBorder="1" applyAlignment="1" applyProtection="1">
      <alignment horizontal="center" vertical="center" wrapText="1"/>
    </xf>
    <xf numFmtId="2" fontId="33" fillId="0" borderId="77" xfId="1" applyNumberFormat="1" applyFont="1" applyBorder="1" applyAlignment="1" applyProtection="1">
      <alignment horizontal="center" vertical="center" wrapText="1"/>
    </xf>
    <xf numFmtId="2" fontId="33" fillId="0" borderId="78" xfId="1" applyNumberFormat="1" applyFont="1" applyBorder="1" applyAlignment="1" applyProtection="1">
      <alignment horizontal="center" vertical="center" wrapText="1"/>
    </xf>
    <xf numFmtId="0" fontId="41" fillId="5" borderId="0" xfId="0" applyFont="1" applyFill="1" applyAlignment="1">
      <alignment horizontal="center"/>
    </xf>
    <xf numFmtId="0" fontId="21" fillId="2" borderId="85" xfId="0" applyFont="1" applyFill="1" applyBorder="1" applyAlignment="1">
      <alignment horizontal="center"/>
    </xf>
    <xf numFmtId="0" fontId="21" fillId="2" borderId="86" xfId="0" applyFont="1" applyFill="1" applyBorder="1" applyAlignment="1">
      <alignment horizontal="center"/>
    </xf>
    <xf numFmtId="0" fontId="21" fillId="2" borderId="87" xfId="0" applyFont="1" applyFill="1" applyBorder="1" applyAlignment="1">
      <alignment horizontal="center"/>
    </xf>
    <xf numFmtId="0" fontId="21" fillId="3" borderId="88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21" fillId="3" borderId="89" xfId="0" applyFont="1" applyFill="1" applyBorder="1" applyAlignment="1">
      <alignment horizontal="center"/>
    </xf>
    <xf numFmtId="0" fontId="27" fillId="4" borderId="85" xfId="0" applyFont="1" applyFill="1" applyBorder="1" applyAlignment="1">
      <alignment horizontal="center"/>
    </xf>
    <xf numFmtId="0" fontId="27" fillId="4" borderId="86" xfId="0" applyFont="1" applyFill="1" applyBorder="1" applyAlignment="1">
      <alignment horizontal="center"/>
    </xf>
    <xf numFmtId="0" fontId="27" fillId="4" borderId="87" xfId="0" applyFont="1" applyFill="1" applyBorder="1" applyAlignment="1">
      <alignment horizontal="center"/>
    </xf>
    <xf numFmtId="0" fontId="28" fillId="4" borderId="85" xfId="0" applyFont="1" applyFill="1" applyBorder="1" applyAlignment="1">
      <alignment horizontal="center"/>
    </xf>
    <xf numFmtId="0" fontId="28" fillId="4" borderId="86" xfId="0" applyFont="1" applyFill="1" applyBorder="1" applyAlignment="1">
      <alignment horizontal="center"/>
    </xf>
    <xf numFmtId="0" fontId="28" fillId="4" borderId="86" xfId="0" applyFont="1" applyFill="1" applyBorder="1" applyAlignment="1">
      <alignment horizontal="center" wrapText="1"/>
    </xf>
    <xf numFmtId="169" fontId="28" fillId="4" borderId="86" xfId="0" applyNumberFormat="1" applyFont="1" applyFill="1" applyBorder="1" applyAlignment="1">
      <alignment horizontal="center"/>
    </xf>
    <xf numFmtId="169" fontId="28" fillId="4" borderId="87" xfId="0" applyNumberFormat="1" applyFont="1" applyFill="1" applyBorder="1" applyAlignment="1">
      <alignment horizontal="center"/>
    </xf>
    <xf numFmtId="0" fontId="21" fillId="3" borderId="85" xfId="0" applyFont="1" applyFill="1" applyBorder="1" applyAlignment="1">
      <alignment horizontal="center"/>
    </xf>
    <xf numFmtId="0" fontId="21" fillId="3" borderId="86" xfId="0" applyFont="1" applyFill="1" applyBorder="1" applyAlignment="1">
      <alignment horizontal="center"/>
    </xf>
    <xf numFmtId="0" fontId="21" fillId="3" borderId="87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0" fillId="0" borderId="17" xfId="0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  <protection locked="0"/>
    </xf>
    <xf numFmtId="14" fontId="25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169" fontId="24" fillId="0" borderId="0" xfId="0" applyNumberFormat="1" applyFont="1" applyAlignment="1" applyProtection="1">
      <alignment horizontal="left" vertical="center"/>
    </xf>
    <xf numFmtId="169" fontId="24" fillId="0" borderId="0" xfId="0" applyNumberFormat="1" applyFont="1" applyAlignment="1" applyProtection="1">
      <alignment horizontal="left"/>
      <protection locked="0"/>
    </xf>
    <xf numFmtId="2" fontId="3" fillId="0" borderId="2" xfId="0" applyNumberFormat="1" applyFont="1" applyBorder="1" applyAlignment="1">
      <alignment horizontal="center" wrapText="1"/>
    </xf>
    <xf numFmtId="171" fontId="6" fillId="0" borderId="55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1" fontId="6" fillId="0" borderId="58" xfId="0" applyNumberFormat="1" applyFont="1" applyBorder="1" applyAlignment="1" applyProtection="1">
      <alignment horizontal="center" vertical="center"/>
      <protection locked="0"/>
    </xf>
    <xf numFmtId="0" fontId="6" fillId="0" borderId="58" xfId="0" applyNumberFormat="1" applyFont="1" applyBorder="1" applyAlignment="1" applyProtection="1">
      <alignment horizontal="center" vertical="center"/>
      <protection locked="0"/>
    </xf>
    <xf numFmtId="1" fontId="6" fillId="0" borderId="54" xfId="0" applyNumberFormat="1" applyFont="1" applyBorder="1" applyAlignment="1" applyProtection="1">
      <alignment horizontal="center" vertical="center"/>
      <protection locked="0"/>
    </xf>
    <xf numFmtId="0" fontId="6" fillId="0" borderId="54" xfId="0" applyNumberFormat="1" applyFont="1" applyBorder="1" applyAlignment="1" applyProtection="1">
      <alignment horizontal="center" vertical="center"/>
      <protection locked="0"/>
    </xf>
    <xf numFmtId="171" fontId="5" fillId="0" borderId="57" xfId="0" applyNumberFormat="1" applyFont="1" applyBorder="1" applyAlignment="1" applyProtection="1">
      <alignment horizontal="center" vertical="center"/>
      <protection locked="0"/>
    </xf>
    <xf numFmtId="171" fontId="5" fillId="0" borderId="55" xfId="0" applyNumberFormat="1" applyFont="1" applyBorder="1" applyAlignment="1" applyProtection="1">
      <alignment horizontal="center" vertical="center"/>
      <protection locked="0"/>
    </xf>
    <xf numFmtId="171" fontId="5" fillId="0" borderId="59" xfId="0" applyNumberFormat="1" applyFont="1" applyBorder="1" applyAlignment="1" applyProtection="1">
      <alignment horizontal="center" vertical="center"/>
      <protection locked="0"/>
    </xf>
    <xf numFmtId="171" fontId="5" fillId="0" borderId="56" xfId="0" applyNumberFormat="1" applyFont="1" applyBorder="1" applyAlignment="1" applyProtection="1">
      <alignment horizontal="center" vertical="center"/>
      <protection locked="0"/>
    </xf>
    <xf numFmtId="171" fontId="5" fillId="0" borderId="3" xfId="0" applyNumberFormat="1" applyFont="1" applyBorder="1" applyAlignment="1" applyProtection="1">
      <alignment horizontal="center" vertical="center"/>
      <protection locked="0"/>
    </xf>
    <xf numFmtId="171" fontId="5" fillId="0" borderId="60" xfId="0" applyNumberFormat="1" applyFont="1" applyBorder="1" applyAlignment="1" applyProtection="1">
      <alignment horizontal="center" vertical="center"/>
      <protection locked="0"/>
    </xf>
    <xf numFmtId="171" fontId="5" fillId="0" borderId="61" xfId="0" applyNumberFormat="1" applyFont="1" applyBorder="1" applyAlignment="1" applyProtection="1">
      <alignment horizontal="center" vertical="center"/>
      <protection locked="0"/>
    </xf>
    <xf numFmtId="171" fontId="6" fillId="0" borderId="25" xfId="0" applyNumberFormat="1" applyFont="1" applyBorder="1" applyAlignment="1">
      <alignment horizontal="center" vertical="center"/>
    </xf>
    <xf numFmtId="2" fontId="6" fillId="0" borderId="74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/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left"/>
      <protection locked="0"/>
    </xf>
    <xf numFmtId="2" fontId="5" fillId="0" borderId="0" xfId="1" applyNumberFormat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14" fontId="5" fillId="0" borderId="0" xfId="1" applyNumberFormat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/>
      <protection locked="0"/>
    </xf>
    <xf numFmtId="2" fontId="6" fillId="0" borderId="0" xfId="1" applyNumberFormat="1" applyFont="1" applyBorder="1" applyAlignment="1" applyProtection="1">
      <alignment horizontal="center" vertic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 vertical="top" wrapText="1"/>
    </xf>
    <xf numFmtId="1" fontId="16" fillId="0" borderId="0" xfId="1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</cellXfs>
  <cellStyles count="3">
    <cellStyle name="Normal" xfId="0" builtinId="0"/>
    <cellStyle name="Normal_Sheet1" xfId="1" xr:uid="{00000000-0005-0000-0000-000001000000}"/>
    <cellStyle name="Normal_Sheet2" xfId="2" xr:uid="{00000000-0005-0000-0000-000002000000}"/>
  </cellStyles>
  <dxfs count="246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0</xdr:row>
      <xdr:rowOff>152400</xdr:rowOff>
    </xdr:from>
    <xdr:to>
      <xdr:col>2</xdr:col>
      <xdr:colOff>101600</xdr:colOff>
      <xdr:row>2</xdr:row>
      <xdr:rowOff>203200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51E019C4-9176-F748-AF37-A793FA78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52400"/>
          <a:ext cx="6604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0</xdr:row>
      <xdr:rowOff>152400</xdr:rowOff>
    </xdr:from>
    <xdr:to>
      <xdr:col>2</xdr:col>
      <xdr:colOff>101600</xdr:colOff>
      <xdr:row>2</xdr:row>
      <xdr:rowOff>203200</xdr:rowOff>
    </xdr:to>
    <xdr:pic>
      <xdr:nvPicPr>
        <xdr:cNvPr id="12420" name="Picture 192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52400"/>
          <a:ext cx="6604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0</xdr:row>
      <xdr:rowOff>152400</xdr:rowOff>
    </xdr:from>
    <xdr:to>
      <xdr:col>2</xdr:col>
      <xdr:colOff>101600</xdr:colOff>
      <xdr:row>2</xdr:row>
      <xdr:rowOff>203200</xdr:rowOff>
    </xdr:to>
    <xdr:pic>
      <xdr:nvPicPr>
        <xdr:cNvPr id="13444" name="Picture 192">
          <a:extLst>
            <a:ext uri="{FF2B5EF4-FFF2-40B4-BE49-F238E27FC236}">
              <a16:creationId xmlns:a16="http://schemas.microsoft.com/office/drawing/2014/main" id="{00000000-0008-0000-0200-00008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52400"/>
          <a:ext cx="6604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0</xdr:row>
      <xdr:rowOff>152400</xdr:rowOff>
    </xdr:from>
    <xdr:to>
      <xdr:col>2</xdr:col>
      <xdr:colOff>101600</xdr:colOff>
      <xdr:row>2</xdr:row>
      <xdr:rowOff>203200</xdr:rowOff>
    </xdr:to>
    <xdr:pic>
      <xdr:nvPicPr>
        <xdr:cNvPr id="14467" name="Picture 192">
          <a:extLst>
            <a:ext uri="{FF2B5EF4-FFF2-40B4-BE49-F238E27FC236}">
              <a16:creationId xmlns:a16="http://schemas.microsoft.com/office/drawing/2014/main" id="{00000000-0008-0000-0300-00008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52400"/>
          <a:ext cx="6604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0</xdr:row>
      <xdr:rowOff>152400</xdr:rowOff>
    </xdr:from>
    <xdr:to>
      <xdr:col>2</xdr:col>
      <xdr:colOff>101600</xdr:colOff>
      <xdr:row>2</xdr:row>
      <xdr:rowOff>203200</xdr:rowOff>
    </xdr:to>
    <xdr:pic>
      <xdr:nvPicPr>
        <xdr:cNvPr id="15493" name="Picture 192">
          <a:extLst>
            <a:ext uri="{FF2B5EF4-FFF2-40B4-BE49-F238E27FC236}">
              <a16:creationId xmlns:a16="http://schemas.microsoft.com/office/drawing/2014/main" id="{00000000-0008-0000-0400-00008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52400"/>
          <a:ext cx="6604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0</xdr:row>
      <xdr:rowOff>152400</xdr:rowOff>
    </xdr:from>
    <xdr:to>
      <xdr:col>2</xdr:col>
      <xdr:colOff>101600</xdr:colOff>
      <xdr:row>2</xdr:row>
      <xdr:rowOff>203200</xdr:rowOff>
    </xdr:to>
    <xdr:pic>
      <xdr:nvPicPr>
        <xdr:cNvPr id="16511" name="Picture 192">
          <a:extLst>
            <a:ext uri="{FF2B5EF4-FFF2-40B4-BE49-F238E27FC236}">
              <a16:creationId xmlns:a16="http://schemas.microsoft.com/office/drawing/2014/main" id="{00000000-0008-0000-0500-00007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52400"/>
          <a:ext cx="6604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0</xdr:row>
      <xdr:rowOff>152400</xdr:rowOff>
    </xdr:from>
    <xdr:to>
      <xdr:col>2</xdr:col>
      <xdr:colOff>101600</xdr:colOff>
      <xdr:row>2</xdr:row>
      <xdr:rowOff>203200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52400"/>
          <a:ext cx="6604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0</xdr:row>
      <xdr:rowOff>152400</xdr:rowOff>
    </xdr:from>
    <xdr:to>
      <xdr:col>2</xdr:col>
      <xdr:colOff>101600</xdr:colOff>
      <xdr:row>2</xdr:row>
      <xdr:rowOff>203200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52400"/>
          <a:ext cx="6604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0</xdr:row>
      <xdr:rowOff>152400</xdr:rowOff>
    </xdr:from>
    <xdr:to>
      <xdr:col>2</xdr:col>
      <xdr:colOff>101600</xdr:colOff>
      <xdr:row>2</xdr:row>
      <xdr:rowOff>203200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52400"/>
          <a:ext cx="6604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e/AKB/MSKAP/NM%205-kamp/NM%205-kamp%202018/arnegros_20180915%20Stevneprotokoll%20NM%205-kamp%20og%20Norges%20Cup%203.%20run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e/AKB/MSKAP/NM%205-kamp/NM%205-kamp%202018/arnegrostad_20180915%20Stevneprotokoll%20NM%205-kamp%20og%20Norges%20Cup%203.%20rund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e/AKB/MSKAP/NM%205-kamp/NM%205-kamp%202018/Kopi%20av%20_arnegrostad_20180915%20Stevneprotokoll%20NM%205-kamp%20og%20Norges%20Cup%203.%20run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"/>
      <sheetName val="P4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Y43"/>
  <sheetViews>
    <sheetView showGridLines="0" showRowColHeaders="0" showZeros="0" showOutlineSymbols="0" zoomScaleSheetLayoutView="75" workbookViewId="0">
      <selection activeCell="H34" sqref="H34:T34"/>
    </sheetView>
  </sheetViews>
  <sheetFormatPr defaultColWidth="9.140625" defaultRowHeight="12.95"/>
  <cols>
    <col min="1" max="1" width="6.42578125" style="2" customWidth="1"/>
    <col min="2" max="2" width="8.5703125" style="2" customWidth="1"/>
    <col min="3" max="3" width="6.42578125" style="38" customWidth="1"/>
    <col min="4" max="4" width="10.5703125" style="2" customWidth="1"/>
    <col min="5" max="5" width="3.85546875" style="2" customWidth="1"/>
    <col min="6" max="6" width="27.5703125" style="6" customWidth="1"/>
    <col min="7" max="7" width="20.42578125" style="6" customWidth="1"/>
    <col min="8" max="8" width="7.140625" style="2" customWidth="1"/>
    <col min="9" max="9" width="7.140625" style="43" customWidth="1"/>
    <col min="10" max="13" width="7.140625" style="2" customWidth="1"/>
    <col min="14" max="16" width="7.5703125" style="2" customWidth="1"/>
    <col min="17" max="18" width="10.5703125" style="40" customWidth="1"/>
    <col min="19" max="20" width="5.570312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72" customFormat="1" ht="53.25" customHeight="1">
      <c r="A1" s="2"/>
      <c r="B1" s="2"/>
      <c r="C1" s="38"/>
      <c r="D1" s="2"/>
      <c r="E1" s="2"/>
      <c r="F1" s="319" t="s">
        <v>0</v>
      </c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40"/>
      <c r="R1" s="40"/>
      <c r="S1" s="40"/>
      <c r="T1" s="40"/>
      <c r="U1" s="40"/>
      <c r="V1" s="5"/>
    </row>
    <row r="2" spans="1:22" s="72" customFormat="1" ht="24.75" customHeight="1">
      <c r="A2" s="2"/>
      <c r="B2" s="2"/>
      <c r="C2" s="38"/>
      <c r="D2" s="2"/>
      <c r="E2" s="2"/>
      <c r="F2" s="320" t="s">
        <v>1</v>
      </c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40"/>
      <c r="R2" s="40"/>
      <c r="S2" s="40"/>
      <c r="T2" s="40"/>
      <c r="U2" s="40"/>
      <c r="V2" s="5"/>
    </row>
    <row r="3" spans="1:22" s="72" customFormat="1">
      <c r="A3" s="2"/>
      <c r="B3" s="2"/>
      <c r="C3" s="38"/>
      <c r="D3" s="2"/>
      <c r="E3" s="2"/>
      <c r="F3" s="6"/>
      <c r="G3" s="6"/>
      <c r="H3" s="2"/>
      <c r="I3" s="43"/>
      <c r="J3" s="2"/>
      <c r="K3" s="2"/>
      <c r="L3" s="2"/>
      <c r="M3" s="2"/>
      <c r="N3" s="2"/>
      <c r="O3" s="2"/>
      <c r="P3" s="2"/>
      <c r="Q3" s="40"/>
      <c r="R3" s="40"/>
      <c r="S3" s="40"/>
      <c r="T3" s="40"/>
      <c r="U3" s="40"/>
      <c r="V3" s="5"/>
    </row>
    <row r="4" spans="1:22" s="72" customFormat="1" ht="12" customHeight="1">
      <c r="A4" s="2"/>
      <c r="B4" s="2"/>
      <c r="C4" s="38"/>
      <c r="D4" s="2"/>
      <c r="E4" s="2"/>
      <c r="F4" s="6"/>
      <c r="G4" s="6"/>
      <c r="H4" s="2"/>
      <c r="I4" s="43"/>
      <c r="J4" s="2"/>
      <c r="K4" s="2"/>
      <c r="L4" s="2"/>
      <c r="M4" s="2"/>
      <c r="N4" s="2"/>
      <c r="O4" s="2"/>
      <c r="P4" s="2"/>
      <c r="Q4" s="40"/>
      <c r="R4" s="40"/>
      <c r="S4" s="40"/>
      <c r="T4" s="40"/>
      <c r="U4" s="40"/>
      <c r="V4" s="5"/>
    </row>
    <row r="5" spans="1:22" s="71" customFormat="1" ht="15.6">
      <c r="A5" s="36"/>
      <c r="B5" s="150" t="s">
        <v>2</v>
      </c>
      <c r="C5" s="321" t="s">
        <v>3</v>
      </c>
      <c r="D5" s="321"/>
      <c r="E5" s="321"/>
      <c r="F5" s="321"/>
      <c r="G5" s="321"/>
      <c r="H5" s="322" t="s">
        <v>4</v>
      </c>
      <c r="I5" s="322"/>
      <c r="J5" s="323" t="s">
        <v>5</v>
      </c>
      <c r="K5" s="323"/>
      <c r="L5" s="323"/>
      <c r="M5" s="266" t="s">
        <v>6</v>
      </c>
      <c r="N5" s="324" t="s">
        <v>7</v>
      </c>
      <c r="O5" s="324"/>
      <c r="P5" s="324"/>
      <c r="Q5" s="150" t="s">
        <v>8</v>
      </c>
      <c r="R5" s="151">
        <v>43358</v>
      </c>
      <c r="S5" s="264" t="s">
        <v>9</v>
      </c>
      <c r="T5" s="152" t="s">
        <v>10</v>
      </c>
      <c r="U5" s="153"/>
      <c r="V5" s="7"/>
    </row>
    <row r="7" spans="1:22" s="1" customFormat="1">
      <c r="A7" s="26" t="s">
        <v>11</v>
      </c>
      <c r="B7" s="18" t="s">
        <v>12</v>
      </c>
      <c r="C7" s="37" t="s">
        <v>13</v>
      </c>
      <c r="D7" s="18" t="s">
        <v>14</v>
      </c>
      <c r="E7" s="18"/>
      <c r="F7" s="18" t="s">
        <v>15</v>
      </c>
      <c r="G7" s="18" t="s">
        <v>16</v>
      </c>
      <c r="H7" s="18"/>
      <c r="I7" s="39" t="s">
        <v>17</v>
      </c>
      <c r="J7" s="13"/>
      <c r="K7" s="18"/>
      <c r="L7" s="13" t="s">
        <v>18</v>
      </c>
      <c r="M7" s="13"/>
      <c r="N7" s="50" t="s">
        <v>19</v>
      </c>
      <c r="O7" s="13"/>
      <c r="P7" s="18" t="s">
        <v>20</v>
      </c>
      <c r="Q7" s="21" t="s">
        <v>21</v>
      </c>
      <c r="R7" s="406" t="s">
        <v>21</v>
      </c>
      <c r="S7" s="21" t="s">
        <v>22</v>
      </c>
      <c r="T7" s="28" t="s">
        <v>23</v>
      </c>
      <c r="U7" s="28" t="s">
        <v>24</v>
      </c>
      <c r="V7" s="12"/>
    </row>
    <row r="8" spans="1:22" s="1" customFormat="1">
      <c r="A8" s="27" t="s">
        <v>25</v>
      </c>
      <c r="B8" s="19" t="s">
        <v>26</v>
      </c>
      <c r="C8" s="20" t="s">
        <v>27</v>
      </c>
      <c r="D8" s="19" t="s">
        <v>28</v>
      </c>
      <c r="E8" s="19"/>
      <c r="F8" s="19"/>
      <c r="G8" s="19"/>
      <c r="H8" s="24">
        <v>1</v>
      </c>
      <c r="I8" s="49">
        <v>2</v>
      </c>
      <c r="J8" s="23">
        <v>3</v>
      </c>
      <c r="K8" s="24">
        <v>1</v>
      </c>
      <c r="L8" s="25">
        <v>2</v>
      </c>
      <c r="M8" s="23">
        <v>3</v>
      </c>
      <c r="N8" s="51" t="s">
        <v>29</v>
      </c>
      <c r="O8" s="42"/>
      <c r="P8" s="19" t="s">
        <v>30</v>
      </c>
      <c r="Q8" s="22"/>
      <c r="R8" s="22" t="s">
        <v>31</v>
      </c>
      <c r="S8" s="22"/>
      <c r="T8" s="29"/>
      <c r="U8" s="29"/>
      <c r="V8" s="12"/>
    </row>
    <row r="9" spans="1:22" s="11" customFormat="1" ht="20.100000000000001" customHeight="1">
      <c r="A9" s="278">
        <v>53</v>
      </c>
      <c r="B9" s="269">
        <v>51.67</v>
      </c>
      <c r="C9" s="270" t="s">
        <v>32</v>
      </c>
      <c r="D9" s="271">
        <v>31177</v>
      </c>
      <c r="E9" s="272"/>
      <c r="F9" s="273" t="s">
        <v>33</v>
      </c>
      <c r="G9" s="273" t="s">
        <v>34</v>
      </c>
      <c r="H9" s="279">
        <v>48</v>
      </c>
      <c r="I9" s="280">
        <v>51</v>
      </c>
      <c r="J9" s="281">
        <v>-53</v>
      </c>
      <c r="K9" s="282">
        <v>60</v>
      </c>
      <c r="L9" s="280">
        <v>65</v>
      </c>
      <c r="M9" s="298">
        <v>67</v>
      </c>
      <c r="N9" s="407">
        <f t="shared" ref="N9:N24" si="0">IF(MAX(H9:J9)&lt;0,0,TRUNC(MAX(H9:J9)/1)*1)</f>
        <v>51</v>
      </c>
      <c r="O9" s="407">
        <f t="shared" ref="O9:O24" si="1">IF(MAX(K9:M9)&lt;0,0,TRUNC(MAX(K9:M9)/1)*1)</f>
        <v>67</v>
      </c>
      <c r="P9" s="407">
        <f t="shared" ref="P9:P24" si="2">IF(N9=0,0,IF(O9=0,0,SUM(N9:O9)))</f>
        <v>118</v>
      </c>
      <c r="Q9" s="408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176.76718632155249</v>
      </c>
      <c r="R9" s="408" t="str">
        <f>IF(OR(D9="",B9="",V9=""),"",IF(OR(C9="UM",C9="JM",C9="SM",C9="UK",C9="JK",C9="SK"),"",Q9*(IF(ABS(1900-YEAR((V9+1)-D9))&lt;29,0,(VLOOKUP((YEAR(V9)-YEAR(D9)),'Meltzer-Malone'!$A$3:$B$63,2))))))</f>
        <v/>
      </c>
      <c r="S9" s="409"/>
      <c r="T9" s="410"/>
      <c r="U9" s="200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1.539833101392297</v>
      </c>
      <c r="V9" s="228">
        <f>R5</f>
        <v>43358</v>
      </c>
    </row>
    <row r="10" spans="1:22" s="11" customFormat="1" ht="20.100000000000001" customHeight="1">
      <c r="A10" s="278">
        <v>90</v>
      </c>
      <c r="B10" s="269">
        <v>85.43</v>
      </c>
      <c r="C10" s="270" t="s">
        <v>35</v>
      </c>
      <c r="D10" s="271">
        <v>24436</v>
      </c>
      <c r="E10" s="272"/>
      <c r="F10" s="273" t="s">
        <v>36</v>
      </c>
      <c r="G10" s="273" t="s">
        <v>34</v>
      </c>
      <c r="H10" s="279">
        <v>35</v>
      </c>
      <c r="I10" s="280">
        <v>-38</v>
      </c>
      <c r="J10" s="281">
        <v>-38</v>
      </c>
      <c r="K10" s="282">
        <v>40</v>
      </c>
      <c r="L10" s="280">
        <v>43</v>
      </c>
      <c r="M10" s="298">
        <v>-45</v>
      </c>
      <c r="N10" s="407">
        <f t="shared" si="0"/>
        <v>35</v>
      </c>
      <c r="O10" s="407">
        <f t="shared" si="1"/>
        <v>43</v>
      </c>
      <c r="P10" s="407">
        <f t="shared" si="2"/>
        <v>78</v>
      </c>
      <c r="Q10" s="408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87.703327705233065</v>
      </c>
      <c r="R10" s="408">
        <f>IF(OR(D10="",B10="",V10=""),"",IF(OR(C10="UM",C10="JM",C10="SM",C10="UK",C10="JK",C10="SK"),"",Q10*(IF(ABS(1900-YEAR((V10+1)-D10))&lt;29,0,(VLOOKUP((YEAR(V10)-YEAR(D10)),'Meltzer-Malone'!$A$3:$B$63,2))))))</f>
        <v>115.41757926008671</v>
      </c>
      <c r="S10" s="411"/>
      <c r="T10" s="412"/>
      <c r="U10" s="200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1.1249563366632853</v>
      </c>
      <c r="V10" s="228">
        <f>R5</f>
        <v>43358</v>
      </c>
    </row>
    <row r="11" spans="1:22" s="11" customFormat="1" ht="20.100000000000001" customHeight="1">
      <c r="A11" s="278">
        <v>77</v>
      </c>
      <c r="B11" s="269">
        <v>75.37</v>
      </c>
      <c r="C11" s="270" t="s">
        <v>37</v>
      </c>
      <c r="D11" s="271">
        <v>36663</v>
      </c>
      <c r="E11" s="272"/>
      <c r="F11" s="273" t="s">
        <v>38</v>
      </c>
      <c r="G11" s="273" t="s">
        <v>34</v>
      </c>
      <c r="H11" s="283">
        <v>60</v>
      </c>
      <c r="I11" s="284">
        <v>65</v>
      </c>
      <c r="J11" s="285">
        <v>69</v>
      </c>
      <c r="K11" s="286">
        <v>75</v>
      </c>
      <c r="L11" s="284">
        <v>80</v>
      </c>
      <c r="M11" s="298">
        <v>85</v>
      </c>
      <c r="N11" s="407">
        <f t="shared" si="0"/>
        <v>69</v>
      </c>
      <c r="O11" s="407">
        <f t="shared" si="1"/>
        <v>85</v>
      </c>
      <c r="P11" s="407">
        <f t="shared" si="2"/>
        <v>154</v>
      </c>
      <c r="Q11" s="408">
        <f t="shared" si="3"/>
        <v>194.47051443086553</v>
      </c>
      <c r="R11" s="408" t="str">
        <f>IF(OR(D11="",B11="",V11=""),"",IF(OR(C11="UM",C11="JM",C11="SM",C11="UK",C11="JK",C11="SK"),"",Q11*(IF(ABS(1900-YEAR((V11+1)-D11))&lt;29,0,(VLOOKUP((YEAR(V11)-YEAR(D11)),'Meltzer-Malone'!$A$3:$B$63,2))))))</f>
        <v/>
      </c>
      <c r="S11" s="411"/>
      <c r="T11" s="412"/>
      <c r="U11" s="200">
        <f t="shared" si="4"/>
        <v>1.2747954599611515</v>
      </c>
      <c r="V11" s="228">
        <f>R5</f>
        <v>43358</v>
      </c>
    </row>
    <row r="12" spans="1:22" s="11" customFormat="1" ht="20.100000000000001" customHeight="1">
      <c r="A12" s="278">
        <v>77</v>
      </c>
      <c r="B12" s="269">
        <v>74.48</v>
      </c>
      <c r="C12" s="270" t="s">
        <v>39</v>
      </c>
      <c r="D12" s="271">
        <v>23444</v>
      </c>
      <c r="E12" s="272"/>
      <c r="F12" s="273" t="s">
        <v>40</v>
      </c>
      <c r="G12" s="273" t="s">
        <v>41</v>
      </c>
      <c r="H12" s="283">
        <v>88</v>
      </c>
      <c r="I12" s="284">
        <v>91</v>
      </c>
      <c r="J12" s="285">
        <v>-94</v>
      </c>
      <c r="K12" s="286">
        <v>115</v>
      </c>
      <c r="L12" s="284">
        <v>120</v>
      </c>
      <c r="M12" s="298">
        <v>-123</v>
      </c>
      <c r="N12" s="407">
        <f t="shared" si="0"/>
        <v>91</v>
      </c>
      <c r="O12" s="407">
        <f t="shared" si="1"/>
        <v>120</v>
      </c>
      <c r="P12" s="407">
        <f t="shared" si="2"/>
        <v>211</v>
      </c>
      <c r="Q12" s="408">
        <f t="shared" si="3"/>
        <v>268.21532189710649</v>
      </c>
      <c r="R12" s="408">
        <f>IF(OR(D12="",B12="",V12=""),"",IF(OR(C12="UM",C12="JM",C12="SM",C12="UK",C12="JK",C12="SK"),"",Q12*(IF(ABS(1900-YEAR((V12+1)-D12))&lt;29,0,(VLOOKUP((YEAR(V12)-YEAR(D12)),'Meltzer-Malone'!$A$3:$B$63,2))))))</f>
        <v>365.04105310196195</v>
      </c>
      <c r="S12" s="411" t="s">
        <v>42</v>
      </c>
      <c r="T12" s="412" t="s">
        <v>42</v>
      </c>
      <c r="U12" s="200">
        <f t="shared" si="4"/>
        <v>1.2836531232736987</v>
      </c>
      <c r="V12" s="228">
        <f>R5</f>
        <v>43358</v>
      </c>
    </row>
    <row r="13" spans="1:22" s="11" customFormat="1" ht="20.100000000000001" customHeight="1">
      <c r="A13" s="278">
        <v>94</v>
      </c>
      <c r="B13" s="269">
        <v>89.62</v>
      </c>
      <c r="C13" s="270" t="s">
        <v>43</v>
      </c>
      <c r="D13" s="271">
        <v>32516</v>
      </c>
      <c r="E13" s="272"/>
      <c r="F13" s="273" t="s">
        <v>44</v>
      </c>
      <c r="G13" s="273" t="s">
        <v>45</v>
      </c>
      <c r="H13" s="283">
        <v>-102</v>
      </c>
      <c r="I13" s="284">
        <v>102</v>
      </c>
      <c r="J13" s="285">
        <v>-105</v>
      </c>
      <c r="K13" s="286">
        <v>125</v>
      </c>
      <c r="L13" s="284">
        <v>-129</v>
      </c>
      <c r="M13" s="284">
        <v>130</v>
      </c>
      <c r="N13" s="407">
        <f t="shared" si="0"/>
        <v>102</v>
      </c>
      <c r="O13" s="407">
        <f t="shared" si="1"/>
        <v>130</v>
      </c>
      <c r="P13" s="407">
        <f t="shared" si="2"/>
        <v>232</v>
      </c>
      <c r="Q13" s="408">
        <f t="shared" si="3"/>
        <v>268.87746085619568</v>
      </c>
      <c r="R13" s="408" t="str">
        <f>IF(OR(D13="",B13="",V13=""),"",IF(OR(C13="UM",C13="JM",C13="SM",C13="UK",C13="JK",C13="SK"),"",Q13*(IF(ABS(1900-YEAR((V13+1)-D13))&lt;29,0,(VLOOKUP((YEAR(V13)-YEAR(D13)),'Meltzer-Malone'!$A$3:$B$63,2))))))</f>
        <v/>
      </c>
      <c r="S13" s="411" t="s">
        <v>42</v>
      </c>
      <c r="T13" s="412" t="s">
        <v>42</v>
      </c>
      <c r="U13" s="200">
        <f t="shared" si="4"/>
        <v>1.1652056501241006</v>
      </c>
      <c r="V13" s="228">
        <f>R5</f>
        <v>43358</v>
      </c>
    </row>
    <row r="14" spans="1:22" s="11" customFormat="1" ht="20.100000000000001" customHeight="1">
      <c r="A14" s="274">
        <v>105</v>
      </c>
      <c r="B14" s="269">
        <v>95.18</v>
      </c>
      <c r="C14" s="270" t="s">
        <v>46</v>
      </c>
      <c r="D14" s="271">
        <v>19656</v>
      </c>
      <c r="E14" s="272"/>
      <c r="F14" s="273" t="s">
        <v>47</v>
      </c>
      <c r="G14" s="273" t="s">
        <v>34</v>
      </c>
      <c r="H14" s="287">
        <v>70</v>
      </c>
      <c r="I14" s="288">
        <v>73</v>
      </c>
      <c r="J14" s="289" t="s">
        <v>48</v>
      </c>
      <c r="K14" s="290">
        <v>90</v>
      </c>
      <c r="L14" s="288">
        <v>93</v>
      </c>
      <c r="M14" s="298" t="s">
        <v>48</v>
      </c>
      <c r="N14" s="407">
        <f t="shared" si="0"/>
        <v>73</v>
      </c>
      <c r="O14" s="407">
        <f t="shared" si="1"/>
        <v>93</v>
      </c>
      <c r="P14" s="407">
        <f t="shared" si="2"/>
        <v>166</v>
      </c>
      <c r="Q14" s="408">
        <f t="shared" si="3"/>
        <v>187.59153417369532</v>
      </c>
      <c r="R14" s="408">
        <f>IF(OR(D14="",B14="",V14=""),"",IF(OR(C14="UM",C14="JM",C14="SM",C14="UK",C14="JK",C14="SK"),"",Q14*(IF(ABS(1900-YEAR((V14+1)-D14))&lt;29,0,(VLOOKUP((YEAR(V14)-YEAR(D14)),'Meltzer-Malone'!$A$3:$B$63,2))))))</f>
        <v>311.96472133085535</v>
      </c>
      <c r="S14" s="411" t="s">
        <v>42</v>
      </c>
      <c r="T14" s="412" t="s">
        <v>42</v>
      </c>
      <c r="U14" s="200">
        <f t="shared" si="4"/>
        <v>1.1348487949503834</v>
      </c>
      <c r="V14" s="228">
        <f>R5</f>
        <v>43358</v>
      </c>
    </row>
    <row r="15" spans="1:22" s="11" customFormat="1" ht="20.100000000000001" customHeight="1">
      <c r="A15" s="278">
        <v>105</v>
      </c>
      <c r="B15" s="269">
        <v>98.94</v>
      </c>
      <c r="C15" s="270" t="s">
        <v>39</v>
      </c>
      <c r="D15" s="271">
        <v>24011</v>
      </c>
      <c r="E15" s="272"/>
      <c r="F15" s="273" t="s">
        <v>49</v>
      </c>
      <c r="G15" s="273" t="s">
        <v>34</v>
      </c>
      <c r="H15" s="283">
        <v>97</v>
      </c>
      <c r="I15" s="284">
        <v>-100</v>
      </c>
      <c r="J15" s="285">
        <v>100</v>
      </c>
      <c r="K15" s="286">
        <v>-130</v>
      </c>
      <c r="L15" s="286">
        <v>130</v>
      </c>
      <c r="M15" s="298">
        <v>135</v>
      </c>
      <c r="N15" s="407">
        <f t="shared" si="0"/>
        <v>100</v>
      </c>
      <c r="O15" s="407">
        <f t="shared" si="1"/>
        <v>135</v>
      </c>
      <c r="P15" s="407">
        <f t="shared" si="2"/>
        <v>235</v>
      </c>
      <c r="Q15" s="408">
        <f t="shared" si="3"/>
        <v>261.61408931665522</v>
      </c>
      <c r="R15" s="408">
        <f>IF(OR(D15="",B15="",V15=""),"",IF(OR(C15="UM",C15="JM",C15="SM",C15="UK",C15="JK",C15="SK"),"",Q15*(IF(ABS(1900-YEAR((V15+1)-D15))&lt;29,0,(VLOOKUP((YEAR(V15)-YEAR(D15)),'Meltzer-Malone'!$A$3:$B$63,2))))))</f>
        <v>350.03965150568473</v>
      </c>
      <c r="S15" s="411"/>
      <c r="T15" s="412"/>
      <c r="U15" s="200">
        <f t="shared" si="4"/>
        <v>1.1172048490962516</v>
      </c>
      <c r="V15" s="228">
        <f>R5</f>
        <v>43358</v>
      </c>
    </row>
    <row r="16" spans="1:22" s="11" customFormat="1" ht="20.100000000000001" customHeight="1">
      <c r="A16" s="278"/>
      <c r="B16" s="269"/>
      <c r="C16" s="270"/>
      <c r="D16" s="271"/>
      <c r="E16" s="272"/>
      <c r="F16" s="273"/>
      <c r="G16" s="273"/>
      <c r="H16" s="283"/>
      <c r="I16" s="284"/>
      <c r="J16" s="285"/>
      <c r="K16" s="286"/>
      <c r="L16" s="413"/>
      <c r="M16" s="413"/>
      <c r="N16" s="407">
        <f t="shared" si="0"/>
        <v>0</v>
      </c>
      <c r="O16" s="407">
        <f t="shared" si="1"/>
        <v>0</v>
      </c>
      <c r="P16" s="407">
        <f t="shared" si="2"/>
        <v>0</v>
      </c>
      <c r="Q16" s="408" t="str">
        <f t="shared" si="3"/>
        <v/>
      </c>
      <c r="R16" s="408" t="str">
        <f>IF(OR(D16="",B16="",V16=""),"",IF(OR(C16="UM",C16="JM",C16="SM",C16="UK",C16="JK",C16="SK"),"",Q16*(IF(ABS(1900-YEAR((V16+1)-D16))&lt;29,0,(VLOOKUP((YEAR(V16)-YEAR(D16)),'Meltzer-Malone'!$A$3:$B$63,2))))))</f>
        <v/>
      </c>
      <c r="S16" s="411"/>
      <c r="T16" s="412"/>
      <c r="U16" s="200" t="str">
        <f t="shared" si="4"/>
        <v/>
      </c>
      <c r="V16" s="228">
        <f>R5</f>
        <v>43358</v>
      </c>
    </row>
    <row r="17" spans="1:25" s="11" customFormat="1" ht="20.100000000000001" customHeight="1">
      <c r="A17" s="229"/>
      <c r="B17" s="230"/>
      <c r="C17" s="231"/>
      <c r="D17" s="232"/>
      <c r="E17" s="233"/>
      <c r="F17" s="234"/>
      <c r="G17" s="234"/>
      <c r="H17" s="217"/>
      <c r="I17" s="217"/>
      <c r="J17" s="218"/>
      <c r="K17" s="219"/>
      <c r="L17" s="413"/>
      <c r="M17" s="413"/>
      <c r="N17" s="407">
        <f t="shared" si="0"/>
        <v>0</v>
      </c>
      <c r="O17" s="407">
        <f t="shared" si="1"/>
        <v>0</v>
      </c>
      <c r="P17" s="407">
        <f t="shared" si="2"/>
        <v>0</v>
      </c>
      <c r="Q17" s="408" t="str">
        <f t="shared" si="3"/>
        <v/>
      </c>
      <c r="R17" s="408" t="str">
        <f>IF(OR(D17="",B17="",V17=""),"",IF(OR(C17="UM",C17="JM",C17="SM",C17="UK",C17="JK",C17="SK"),"",Q17*(IF(ABS(1900-YEAR((V17+1)-D17))&lt;29,0,(VLOOKUP((YEAR(V17)-YEAR(D17)),'Meltzer-Malone'!$A$3:$B$63,2))))))</f>
        <v/>
      </c>
      <c r="S17" s="411"/>
      <c r="T17" s="412"/>
      <c r="U17" s="200" t="str">
        <f t="shared" si="4"/>
        <v/>
      </c>
      <c r="V17" s="228">
        <f>R5</f>
        <v>43358</v>
      </c>
    </row>
    <row r="18" spans="1:25" s="11" customFormat="1" ht="20.100000000000001" customHeight="1">
      <c r="A18" s="229"/>
      <c r="B18" s="198"/>
      <c r="C18" s="231"/>
      <c r="D18" s="199"/>
      <c r="E18" s="199"/>
      <c r="F18" s="201"/>
      <c r="G18" s="202"/>
      <c r="H18" s="414"/>
      <c r="I18" s="413"/>
      <c r="J18" s="415"/>
      <c r="K18" s="416"/>
      <c r="L18" s="413"/>
      <c r="M18" s="413"/>
      <c r="N18" s="407">
        <f t="shared" si="0"/>
        <v>0</v>
      </c>
      <c r="O18" s="407">
        <f t="shared" si="1"/>
        <v>0</v>
      </c>
      <c r="P18" s="407">
        <f t="shared" si="2"/>
        <v>0</v>
      </c>
      <c r="Q18" s="408" t="str">
        <f t="shared" si="3"/>
        <v/>
      </c>
      <c r="R18" s="408" t="str">
        <f>IF(OR(D18="",B18="",V18=""),"",IF(OR(C18="UM",C18="JM",C18="SM",C18="UK",C18="JK",C18="SK"),"",Q18*(IF(ABS(1900-YEAR((V18+1)-D18))&lt;29,0,(VLOOKUP((YEAR(V18)-YEAR(D18)),'Meltzer-Malone'!$A$3:$B$63,2))))))</f>
        <v/>
      </c>
      <c r="S18" s="411" t="s">
        <v>42</v>
      </c>
      <c r="T18" s="412" t="s">
        <v>42</v>
      </c>
      <c r="U18" s="200" t="str">
        <f t="shared" si="4"/>
        <v/>
      </c>
      <c r="V18" s="228">
        <f>R5</f>
        <v>43358</v>
      </c>
    </row>
    <row r="19" spans="1:25" s="11" customFormat="1" ht="20.100000000000001" customHeight="1">
      <c r="A19" s="229"/>
      <c r="B19" s="198"/>
      <c r="C19" s="231"/>
      <c r="D19" s="199"/>
      <c r="E19" s="199"/>
      <c r="F19" s="201"/>
      <c r="G19" s="202"/>
      <c r="H19" s="414"/>
      <c r="I19" s="413"/>
      <c r="J19" s="415"/>
      <c r="K19" s="416"/>
      <c r="L19" s="413"/>
      <c r="M19" s="413"/>
      <c r="N19" s="407">
        <f t="shared" si="0"/>
        <v>0</v>
      </c>
      <c r="O19" s="407">
        <f t="shared" si="1"/>
        <v>0</v>
      </c>
      <c r="P19" s="407">
        <f t="shared" si="2"/>
        <v>0</v>
      </c>
      <c r="Q19" s="408" t="str">
        <f t="shared" si="3"/>
        <v/>
      </c>
      <c r="R19" s="408" t="str">
        <f>IF(OR(D19="",B19="",V19=""),"",IF(OR(C19="UM",C19="JM",C19="SM",C19="UK",C19="JK",C19="SK"),"",Q19*(IF(ABS(1900-YEAR((V19+1)-D19))&lt;29,0,(VLOOKUP((YEAR(V19)-YEAR(D19)),'Meltzer-Malone'!$A$3:$B$63,2))))))</f>
        <v/>
      </c>
      <c r="S19" s="411"/>
      <c r="T19" s="412"/>
      <c r="U19" s="200" t="str">
        <f t="shared" si="4"/>
        <v/>
      </c>
      <c r="V19" s="228">
        <f>R5</f>
        <v>43358</v>
      </c>
    </row>
    <row r="20" spans="1:25" s="11" customFormat="1" ht="20.100000000000001" customHeight="1">
      <c r="A20" s="229"/>
      <c r="B20" s="198"/>
      <c r="C20" s="231"/>
      <c r="D20" s="199"/>
      <c r="E20" s="199"/>
      <c r="F20" s="201"/>
      <c r="G20" s="202"/>
      <c r="H20" s="414"/>
      <c r="I20" s="413"/>
      <c r="J20" s="415"/>
      <c r="K20" s="416"/>
      <c r="L20" s="413"/>
      <c r="M20" s="413"/>
      <c r="N20" s="407">
        <f t="shared" si="0"/>
        <v>0</v>
      </c>
      <c r="O20" s="407">
        <f t="shared" si="1"/>
        <v>0</v>
      </c>
      <c r="P20" s="407">
        <f t="shared" si="2"/>
        <v>0</v>
      </c>
      <c r="Q20" s="408" t="str">
        <f t="shared" si="3"/>
        <v/>
      </c>
      <c r="R20" s="408" t="str">
        <f>IF(OR(D20="",B20="",V20=""),"",IF(OR(C20="UM",C20="JM",C20="SM",C20="UK",C20="JK",C20="SK"),"",Q20*(IF(ABS(1900-YEAR((V20+1)-D20))&lt;29,0,(VLOOKUP((YEAR(V20)-YEAR(D20)),'Meltzer-Malone'!$A$3:$B$63,2))))))</f>
        <v/>
      </c>
      <c r="S20" s="411"/>
      <c r="T20" s="412"/>
      <c r="U20" s="200" t="str">
        <f t="shared" si="4"/>
        <v/>
      </c>
      <c r="V20" s="228">
        <f>R5</f>
        <v>43358</v>
      </c>
    </row>
    <row r="21" spans="1:25" s="11" customFormat="1" ht="20.100000000000001" customHeight="1">
      <c r="A21" s="229"/>
      <c r="B21" s="198"/>
      <c r="C21" s="231"/>
      <c r="D21" s="199"/>
      <c r="E21" s="199"/>
      <c r="F21" s="201"/>
      <c r="G21" s="202"/>
      <c r="H21" s="414"/>
      <c r="I21" s="413"/>
      <c r="J21" s="415"/>
      <c r="K21" s="416"/>
      <c r="L21" s="413"/>
      <c r="M21" s="413"/>
      <c r="N21" s="407">
        <f t="shared" si="0"/>
        <v>0</v>
      </c>
      <c r="O21" s="407">
        <f t="shared" si="1"/>
        <v>0</v>
      </c>
      <c r="P21" s="407">
        <f t="shared" si="2"/>
        <v>0</v>
      </c>
      <c r="Q21" s="408" t="str">
        <f t="shared" si="3"/>
        <v/>
      </c>
      <c r="R21" s="408" t="str">
        <f>IF(OR(D21="",B21="",V21=""),"",IF(OR(C21="UM",C21="JM",C21="SM",C21="UK",C21="JK",C21="SK"),"",Q21*(IF(ABS(1900-YEAR((V21+1)-D21))&lt;29,0,(VLOOKUP((YEAR(V21)-YEAR(D21)),'Meltzer-Malone'!$A$3:$B$63,2))))))</f>
        <v/>
      </c>
      <c r="S21" s="411"/>
      <c r="T21" s="412"/>
      <c r="U21" s="200" t="str">
        <f t="shared" si="4"/>
        <v/>
      </c>
      <c r="V21" s="228">
        <f>R5</f>
        <v>43358</v>
      </c>
    </row>
    <row r="22" spans="1:25" s="11" customFormat="1" ht="20.100000000000001" customHeight="1">
      <c r="A22" s="229"/>
      <c r="B22" s="198"/>
      <c r="C22" s="231"/>
      <c r="D22" s="199"/>
      <c r="E22" s="199"/>
      <c r="F22" s="201"/>
      <c r="G22" s="202"/>
      <c r="H22" s="414"/>
      <c r="I22" s="413"/>
      <c r="J22" s="415"/>
      <c r="K22" s="416"/>
      <c r="L22" s="413"/>
      <c r="M22" s="413"/>
      <c r="N22" s="407">
        <f t="shared" si="0"/>
        <v>0</v>
      </c>
      <c r="O22" s="407">
        <f t="shared" si="1"/>
        <v>0</v>
      </c>
      <c r="P22" s="407">
        <f t="shared" si="2"/>
        <v>0</v>
      </c>
      <c r="Q22" s="408" t="str">
        <f t="shared" si="3"/>
        <v/>
      </c>
      <c r="R22" s="408" t="str">
        <f>IF(OR(D22="",B22="",V22=""),"",IF(OR(C22="UM",C22="JM",C22="SM",C22="UK",C22="JK",C22="SK"),"",Q22*(IF(ABS(1900-YEAR((V22+1)-D22))&lt;29,0,(VLOOKUP((YEAR(V22)-YEAR(D22)),'Meltzer-Malone'!$A$3:$B$63,2))))))</f>
        <v/>
      </c>
      <c r="S22" s="411"/>
      <c r="T22" s="412"/>
      <c r="U22" s="200" t="str">
        <f t="shared" si="4"/>
        <v/>
      </c>
      <c r="V22" s="228">
        <f>R5</f>
        <v>43358</v>
      </c>
    </row>
    <row r="23" spans="1:25" s="11" customFormat="1" ht="20.100000000000001" customHeight="1">
      <c r="A23" s="229"/>
      <c r="B23" s="198"/>
      <c r="C23" s="231"/>
      <c r="D23" s="199"/>
      <c r="E23" s="199"/>
      <c r="F23" s="201"/>
      <c r="G23" s="202"/>
      <c r="H23" s="414"/>
      <c r="I23" s="413"/>
      <c r="J23" s="415"/>
      <c r="K23" s="416"/>
      <c r="L23" s="413"/>
      <c r="M23" s="413"/>
      <c r="N23" s="407">
        <f t="shared" si="0"/>
        <v>0</v>
      </c>
      <c r="O23" s="407">
        <f t="shared" si="1"/>
        <v>0</v>
      </c>
      <c r="P23" s="407">
        <f t="shared" si="2"/>
        <v>0</v>
      </c>
      <c r="Q23" s="408" t="str">
        <f t="shared" si="3"/>
        <v/>
      </c>
      <c r="R23" s="408" t="str">
        <f>IF(OR(D23="",B23="",V23=""),"",IF(OR(C23="UM",C23="JM",C23="SM",C23="UK",C23="JK",C23="SK"),"",Q23*(IF(ABS(1900-YEAR((V23+1)-D23))&lt;29,0,(VLOOKUP((YEAR(V23)-YEAR(D23)),'Meltzer-Malone'!$A$3:$B$63,2))))))</f>
        <v/>
      </c>
      <c r="S23" s="411"/>
      <c r="T23" s="412"/>
      <c r="U23" s="200" t="str">
        <f t="shared" si="4"/>
        <v/>
      </c>
      <c r="V23" s="228">
        <f>R5</f>
        <v>43358</v>
      </c>
    </row>
    <row r="24" spans="1:25" s="11" customFormat="1" ht="20.100000000000001" customHeight="1">
      <c r="A24" s="229"/>
      <c r="B24" s="198"/>
      <c r="C24" s="231"/>
      <c r="D24" s="203"/>
      <c r="E24" s="203"/>
      <c r="F24" s="204"/>
      <c r="G24" s="205"/>
      <c r="H24" s="417"/>
      <c r="I24" s="418"/>
      <c r="J24" s="419"/>
      <c r="K24" s="416"/>
      <c r="L24" s="413"/>
      <c r="M24" s="413"/>
      <c r="N24" s="407">
        <f t="shared" si="0"/>
        <v>0</v>
      </c>
      <c r="O24" s="407">
        <f t="shared" si="1"/>
        <v>0</v>
      </c>
      <c r="P24" s="420">
        <f t="shared" si="2"/>
        <v>0</v>
      </c>
      <c r="Q24" s="421" t="str">
        <f t="shared" si="3"/>
        <v/>
      </c>
      <c r="R24" s="408" t="str">
        <f>IF(OR(D24="",B24="",V24=""),"",IF(OR(C24="UM",C24="JM",C24="SM",C24="UK",C24="JK",C24="SK"),"",Q24*(IF(ABS(1900-YEAR((V24+1)-D24))&lt;29,0,(VLOOKUP((YEAR(V24)-YEAR(D24)),'Meltzer-Malone'!$A$3:$B$63,2))))))</f>
        <v/>
      </c>
      <c r="S24" s="422"/>
      <c r="T24" s="423"/>
      <c r="U24" s="200" t="str">
        <f t="shared" si="4"/>
        <v/>
      </c>
      <c r="V24" s="228">
        <f>R5</f>
        <v>43358</v>
      </c>
    </row>
    <row r="25" spans="1:25" s="8" customFormat="1" ht="9" customHeight="1">
      <c r="A25" s="14"/>
      <c r="B25" s="15"/>
      <c r="C25" s="16"/>
      <c r="D25" s="17"/>
      <c r="E25" s="17"/>
      <c r="F25" s="14"/>
      <c r="G25" s="14"/>
      <c r="H25" s="44"/>
      <c r="I25" s="45"/>
      <c r="J25" s="44"/>
      <c r="K25" s="44"/>
      <c r="L25" s="44"/>
      <c r="M25" s="44"/>
      <c r="N25" s="16"/>
      <c r="O25" s="16"/>
      <c r="P25" s="16"/>
      <c r="Q25" s="48"/>
      <c r="R25" s="41"/>
      <c r="S25" s="41"/>
      <c r="T25" s="48"/>
      <c r="U25" s="9"/>
      <c r="V25" s="10"/>
    </row>
    <row r="26" spans="1:25" customFormat="1">
      <c r="H26" s="36"/>
      <c r="I26" s="4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5" s="71" customFormat="1" ht="15.6">
      <c r="A27" s="154" t="s">
        <v>50</v>
      </c>
      <c r="B27"/>
      <c r="C27" s="318" t="s">
        <v>51</v>
      </c>
      <c r="D27" s="318"/>
      <c r="E27" s="318"/>
      <c r="F27" s="318"/>
      <c r="G27" s="155" t="s">
        <v>52</v>
      </c>
      <c r="H27" s="311">
        <v>1</v>
      </c>
      <c r="I27" s="318" t="s">
        <v>53</v>
      </c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7"/>
      <c r="V27" s="7"/>
      <c r="W27" s="7"/>
      <c r="X27" s="7"/>
      <c r="Y27" s="1"/>
    </row>
    <row r="28" spans="1:25" s="71" customFormat="1" ht="14.1">
      <c r="A28" s="7"/>
      <c r="B28"/>
      <c r="C28" s="30"/>
      <c r="D28" s="311"/>
      <c r="E28" s="311"/>
      <c r="F28" s="30"/>
      <c r="G28" s="424" t="s">
        <v>42</v>
      </c>
      <c r="H28" s="311">
        <v>2</v>
      </c>
      <c r="I28" s="318" t="s">
        <v>54</v>
      </c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7"/>
      <c r="V28" s="7"/>
      <c r="W28" s="7"/>
      <c r="X28" s="7"/>
      <c r="Y28" s="7"/>
    </row>
    <row r="29" spans="1:25" s="71" customFormat="1" ht="15.6">
      <c r="A29" s="154" t="s">
        <v>55</v>
      </c>
      <c r="B29"/>
      <c r="C29" s="316"/>
      <c r="D29" s="316"/>
      <c r="E29" s="316"/>
      <c r="F29" s="316"/>
      <c r="G29" s="425"/>
      <c r="H29" s="311">
        <v>3</v>
      </c>
      <c r="I29" s="318" t="s">
        <v>56</v>
      </c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7"/>
      <c r="V29" s="7"/>
      <c r="W29" s="7"/>
      <c r="X29" s="7"/>
      <c r="Y29" s="7"/>
    </row>
    <row r="30" spans="1:25" s="71" customFormat="1" ht="15.6">
      <c r="A30" s="7"/>
      <c r="B30"/>
      <c r="C30" s="316"/>
      <c r="D30" s="316"/>
      <c r="E30" s="316"/>
      <c r="F30" s="316"/>
      <c r="G30" s="425"/>
      <c r="H30" s="311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7"/>
      <c r="V30" s="7"/>
      <c r="W30" s="7"/>
      <c r="X30" s="7"/>
      <c r="Y30" s="7"/>
    </row>
    <row r="31" spans="1:25" s="71" customFormat="1" ht="15.6">
      <c r="A31" s="7"/>
      <c r="B31"/>
      <c r="C31" s="316"/>
      <c r="D31" s="316"/>
      <c r="E31" s="316"/>
      <c r="F31" s="316"/>
      <c r="G31" s="425"/>
      <c r="H31" s="311"/>
      <c r="I31" s="311"/>
      <c r="J31" s="426"/>
      <c r="K31" s="426"/>
      <c r="L31" s="426"/>
      <c r="M31" s="426"/>
      <c r="N31" s="426"/>
      <c r="O31" s="426"/>
      <c r="P31" s="426"/>
      <c r="Q31" s="427"/>
      <c r="R31" s="427"/>
      <c r="S31" s="427"/>
      <c r="T31" s="427"/>
      <c r="U31" s="7"/>
      <c r="V31" s="7"/>
      <c r="W31" s="7"/>
      <c r="X31" s="7"/>
      <c r="Y31" s="7"/>
    </row>
    <row r="32" spans="1:25" s="72" customFormat="1" ht="15.6">
      <c r="A32" s="7"/>
      <c r="B32"/>
      <c r="C32" s="301"/>
      <c r="D32" s="311"/>
      <c r="E32" s="311"/>
      <c r="F32" s="311"/>
      <c r="G32" s="156" t="s">
        <v>57</v>
      </c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5"/>
      <c r="V32" s="5"/>
      <c r="W32" s="5"/>
      <c r="X32" s="5"/>
      <c r="Y32" s="5"/>
    </row>
    <row r="33" spans="1:20" s="72" customFormat="1" ht="15.6">
      <c r="A33" s="2"/>
      <c r="B33" s="2"/>
      <c r="C33" s="310"/>
      <c r="D33" s="31"/>
      <c r="E33" s="31"/>
      <c r="F33" s="32"/>
      <c r="G33" s="156" t="s">
        <v>58</v>
      </c>
      <c r="H33" s="317" t="s">
        <v>59</v>
      </c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</row>
    <row r="34" spans="1:20" s="72" customFormat="1" ht="15.6">
      <c r="A34" s="154" t="s">
        <v>60</v>
      </c>
      <c r="B34"/>
      <c r="C34" s="318" t="s">
        <v>61</v>
      </c>
      <c r="D34" s="318"/>
      <c r="E34" s="318"/>
      <c r="F34" s="318"/>
      <c r="G34" s="221" t="s">
        <v>62</v>
      </c>
      <c r="H34" s="317" t="s">
        <v>63</v>
      </c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</row>
    <row r="35" spans="1:20" s="72" customFormat="1" ht="14.1">
      <c r="A35" s="2"/>
      <c r="B35" s="2"/>
      <c r="C35" s="318" t="s">
        <v>64</v>
      </c>
      <c r="D35" s="318"/>
      <c r="E35" s="318"/>
      <c r="F35" s="318"/>
      <c r="G35" s="136"/>
      <c r="H35" s="311"/>
      <c r="I35" s="138"/>
      <c r="J35" s="2"/>
      <c r="K35" s="2"/>
      <c r="L35" s="2"/>
      <c r="M35" s="2"/>
      <c r="N35" s="2"/>
      <c r="O35" s="2"/>
      <c r="P35" s="2"/>
      <c r="Q35" s="40"/>
      <c r="R35" s="40"/>
      <c r="S35" s="40"/>
      <c r="T35" s="40"/>
    </row>
    <row r="36" spans="1:20" s="72" customFormat="1" ht="15.6">
      <c r="A36" s="157" t="s">
        <v>65</v>
      </c>
      <c r="B36" s="139"/>
      <c r="C36" s="318" t="s">
        <v>63</v>
      </c>
      <c r="D36" s="318"/>
      <c r="E36" s="318"/>
      <c r="F36" s="318"/>
      <c r="G36" s="221" t="s">
        <v>66</v>
      </c>
      <c r="H36" s="317" t="s">
        <v>67</v>
      </c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</row>
    <row r="37" spans="1:20" s="72" customFormat="1" ht="14.1">
      <c r="A37" s="2"/>
      <c r="B37" s="2"/>
      <c r="C37" s="318"/>
      <c r="D37" s="318"/>
      <c r="E37" s="318"/>
      <c r="F37" s="318"/>
      <c r="G37" s="221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</row>
    <row r="38" spans="1:20" s="72" customFormat="1" ht="14.1">
      <c r="A38" s="139" t="s">
        <v>68</v>
      </c>
      <c r="B38" s="139"/>
      <c r="C38" s="33" t="s">
        <v>69</v>
      </c>
      <c r="D38" s="221"/>
      <c r="E38" s="221"/>
      <c r="F38" s="221"/>
      <c r="G38" s="221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</row>
    <row r="39" spans="1:20" s="72" customFormat="1" ht="14.1">
      <c r="A39" s="140"/>
      <c r="B39" s="140"/>
      <c r="C39" s="33"/>
      <c r="D39" s="31"/>
      <c r="E39" s="31"/>
      <c r="F39" s="32"/>
      <c r="G39" s="5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</row>
    <row r="40" spans="1:20" s="72" customFormat="1" ht="14.1">
      <c r="A40" s="2"/>
      <c r="B40" s="2"/>
      <c r="C40" s="428"/>
      <c r="D40" s="428"/>
      <c r="E40" s="428"/>
      <c r="F40" s="428"/>
      <c r="G40" s="428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</row>
    <row r="41" spans="1:20">
      <c r="C41" s="428"/>
      <c r="D41" s="428"/>
      <c r="E41" s="428"/>
      <c r="F41" s="428"/>
      <c r="G41" s="428"/>
    </row>
    <row r="42" spans="1:20">
      <c r="C42" s="428"/>
      <c r="D42" s="428"/>
      <c r="E42" s="428"/>
      <c r="F42" s="428"/>
      <c r="G42" s="428"/>
    </row>
    <row r="43" spans="1:20">
      <c r="C43" s="428"/>
      <c r="D43" s="428"/>
      <c r="E43" s="428"/>
      <c r="F43" s="428"/>
      <c r="G43" s="428"/>
    </row>
  </sheetData>
  <mergeCells count="30">
    <mergeCell ref="C30:F30"/>
    <mergeCell ref="I30:T30"/>
    <mergeCell ref="F1:P1"/>
    <mergeCell ref="F2:P2"/>
    <mergeCell ref="C5:G5"/>
    <mergeCell ref="H5:I5"/>
    <mergeCell ref="J5:L5"/>
    <mergeCell ref="N5:P5"/>
    <mergeCell ref="C27:F27"/>
    <mergeCell ref="I27:T27"/>
    <mergeCell ref="I28:T28"/>
    <mergeCell ref="C29:F29"/>
    <mergeCell ref="I29:T29"/>
    <mergeCell ref="H39:T39"/>
    <mergeCell ref="C31:F31"/>
    <mergeCell ref="H32:T32"/>
    <mergeCell ref="H33:T33"/>
    <mergeCell ref="C34:F34"/>
    <mergeCell ref="H34:T34"/>
    <mergeCell ref="C35:F35"/>
    <mergeCell ref="C36:F36"/>
    <mergeCell ref="H36:T36"/>
    <mergeCell ref="C37:F37"/>
    <mergeCell ref="H37:T37"/>
    <mergeCell ref="H38:T38"/>
    <mergeCell ref="C40:G40"/>
    <mergeCell ref="H40:T40"/>
    <mergeCell ref="C41:G41"/>
    <mergeCell ref="C42:G42"/>
    <mergeCell ref="C43:G43"/>
  </mergeCells>
  <conditionalFormatting sqref="H16:M16 H18:M24 L17:M17">
    <cfRule type="cellIs" dxfId="245" priority="5" stopIfTrue="1" operator="between">
      <formula>1</formula>
      <formula>300</formula>
    </cfRule>
    <cfRule type="cellIs" dxfId="244" priority="6" stopIfTrue="1" operator="lessThanOrEqual">
      <formula>0</formula>
    </cfRule>
  </conditionalFormatting>
  <conditionalFormatting sqref="H17:K17">
    <cfRule type="cellIs" dxfId="243" priority="3" stopIfTrue="1" operator="between">
      <formula>1</formula>
      <formula>300</formula>
    </cfRule>
    <cfRule type="cellIs" dxfId="242" priority="4" stopIfTrue="1" operator="lessThanOrEqual">
      <formula>0</formula>
    </cfRule>
  </conditionalFormatting>
  <conditionalFormatting sqref="H9:M15">
    <cfRule type="cellIs" dxfId="241" priority="1" stopIfTrue="1" operator="between">
      <formula>1</formula>
      <formula>300</formula>
    </cfRule>
    <cfRule type="cellIs" dxfId="24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 xr:uid="{00000000-0002-0000-0000-000000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 xr:uid="{00000000-0002-0000-0000-000001000000}">
      <formula1>"44,48,53,58,63,69,+69,'+69,69+,75,+75,'+75,75,50,56,62,69,77,85,94,+94,'+94,94+,105,+105,'+105,105+"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9" orientation="landscape" horizontalDpi="4294967293" verticalDpi="4294967293" copies="5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55"/>
  <sheetViews>
    <sheetView showGridLines="0" showRowColHeaders="0" showZeros="0" topLeftCell="A14" workbookViewId="0">
      <selection activeCell="K46" sqref="K46:Y46"/>
    </sheetView>
  </sheetViews>
  <sheetFormatPr defaultColWidth="8.85546875" defaultRowHeight="12.95"/>
  <cols>
    <col min="1" max="1" width="7.85546875" customWidth="1"/>
    <col min="2" max="2" width="6.85546875" customWidth="1"/>
    <col min="3" max="3" width="5.5703125" customWidth="1"/>
    <col min="4" max="4" width="7.5703125" customWidth="1"/>
    <col min="5" max="5" width="10.42578125" customWidth="1"/>
    <col min="6" max="6" width="3.85546875" customWidth="1"/>
    <col min="7" max="7" width="27.5703125" customWidth="1"/>
    <col min="8" max="16" width="6.5703125" customWidth="1"/>
    <col min="17" max="18" width="8.85546875" customWidth="1"/>
    <col min="19" max="20" width="8.5703125" customWidth="1"/>
    <col min="21" max="21" width="9.85546875" customWidth="1"/>
    <col min="22" max="23" width="8.5703125" customWidth="1"/>
    <col min="24" max="24" width="4.42578125" customWidth="1"/>
    <col min="25" max="25" width="5.5703125" customWidth="1"/>
    <col min="26" max="26" width="0" hidden="1" customWidth="1"/>
  </cols>
  <sheetData>
    <row r="1" spans="1:29">
      <c r="A1" s="36"/>
      <c r="B1" s="36"/>
      <c r="C1" s="36"/>
      <c r="D1" s="36"/>
      <c r="E1" s="36"/>
      <c r="F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9" ht="72.75" customHeight="1">
      <c r="A2" s="36"/>
      <c r="B2" s="36"/>
      <c r="C2" s="36"/>
      <c r="D2" s="36"/>
      <c r="E2" s="36"/>
      <c r="F2" s="36"/>
      <c r="G2" s="346" t="s">
        <v>70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02"/>
      <c r="S2" s="36"/>
      <c r="T2" s="36"/>
      <c r="U2" s="36"/>
      <c r="V2" s="36"/>
      <c r="W2" s="36"/>
      <c r="X2" s="36"/>
      <c r="Y2" s="36"/>
    </row>
    <row r="3" spans="1:29" ht="27.95">
      <c r="A3" s="36"/>
      <c r="B3" s="36"/>
      <c r="C3" s="36"/>
      <c r="D3" s="36"/>
      <c r="E3" s="36"/>
      <c r="F3" s="36"/>
      <c r="G3" s="320" t="s">
        <v>1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00"/>
      <c r="S3" s="36"/>
      <c r="T3" s="36"/>
      <c r="U3" s="36"/>
      <c r="V3" s="36"/>
      <c r="W3" s="36"/>
      <c r="X3" s="36"/>
      <c r="Y3" s="36"/>
    </row>
    <row r="4" spans="1:29">
      <c r="A4" s="36"/>
      <c r="B4" s="36"/>
      <c r="C4" s="36"/>
      <c r="D4" s="36"/>
      <c r="E4" s="36"/>
      <c r="F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9" ht="15" customHeight="1">
      <c r="A5" s="344" t="s">
        <v>2</v>
      </c>
      <c r="B5" s="344"/>
      <c r="C5" s="321" t="s">
        <v>3</v>
      </c>
      <c r="D5" s="321"/>
      <c r="E5" s="321"/>
      <c r="F5" s="321"/>
      <c r="G5" s="321"/>
      <c r="H5" s="344" t="s">
        <v>4</v>
      </c>
      <c r="I5" s="344"/>
      <c r="J5" s="321" t="s">
        <v>5</v>
      </c>
      <c r="K5" s="321"/>
      <c r="L5" s="321"/>
      <c r="M5" s="321"/>
      <c r="N5" s="321"/>
      <c r="O5" s="306" t="s">
        <v>6</v>
      </c>
      <c r="P5" s="345" t="s">
        <v>7</v>
      </c>
      <c r="Q5" s="345"/>
      <c r="R5" s="345"/>
      <c r="S5" s="345"/>
      <c r="T5" s="306" t="s">
        <v>8</v>
      </c>
      <c r="U5" s="325">
        <v>43358</v>
      </c>
      <c r="V5" s="325"/>
      <c r="W5" s="52" t="s">
        <v>9</v>
      </c>
      <c r="X5" s="321" t="s">
        <v>232</v>
      </c>
      <c r="Y5" s="321"/>
    </row>
    <row r="6" spans="1:29" ht="13.5" thickBot="1">
      <c r="A6" s="53"/>
      <c r="B6" s="53"/>
      <c r="C6" s="53"/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5"/>
      <c r="X6" s="53"/>
      <c r="Y6" s="53"/>
    </row>
    <row r="7" spans="1:29">
      <c r="A7" s="56" t="s">
        <v>12</v>
      </c>
      <c r="B7" s="57" t="s">
        <v>11</v>
      </c>
      <c r="C7" s="314" t="s">
        <v>72</v>
      </c>
      <c r="D7" s="58" t="s">
        <v>72</v>
      </c>
      <c r="E7" s="313" t="s">
        <v>14</v>
      </c>
      <c r="F7" s="313" t="s">
        <v>73</v>
      </c>
      <c r="G7" s="313" t="s">
        <v>15</v>
      </c>
      <c r="H7" s="356" t="s">
        <v>17</v>
      </c>
      <c r="I7" s="357"/>
      <c r="J7" s="358"/>
      <c r="K7" s="356" t="s">
        <v>18</v>
      </c>
      <c r="L7" s="357"/>
      <c r="M7" s="358"/>
      <c r="N7" s="359" t="s">
        <v>74</v>
      </c>
      <c r="O7" s="360"/>
      <c r="P7" s="360"/>
      <c r="Q7" s="360"/>
      <c r="R7" s="227" t="s">
        <v>21</v>
      </c>
      <c r="S7" s="57" t="s">
        <v>75</v>
      </c>
      <c r="T7" s="57" t="s">
        <v>76</v>
      </c>
      <c r="U7" s="57" t="s">
        <v>77</v>
      </c>
      <c r="V7" s="313" t="s">
        <v>78</v>
      </c>
      <c r="W7" s="59" t="s">
        <v>79</v>
      </c>
      <c r="X7" s="59" t="s">
        <v>80</v>
      </c>
      <c r="Y7" s="60" t="s">
        <v>81</v>
      </c>
    </row>
    <row r="8" spans="1:29" ht="13.5" thickBot="1">
      <c r="A8" s="61" t="s">
        <v>26</v>
      </c>
      <c r="B8" s="62" t="s">
        <v>25</v>
      </c>
      <c r="C8" s="63" t="s">
        <v>82</v>
      </c>
      <c r="D8" s="64" t="s">
        <v>79</v>
      </c>
      <c r="E8" s="65" t="s">
        <v>83</v>
      </c>
      <c r="F8" s="65" t="s">
        <v>84</v>
      </c>
      <c r="G8" s="312" t="s">
        <v>85</v>
      </c>
      <c r="H8" s="361" t="s">
        <v>86</v>
      </c>
      <c r="I8" s="362"/>
      <c r="J8" s="363"/>
      <c r="K8" s="361" t="s">
        <v>86</v>
      </c>
      <c r="L8" s="362"/>
      <c r="M8" s="363"/>
      <c r="N8" s="66" t="s">
        <v>17</v>
      </c>
      <c r="O8" s="67" t="s">
        <v>18</v>
      </c>
      <c r="P8" s="62" t="s">
        <v>87</v>
      </c>
      <c r="Q8" s="63" t="s">
        <v>21</v>
      </c>
      <c r="R8" s="62" t="s">
        <v>31</v>
      </c>
      <c r="S8" s="68" t="s">
        <v>21</v>
      </c>
      <c r="T8" s="68" t="s">
        <v>21</v>
      </c>
      <c r="U8" s="68" t="s">
        <v>21</v>
      </c>
      <c r="V8" s="65" t="s">
        <v>88</v>
      </c>
      <c r="W8" s="69" t="s">
        <v>89</v>
      </c>
      <c r="X8" s="69"/>
      <c r="Y8" s="70"/>
    </row>
    <row r="9" spans="1:29" ht="18" customHeight="1">
      <c r="A9" s="185">
        <v>96.27</v>
      </c>
      <c r="B9" s="206" t="s">
        <v>223</v>
      </c>
      <c r="C9" s="187" t="s">
        <v>37</v>
      </c>
      <c r="D9" s="206" t="s">
        <v>137</v>
      </c>
      <c r="E9" s="188">
        <v>36029</v>
      </c>
      <c r="F9" s="189"/>
      <c r="G9" s="190" t="s">
        <v>233</v>
      </c>
      <c r="H9" s="191">
        <v>85</v>
      </c>
      <c r="I9" s="192">
        <v>90</v>
      </c>
      <c r="J9" s="192">
        <v>-93</v>
      </c>
      <c r="K9" s="191">
        <v>105</v>
      </c>
      <c r="L9" s="192" t="s">
        <v>48</v>
      </c>
      <c r="M9" s="192" t="s">
        <v>48</v>
      </c>
      <c r="N9" s="209">
        <f>IF(MAX(H9:J9)&gt;0,IF(MAX(H9:J9)&lt;0,0,TRUNC(MAX(H9:J9)/1)*1),"")</f>
        <v>90</v>
      </c>
      <c r="O9" s="210">
        <f>IF(MAX(K9:M9)&gt;0,IF(MAX(K9:M9)&lt;0,0,TRUNC(MAX(K9:M9)/1)*1),"")</f>
        <v>105</v>
      </c>
      <c r="P9" s="211">
        <f>IF(N9="","",IF(O9="","",IF(SUM(N9:O9)=0,"",SUM(N9:O9))))</f>
        <v>195</v>
      </c>
      <c r="Q9" s="223">
        <f>IF(P9="","",IF(A9="","",IF(OR(C9="UK",C9="JK",C9="SK",C9="K1",C9="K2",C9="K3",C9="K4",C9="K5",C9="K6",C9="K7",C9="K8",C9="K9",C9="K10"),IF(A9&gt;153.655,P9,IF(A9&lt;28,10^(0.783497476*LOG10(28/153.655)^2)*P9,10^(0.783497476*LOG10(A9/153.655)^2)*P9)),IF(A9&gt;175.508,P9,IF(A9&lt;32,10^(0.75194503*LOG10(32/175.508)^2)*P9,10^(0.75194503*LOG10(A9/175.508)^2)*P9)))))</f>
        <v>219.37226416968247</v>
      </c>
      <c r="R9" s="162" t="str">
        <f>IF(OR(E9="",A9="",Z9="",Q9=""),"",IF(OR(C9="UM",C9="JM",C9="SM",C9="UK",C9="JK",C9="SK"),"",Q9*(IF(ABS(1900-YEAR((Z9+1)-E9))&lt;29,0,(VLOOKUP((YEAR(Z9)-YEAR(E9)),'Meltzer-Malone'!$A$3:$B$63,2))))))</f>
        <v/>
      </c>
      <c r="S9" s="163">
        <f>IF('K10'!G7="","",'K10'!G7)</f>
        <v>7.77</v>
      </c>
      <c r="T9" s="163">
        <f>IF('K10'!K7="","",'K10'!K7)</f>
        <v>14.01</v>
      </c>
      <c r="U9" s="163">
        <f>IF('K10'!N7="","",'K10'!N7)</f>
        <v>7.05</v>
      </c>
      <c r="V9" s="163"/>
      <c r="W9" s="164"/>
      <c r="X9" s="195"/>
      <c r="Y9" s="196" t="s">
        <v>42</v>
      </c>
      <c r="Z9" s="225">
        <f>U5</f>
        <v>43358</v>
      </c>
    </row>
    <row r="10" spans="1:29" ht="18" customHeight="1">
      <c r="A10" s="165"/>
      <c r="B10" s="166"/>
      <c r="C10" s="167"/>
      <c r="D10" s="168"/>
      <c r="E10" s="169"/>
      <c r="F10" s="193"/>
      <c r="G10" s="170" t="s">
        <v>108</v>
      </c>
      <c r="H10" s="338"/>
      <c r="I10" s="339"/>
      <c r="J10" s="340"/>
      <c r="K10" s="341"/>
      <c r="L10" s="342"/>
      <c r="M10" s="343"/>
      <c r="N10" s="167"/>
      <c r="O10" s="171"/>
      <c r="P10" s="334">
        <f>IF(Q9="","",Q9*1.2)</f>
        <v>263.24671700361893</v>
      </c>
      <c r="Q10" s="334"/>
      <c r="R10" s="222"/>
      <c r="S10" s="172">
        <f>IF(S9="","",S9*20)</f>
        <v>155.39999999999998</v>
      </c>
      <c r="T10" s="172">
        <f>IF(T9="","",T9*11)</f>
        <v>154.10999999999999</v>
      </c>
      <c r="U10" s="173">
        <f>IF(U9="","",IF((80+(8-ROUNDUP(U9,1))*40)&lt;0,0,80+(8-ROUNDUP(U9,1))*40))</f>
        <v>116.00000000000001</v>
      </c>
      <c r="V10" s="237">
        <f>IF(SUM(S10,T10,U10)&gt;0,SUM(S10,T10,U10),"")</f>
        <v>425.51</v>
      </c>
      <c r="W10" s="238">
        <f>IF(OR(P10="",S10="",T10="",U10=""),"",SUM(P10,S10,T10,U10))</f>
        <v>688.75671700361886</v>
      </c>
      <c r="X10" s="239">
        <v>16</v>
      </c>
      <c r="Y10" s="240"/>
      <c r="Z10" s="225"/>
    </row>
    <row r="11" spans="1:29" ht="18" customHeight="1">
      <c r="A11" s="185">
        <v>90.96</v>
      </c>
      <c r="B11" s="186" t="s">
        <v>187</v>
      </c>
      <c r="C11" s="187" t="s">
        <v>43</v>
      </c>
      <c r="D11" s="262" t="s">
        <v>137</v>
      </c>
      <c r="E11" s="187" t="s">
        <v>234</v>
      </c>
      <c r="F11" s="189"/>
      <c r="G11" s="212" t="s">
        <v>235</v>
      </c>
      <c r="H11" s="213">
        <v>101</v>
      </c>
      <c r="I11" s="214">
        <v>106</v>
      </c>
      <c r="J11" s="214">
        <v>-110</v>
      </c>
      <c r="K11" s="213">
        <v>127</v>
      </c>
      <c r="L11" s="214">
        <v>-132</v>
      </c>
      <c r="M11" s="214">
        <v>-135</v>
      </c>
      <c r="N11" s="209">
        <f>IF(MAX(H11:J11)&gt;0,IF(MAX(H11:J11)&lt;0,0,TRUNC(MAX(H11:J11)/1)*1),"")</f>
        <v>106</v>
      </c>
      <c r="O11" s="210">
        <f>IF(MAX(K11:M11)&gt;0,IF(MAX(K11:M11)&lt;0,0,TRUNC(MAX(K11:M11)/1)*1),"")</f>
        <v>127</v>
      </c>
      <c r="P11" s="211">
        <f>IF(N11="","",IF(O11="","",IF(SUM(N11:O11)=0,"",SUM(N11:O11))))</f>
        <v>233</v>
      </c>
      <c r="Q11" s="223">
        <f>IF(P11="","",IF(A11="","",IF(OR(C11="UK",C11="JK",C11="SK",C11="K1",C11="K2",C11="K3",C11="K4",C11="K5",C11="K6",C11="K7",C11="K8",C11="K9",C11="K10"),IF(A11&gt;153.655,P11,IF(A11&lt;28,10^(0.783497476*LOG10(28/153.655)^2)*P11,10^(0.783497476*LOG10(A11/153.655)^2)*P11)),IF(A11&gt;175.508,P11,IF(A11&lt;32,10^(0.75194503*LOG10(32/175.508)^2)*P11,10^(0.75194503*LOG10(A11/175.508)^2)*P11)))))</f>
        <v>268.30215750367012</v>
      </c>
      <c r="R11" s="224" t="str">
        <f>IF(OR(E11="",A11="",Z11="",Q11=""),"",IF(OR(C11="UM",C11="JM",C11="SM",C11="UK",C11="JK",C11="SK"),"",Q11*(IF(ABS(1900-YEAR((Z11+1)-E11))&lt;29,0,(VLOOKUP((YEAR(Z11)-YEAR(E11)),'Meltzer-Malone'!$A$3:$B$63,2))))))</f>
        <v/>
      </c>
      <c r="S11" s="174">
        <f>IF('K10'!G9="","",'K10'!G9)</f>
        <v>7.26</v>
      </c>
      <c r="T11" s="174">
        <f>IF('K10'!K9="","",'K10'!K9)</f>
        <v>15.64</v>
      </c>
      <c r="U11" s="174">
        <f>IF('K10'!N9="","",'K10'!N9)</f>
        <v>6.73</v>
      </c>
      <c r="V11" s="163"/>
      <c r="W11" s="164"/>
      <c r="X11" s="175"/>
      <c r="Y11" s="176"/>
      <c r="Z11" s="225">
        <f>U5</f>
        <v>43358</v>
      </c>
      <c r="AC11" t="s">
        <v>42</v>
      </c>
    </row>
    <row r="12" spans="1:29" ht="18" customHeight="1">
      <c r="A12" s="276"/>
      <c r="B12" s="166"/>
      <c r="C12" s="167"/>
      <c r="D12" s="168"/>
      <c r="E12" s="215"/>
      <c r="F12" s="193"/>
      <c r="G12" s="216" t="s">
        <v>215</v>
      </c>
      <c r="H12" s="338"/>
      <c r="I12" s="339"/>
      <c r="J12" s="340"/>
      <c r="K12" s="341"/>
      <c r="L12" s="342"/>
      <c r="M12" s="343"/>
      <c r="N12" s="167"/>
      <c r="O12" s="171"/>
      <c r="P12" s="334">
        <f>IF(Q11="","",Q11*1.2)</f>
        <v>321.96258900440415</v>
      </c>
      <c r="Q12" s="334"/>
      <c r="R12" s="222"/>
      <c r="S12" s="172">
        <f>IF(S11="","",S11*20)</f>
        <v>145.19999999999999</v>
      </c>
      <c r="T12" s="172">
        <f>IF(T11="","",T11*11)</f>
        <v>172.04000000000002</v>
      </c>
      <c r="U12" s="173">
        <f>IF(U11="","",IF((80+(8-ROUNDUP(U11,1))*40)&lt;0,0,80+(8-ROUNDUP(U11,1))*40))</f>
        <v>128</v>
      </c>
      <c r="V12" s="237">
        <f>IF(SUM(S12,T12,U12)&gt;0,SUM(S12,T12,U12),"")</f>
        <v>445.24</v>
      </c>
      <c r="W12" s="238">
        <f>IF(OR(P12="",S12="",T12="",U12=""),"",SUM(P12,S12,T12,U12))</f>
        <v>767.20258900440422</v>
      </c>
      <c r="X12" s="239">
        <v>12</v>
      </c>
      <c r="Y12" s="240"/>
      <c r="Z12" s="225"/>
    </row>
    <row r="13" spans="1:29" ht="18" customHeight="1">
      <c r="A13" s="185">
        <v>104.46</v>
      </c>
      <c r="B13" s="206" t="s">
        <v>223</v>
      </c>
      <c r="C13" s="187" t="s">
        <v>43</v>
      </c>
      <c r="D13" s="187" t="s">
        <v>137</v>
      </c>
      <c r="E13" s="187" t="s">
        <v>236</v>
      </c>
      <c r="F13" s="189"/>
      <c r="G13" s="212" t="s">
        <v>237</v>
      </c>
      <c r="H13" s="213">
        <v>-105</v>
      </c>
      <c r="I13" s="214">
        <v>105</v>
      </c>
      <c r="J13" s="214">
        <v>-112</v>
      </c>
      <c r="K13" s="213">
        <v>125</v>
      </c>
      <c r="L13" s="214">
        <v>130</v>
      </c>
      <c r="M13" s="214">
        <v>-140</v>
      </c>
      <c r="N13" s="209">
        <f>IF(MAX(H13:J13)&gt;0,IF(MAX(H13:J13)&lt;0,0,TRUNC(MAX(H13:J13)/1)*1),"")</f>
        <v>105</v>
      </c>
      <c r="O13" s="210">
        <f>IF(MAX(K13:M13)&gt;0,IF(MAX(K13:M13)&lt;0,0,TRUNC(MAX(K13:M13)/1)*1),"")</f>
        <v>130</v>
      </c>
      <c r="P13" s="211">
        <f>IF(N13="","",IF(O13="","",IF(SUM(N13:O13)=0,"",SUM(N13:O13))))</f>
        <v>235</v>
      </c>
      <c r="Q13" s="223">
        <f>IF(P13="","",IF(A13="","",IF(OR(C13="UK",C13="JK",C13="SK",C13="K1",C13="K2",C13="K3",C13="K4",C13="K5",C13="K6",C13="K7",C13="K8",C13="K9",C13="K10"),IF(A13&gt;153.655,P13,IF(A13&lt;28,10^(0.783497476*LOG10(28/153.655)^2)*P13,10^(0.783497476*LOG10(A13/153.655)^2)*P13)),IF(A13&gt;175.508,P13,IF(A13&lt;32,10^(0.75194503*LOG10(32/175.508)^2)*P13,10^(0.75194503*LOG10(A13/175.508)^2)*P13)))))</f>
        <v>256.59757684691277</v>
      </c>
      <c r="R13" s="224" t="str">
        <f>IF(OR(E13="",A13="",Z13="",Q13=""),"",IF(OR(C13="UM",C13="JM",C13="SM",C13="UK",C13="JK",C13="SK"),"",Q13*(IF(ABS(1900-YEAR((Z13+1)-E13))&lt;29,0,(VLOOKUP((YEAR(Z13)-YEAR(E13)),'Meltzer-Malone'!$A$3:$B$63,2))))))</f>
        <v/>
      </c>
      <c r="S13" s="174">
        <f>IF('K10'!G11="","",'K10'!G11)</f>
        <v>8.8699999999999992</v>
      </c>
      <c r="T13" s="174">
        <f>IF('K10'!K11="","",'K10'!K11)</f>
        <v>17.420000000000002</v>
      </c>
      <c r="U13" s="174">
        <f>IF('K10'!N11="","",'K10'!N11)</f>
        <v>6.54</v>
      </c>
      <c r="V13" s="163"/>
      <c r="W13" s="164"/>
      <c r="X13" s="175"/>
      <c r="Y13" s="176"/>
      <c r="Z13" s="225">
        <f>U5</f>
        <v>43358</v>
      </c>
    </row>
    <row r="14" spans="1:29" ht="18" customHeight="1">
      <c r="A14" s="165"/>
      <c r="B14" s="166"/>
      <c r="C14" s="167"/>
      <c r="D14" s="168"/>
      <c r="E14" s="215"/>
      <c r="F14" s="193"/>
      <c r="G14" s="216" t="s">
        <v>144</v>
      </c>
      <c r="H14" s="338"/>
      <c r="I14" s="339"/>
      <c r="J14" s="340"/>
      <c r="K14" s="341"/>
      <c r="L14" s="342"/>
      <c r="M14" s="343"/>
      <c r="N14" s="167"/>
      <c r="O14" s="171"/>
      <c r="P14" s="334">
        <f>IF(Q13="","",Q13*1.2)</f>
        <v>307.91709221629532</v>
      </c>
      <c r="Q14" s="334"/>
      <c r="R14" s="222"/>
      <c r="S14" s="172">
        <f>IF(S13="","",S13*20)</f>
        <v>177.39999999999998</v>
      </c>
      <c r="T14" s="172">
        <f>IF(T13="","",T13*11)</f>
        <v>191.62</v>
      </c>
      <c r="U14" s="173">
        <f>IF(U13="","",IF((80+(8-ROUNDUP(U13,1))*40)&lt;0,0,80+(8-ROUNDUP(U13,1))*40))</f>
        <v>136</v>
      </c>
      <c r="V14" s="237">
        <f>IF(SUM(S14,T14,U14)&gt;0,SUM(S14,T14,U14),"")</f>
        <v>505.02</v>
      </c>
      <c r="W14" s="238">
        <f>IF(OR(P14="",S14="",T14="",U14=""),"",SUM(P14,S14,T14,U14))</f>
        <v>812.93709221629524</v>
      </c>
      <c r="X14" s="239">
        <v>7</v>
      </c>
      <c r="Y14" s="240"/>
      <c r="Z14" s="225"/>
    </row>
    <row r="15" spans="1:29" ht="18" customHeight="1">
      <c r="A15" s="185">
        <v>87.16</v>
      </c>
      <c r="B15" s="186" t="s">
        <v>187</v>
      </c>
      <c r="C15" s="187" t="s">
        <v>43</v>
      </c>
      <c r="D15" s="187" t="s">
        <v>137</v>
      </c>
      <c r="E15" s="187" t="s">
        <v>238</v>
      </c>
      <c r="F15" s="189"/>
      <c r="G15" s="212" t="s">
        <v>239</v>
      </c>
      <c r="H15" s="213">
        <v>105</v>
      </c>
      <c r="I15" s="214">
        <v>109</v>
      </c>
      <c r="J15" s="214">
        <v>-113</v>
      </c>
      <c r="K15" s="213">
        <v>141</v>
      </c>
      <c r="L15" s="214">
        <v>146</v>
      </c>
      <c r="M15" s="214">
        <v>150</v>
      </c>
      <c r="N15" s="209">
        <f>IF(MAX(H15:J15)&gt;0,IF(MAX(H15:J15)&lt;0,0,TRUNC(MAX(H15:J15)/1)*1),"")</f>
        <v>109</v>
      </c>
      <c r="O15" s="210">
        <f>IF(MAX(K15:M15)&gt;0,IF(MAX(K15:M15)&lt;0,0,TRUNC(MAX(K15:M15)/1)*1),"")</f>
        <v>150</v>
      </c>
      <c r="P15" s="211">
        <f>IF(N15="","",IF(O15="","",IF(SUM(N15:O15)=0,"",SUM(N15:O15))))</f>
        <v>259</v>
      </c>
      <c r="Q15" s="223">
        <f>IF(P15="","",IF(A15="","",IF(OR(C15="UK",C15="JK",C15="SK",C15="K1",C15="K2",C15="K3",C15="K4",C15="K5",C15="K6",C15="K7",C15="K8",C15="K9",C15="K10"),IF(A15&gt;153.655,P15,IF(A15&lt;28,10^(0.783497476*LOG10(28/153.655)^2)*P15,10^(0.783497476*LOG10(A15/153.655)^2)*P15)),IF(A15&gt;175.508,P15,IF(A15&lt;32,10^(0.75194503*LOG10(32/175.508)^2)*P15,10^(0.75194503*LOG10(A15/175.508)^2)*P15)))))</f>
        <v>303.93606293968838</v>
      </c>
      <c r="R15" s="224" t="str">
        <f>IF(OR(E15="",A15="",Z15="",Q15=""),"",IF(OR(C15="UM",C15="JM",C15="SM",C15="UK",C15="JK",C15="SK"),"",Q15*(IF(ABS(1900-YEAR((Z15+1)-E15))&lt;29,0,(VLOOKUP((YEAR(Z15)-YEAR(E15)),'Meltzer-Malone'!$A$3:$B$63,2))))))</f>
        <v/>
      </c>
      <c r="S15" s="174">
        <f>IF('K10'!G13="","",'K10'!G13)</f>
        <v>8.67</v>
      </c>
      <c r="T15" s="174">
        <f>IF('K10'!K13="","",'K10'!K13)</f>
        <v>16.399999999999999</v>
      </c>
      <c r="U15" s="174">
        <f>IF('K10'!N13="","",'K10'!N13)</f>
        <v>6.42</v>
      </c>
      <c r="V15" s="163"/>
      <c r="W15" s="164"/>
      <c r="X15" s="175"/>
      <c r="Y15" s="176" t="s">
        <v>42</v>
      </c>
      <c r="Z15" s="225">
        <f>U5</f>
        <v>43358</v>
      </c>
    </row>
    <row r="16" spans="1:29" ht="18" customHeight="1">
      <c r="A16" s="165"/>
      <c r="B16" s="166"/>
      <c r="C16" s="167"/>
      <c r="D16" s="168"/>
      <c r="E16" s="215"/>
      <c r="F16" s="193"/>
      <c r="G16" s="216" t="s">
        <v>111</v>
      </c>
      <c r="H16" s="338"/>
      <c r="I16" s="339"/>
      <c r="J16" s="340"/>
      <c r="K16" s="341"/>
      <c r="L16" s="342"/>
      <c r="M16" s="343"/>
      <c r="N16" s="167"/>
      <c r="O16" s="171"/>
      <c r="P16" s="334">
        <f>IF(Q15="","",Q15*1.2)</f>
        <v>364.72327552762607</v>
      </c>
      <c r="Q16" s="334"/>
      <c r="R16" s="222"/>
      <c r="S16" s="172">
        <f>IF(S15="","",S15*20)</f>
        <v>173.4</v>
      </c>
      <c r="T16" s="172">
        <f>IF(T15="","",T15*11)</f>
        <v>180.39999999999998</v>
      </c>
      <c r="U16" s="173">
        <f>IF(U15="","",IF((80+(8-ROUNDUP(U15,1))*40)&lt;0,0,80+(8-ROUNDUP(U15,1))*40))</f>
        <v>140</v>
      </c>
      <c r="V16" s="237">
        <f>IF(SUM(S16,T16,U16)&gt;0,SUM(S16,T16,U16),"")</f>
        <v>493.79999999999995</v>
      </c>
      <c r="W16" s="238">
        <f>IF(OR(P16="",S16="",T16="",U16=""),"",SUM(P16,S16,T16,U16))</f>
        <v>858.52327552762608</v>
      </c>
      <c r="X16" s="239">
        <v>2</v>
      </c>
      <c r="Y16" s="240"/>
      <c r="Z16" s="225"/>
    </row>
    <row r="17" spans="1:29" ht="18" customHeight="1">
      <c r="A17" s="185">
        <v>75.77</v>
      </c>
      <c r="B17" s="186" t="s">
        <v>183</v>
      </c>
      <c r="C17" s="187" t="s">
        <v>43</v>
      </c>
      <c r="D17" s="187" t="s">
        <v>137</v>
      </c>
      <c r="E17" s="187" t="s">
        <v>240</v>
      </c>
      <c r="F17" s="189"/>
      <c r="G17" s="212" t="s">
        <v>241</v>
      </c>
      <c r="H17" s="213">
        <v>115</v>
      </c>
      <c r="I17" s="214">
        <v>-120</v>
      </c>
      <c r="J17" s="214">
        <v>-120</v>
      </c>
      <c r="K17" s="213">
        <v>-136</v>
      </c>
      <c r="L17" s="214">
        <v>136</v>
      </c>
      <c r="M17" s="214">
        <v>-140</v>
      </c>
      <c r="N17" s="209">
        <f>IF(MAX(H17:J17)&gt;0,IF(MAX(H17:J17)&lt;0,0,TRUNC(MAX(H17:J17)/1)*1),"")</f>
        <v>115</v>
      </c>
      <c r="O17" s="210">
        <f>IF(MAX(K17:M17)&gt;0,IF(MAX(K17:M17)&lt;0,0,TRUNC(MAX(K17:M17)/1)*1),"")</f>
        <v>136</v>
      </c>
      <c r="P17" s="211">
        <f>IF(N17="","",IF(O17="","",IF(SUM(N17:O17)=0,"",SUM(N17:O17))))</f>
        <v>251</v>
      </c>
      <c r="Q17" s="223">
        <f>IF(P17="","",IF(A17="","",IF(OR(C17="UK",C17="JK",C17="SK",C17="K1",C17="K2",C17="K3",C17="K4",C17="K5",C17="K6",C17="K7",C17="K8",C17="K9",C17="K10"),IF(A17&gt;153.655,P17,IF(A17&lt;28,10^(0.783497476*LOG10(28/153.655)^2)*P17,10^(0.783497476*LOG10(A17/153.655)^2)*P17)),IF(A17&gt;175.508,P17,IF(A17&lt;32,10^(0.75194503*LOG10(32/175.508)^2)*P17,10^(0.75194503*LOG10(A17/175.508)^2)*P17)))))</f>
        <v>316.03970025188613</v>
      </c>
      <c r="R17" s="224" t="str">
        <f>IF(OR(E17="",A17="",Z17="",Q17=""),"",IF(OR(C17="UM",C17="JM",C17="SM",C17="UK",C17="JK",C17="SK"),"",Q17*(IF(ABS(1900-YEAR((Z17+1)-E17))&lt;29,0,(VLOOKUP((YEAR(Z17)-YEAR(E17)),'Meltzer-Malone'!$A$3:$B$63,2))))))</f>
        <v/>
      </c>
      <c r="S17" s="174">
        <f>IF('K10'!G15="","",'K10'!G15)</f>
        <v>8.7200000000000006</v>
      </c>
      <c r="T17" s="174">
        <f>IF('K10'!K15="","",'K10'!K15)</f>
        <v>15.6</v>
      </c>
      <c r="U17" s="174">
        <f>IF('K10'!N15="","",'K10'!N15)</f>
        <v>6.65</v>
      </c>
      <c r="V17" s="163"/>
      <c r="W17" s="164"/>
      <c r="X17" s="175"/>
      <c r="Y17" s="176"/>
      <c r="Z17" s="225">
        <f>U5</f>
        <v>43358</v>
      </c>
    </row>
    <row r="18" spans="1:29" ht="18" customHeight="1">
      <c r="A18" s="165"/>
      <c r="B18" s="166"/>
      <c r="C18" s="167"/>
      <c r="D18" s="168"/>
      <c r="E18" s="215"/>
      <c r="F18" s="193"/>
      <c r="G18" s="216" t="s">
        <v>103</v>
      </c>
      <c r="H18" s="338"/>
      <c r="I18" s="339"/>
      <c r="J18" s="340"/>
      <c r="K18" s="341"/>
      <c r="L18" s="342"/>
      <c r="M18" s="343"/>
      <c r="N18" s="167"/>
      <c r="O18" s="171"/>
      <c r="P18" s="334">
        <f>IF(Q17="","",Q17*1.2)</f>
        <v>379.24764030226333</v>
      </c>
      <c r="Q18" s="334"/>
      <c r="R18" s="222"/>
      <c r="S18" s="172">
        <f>IF(S17="","",S17*20)</f>
        <v>174.4</v>
      </c>
      <c r="T18" s="172">
        <f>IF(T17="","",T17*11)</f>
        <v>171.6</v>
      </c>
      <c r="U18" s="173">
        <f>IF(U17="","",IF((80+(8-ROUNDUP(U17,1))*40)&lt;0,0,80+(8-ROUNDUP(U17,1))*40))</f>
        <v>132.00000000000003</v>
      </c>
      <c r="V18" s="237">
        <f>IF(SUM(S18,T18,U18)&gt;0,SUM(S18,T18,U18),"")</f>
        <v>478</v>
      </c>
      <c r="W18" s="238">
        <f>IF(OR(P18="",S18="",T18="",U18=""),"",SUM(P18,S18,T18,U18))</f>
        <v>857.24764030226333</v>
      </c>
      <c r="X18" s="239">
        <v>3</v>
      </c>
      <c r="Y18" s="240"/>
      <c r="Z18" s="225"/>
      <c r="AC18" t="s">
        <v>42</v>
      </c>
    </row>
    <row r="19" spans="1:29" ht="18" customHeight="1">
      <c r="A19" s="185">
        <v>88.13</v>
      </c>
      <c r="B19" s="186" t="s">
        <v>187</v>
      </c>
      <c r="C19" s="187" t="s">
        <v>43</v>
      </c>
      <c r="D19" s="206" t="s">
        <v>137</v>
      </c>
      <c r="E19" s="188">
        <v>35434</v>
      </c>
      <c r="F19" s="189"/>
      <c r="G19" s="190" t="s">
        <v>242</v>
      </c>
      <c r="H19" s="207">
        <v>103</v>
      </c>
      <c r="I19" s="208">
        <v>-110</v>
      </c>
      <c r="J19" s="208">
        <v>-110</v>
      </c>
      <c r="K19" s="207">
        <v>-130</v>
      </c>
      <c r="L19" s="208">
        <v>130</v>
      </c>
      <c r="M19" s="208">
        <v>-135</v>
      </c>
      <c r="N19" s="209">
        <f>IF(MAX(H19:J19)&gt;0,IF(MAX(H19:J19)&lt;0,0,TRUNC(MAX(H19:J19)/1)*1),"")</f>
        <v>103</v>
      </c>
      <c r="O19" s="210">
        <f>IF(MAX(K19:M19)&gt;0,IF(MAX(K19:M19)&lt;0,0,TRUNC(MAX(K19:M19)/1)*1),"")</f>
        <v>130</v>
      </c>
      <c r="P19" s="211">
        <f>IF(N19="","",IF(O19="","",IF(SUM(N19:O19)=0,"",SUM(N19:O19))))</f>
        <v>233</v>
      </c>
      <c r="Q19" s="223">
        <f>IF(P19="","",IF(A19="","",IF(OR(C19="UK",C19="JK",C19="SK",C19="K1",C19="K2",C19="K3",C19="K4",C19="K5",C19="K6",C19="K7",C19="K8",C19="K9",C19="K10"),IF(A19&gt;153.655,P19,IF(A19&lt;28,10^(0.783497476*LOG10(28/153.655)^2)*P19,10^(0.783497476*LOG10(A19/153.655)^2)*P19)),IF(A19&gt;175.508,P19,IF(A19&lt;32,10^(0.75194503*LOG10(32/175.508)^2)*P19,10^(0.75194503*LOG10(A19/175.508)^2)*P19)))))</f>
        <v>272.05608185873962</v>
      </c>
      <c r="R19" s="224" t="str">
        <f>IF(OR(E19="",A19="",Z19="",Q19=""),"",IF(OR(C19="UM",C19="JM",C19="SM",C19="UK",C19="JK",C19="SK"),"",Q19*(IF(ABS(1900-YEAR((Z19+1)-E19))&lt;29,0,(VLOOKUP((YEAR(Z19)-YEAR(E19)),'Meltzer-Malone'!$A$3:$B$63,2))))))</f>
        <v/>
      </c>
      <c r="S19" s="174" t="str">
        <f>IF('K10'!G17="","",'K10'!G17)</f>
        <v/>
      </c>
      <c r="T19" s="174" t="str">
        <f>IF('K10'!K17="","",'K10'!K17)</f>
        <v/>
      </c>
      <c r="U19" s="174" t="str">
        <f>IF('K10'!N17="","",'K10'!N17)</f>
        <v/>
      </c>
      <c r="V19" s="163"/>
      <c r="W19" s="164"/>
      <c r="X19" s="175"/>
      <c r="Y19" s="176"/>
      <c r="Z19" s="225">
        <f>U5</f>
        <v>43358</v>
      </c>
    </row>
    <row r="20" spans="1:29" ht="18" customHeight="1">
      <c r="A20" s="165"/>
      <c r="B20" s="166"/>
      <c r="C20" s="167"/>
      <c r="D20" s="168"/>
      <c r="E20" s="169"/>
      <c r="F20" s="193"/>
      <c r="G20" s="170" t="s">
        <v>97</v>
      </c>
      <c r="H20" s="338"/>
      <c r="I20" s="339"/>
      <c r="J20" s="340"/>
      <c r="K20" s="341"/>
      <c r="L20" s="342"/>
      <c r="M20" s="343"/>
      <c r="N20" s="167"/>
      <c r="O20" s="171"/>
      <c r="P20" s="334">
        <f>IF(Q19="","",Q19*1.2)</f>
        <v>326.46729823048753</v>
      </c>
      <c r="Q20" s="334"/>
      <c r="R20" s="222"/>
      <c r="S20" s="172" t="str">
        <f>IF(S19="","",S19*20)</f>
        <v/>
      </c>
      <c r="T20" s="172" t="str">
        <f>IF(T19="","",T19*11)</f>
        <v/>
      </c>
      <c r="U20" s="173" t="str">
        <f>IF(U19="","",IF((80+(8-ROUNDUP(U19,1))*40)&lt;0,0,80+(8-ROUNDUP(U19,1))*40))</f>
        <v/>
      </c>
      <c r="V20" s="237" t="str">
        <f>IF(SUM(S20,T20,U20)&gt;0,SUM(S20,T20,U20),"")</f>
        <v/>
      </c>
      <c r="W20" s="238" t="str">
        <f>IF(OR(P20="",S20="",T20="",U20=""),"",SUM(P20,S20,T20,U20))</f>
        <v/>
      </c>
      <c r="X20" s="239"/>
      <c r="Y20" s="240"/>
      <c r="Z20" s="225"/>
    </row>
    <row r="21" spans="1:29" ht="18" customHeight="1">
      <c r="A21" s="185">
        <v>100.86</v>
      </c>
      <c r="B21" s="206" t="s">
        <v>223</v>
      </c>
      <c r="C21" s="187" t="s">
        <v>43</v>
      </c>
      <c r="D21" s="262" t="s">
        <v>137</v>
      </c>
      <c r="E21" s="277">
        <v>33892</v>
      </c>
      <c r="F21" s="189"/>
      <c r="G21" s="212" t="s">
        <v>243</v>
      </c>
      <c r="H21" s="213">
        <v>105</v>
      </c>
      <c r="I21" s="214">
        <v>110</v>
      </c>
      <c r="J21" s="214">
        <v>115</v>
      </c>
      <c r="K21" s="213">
        <v>130</v>
      </c>
      <c r="L21" s="214">
        <v>135</v>
      </c>
      <c r="M21" s="214">
        <v>140</v>
      </c>
      <c r="N21" s="209">
        <f>IF(MAX(H21:J21)&gt;0,IF(MAX(H21:J21)&lt;0,0,TRUNC(MAX(H21:J21)/1)*1),"")</f>
        <v>115</v>
      </c>
      <c r="O21" s="210">
        <f>IF(MAX(K21:M21)&gt;0,IF(MAX(K21:M21)&lt;0,0,TRUNC(MAX(K21:M21)/1)*1),"")</f>
        <v>140</v>
      </c>
      <c r="P21" s="211">
        <f>IF(N21="","",IF(O21="","",IF(SUM(N21:O21)=0,"",SUM(N21:O21))))</f>
        <v>255</v>
      </c>
      <c r="Q21" s="223">
        <f>IF(P21="","",IF(A21="","",IF(OR(C21="UK",C21="JK",C21="SK",C21="K1",C21="K2",C21="K3",C21="K4",C21="K5",C21="K6",C21="K7",C21="K8",C21="K9",C21="K10"),IF(A21&gt;153.655,P21,IF(A21&lt;28,10^(0.783497476*LOG10(28/153.655)^2)*P21,10^(0.783497476*LOG10(A21/153.655)^2)*P21)),IF(A21&gt;175.508,P21,IF(A21&lt;32,10^(0.75194503*LOG10(32/175.508)^2)*P21,10^(0.75194503*LOG10(A21/175.508)^2)*P21)))))</f>
        <v>281.87792649744648</v>
      </c>
      <c r="R21" s="224" t="str">
        <f>IF(OR(E21="",A21="",Z21="",Q21=""),"",IF(OR(C21="UM",C21="JM",C21="SM",C21="UK",C21="JK",C21="SK"),"",Q21*(IF(ABS(1900-YEAR((Z21+1)-E21))&lt;29,0,(VLOOKUP((YEAR(Z21)-YEAR(E21)),'Meltzer-Malone'!$A$3:$B$63,2))))))</f>
        <v/>
      </c>
      <c r="S21" s="174">
        <f>IF('K10'!G19="","",'K10'!G19)</f>
        <v>9.25</v>
      </c>
      <c r="T21" s="174">
        <f>IF('K10'!K19="","",'K10'!K19)</f>
        <v>14.65</v>
      </c>
      <c r="U21" s="174">
        <f>IF('K10'!N19="","",'K10'!N19)</f>
        <v>6.14</v>
      </c>
      <c r="V21" s="163"/>
      <c r="W21" s="164"/>
      <c r="X21" s="175"/>
      <c r="Y21" s="176"/>
      <c r="Z21" s="225">
        <f>U5</f>
        <v>43358</v>
      </c>
    </row>
    <row r="22" spans="1:29" ht="18" customHeight="1">
      <c r="A22" s="165"/>
      <c r="B22" s="166"/>
      <c r="C22" s="167"/>
      <c r="D22" s="168"/>
      <c r="E22" s="215"/>
      <c r="F22" s="193"/>
      <c r="G22" s="216" t="s">
        <v>34</v>
      </c>
      <c r="H22" s="338"/>
      <c r="I22" s="339"/>
      <c r="J22" s="340"/>
      <c r="K22" s="341"/>
      <c r="L22" s="342"/>
      <c r="M22" s="343"/>
      <c r="N22" s="167"/>
      <c r="O22" s="171"/>
      <c r="P22" s="334">
        <f>IF(Q21="","",Q21*1.2)</f>
        <v>338.25351179693575</v>
      </c>
      <c r="Q22" s="334"/>
      <c r="R22" s="222"/>
      <c r="S22" s="172">
        <f>IF(S21="","",S21*20)</f>
        <v>185</v>
      </c>
      <c r="T22" s="172">
        <f>IF(T21="","",T21*11)</f>
        <v>161.15</v>
      </c>
      <c r="U22" s="173">
        <f>IF(U21="","",IF((80+(8-ROUNDUP(U21,1))*40)&lt;0,0,80+(8-ROUNDUP(U21,1))*40))</f>
        <v>152.00000000000003</v>
      </c>
      <c r="V22" s="237">
        <f>IF(SUM(S22,T22,U22)&gt;0,SUM(S22,T22,U22),"")</f>
        <v>498.15</v>
      </c>
      <c r="W22" s="238">
        <f>IF(OR(P22="",S22="",T22="",U22=""),"",SUM(P22,S22,T22,U22))</f>
        <v>836.40351179693573</v>
      </c>
      <c r="X22" s="239">
        <v>5</v>
      </c>
      <c r="Y22" s="240"/>
      <c r="Z22" s="225"/>
    </row>
    <row r="23" spans="1:29" ht="18" customHeight="1">
      <c r="A23" s="185">
        <v>107.82</v>
      </c>
      <c r="B23" s="206" t="s">
        <v>244</v>
      </c>
      <c r="C23" s="187" t="s">
        <v>43</v>
      </c>
      <c r="D23" s="262" t="s">
        <v>137</v>
      </c>
      <c r="E23" s="277">
        <v>32405</v>
      </c>
      <c r="F23" s="189"/>
      <c r="G23" s="212" t="s">
        <v>245</v>
      </c>
      <c r="H23" s="213">
        <v>-116</v>
      </c>
      <c r="I23" s="214">
        <v>-116</v>
      </c>
      <c r="J23" s="214">
        <v>-120</v>
      </c>
      <c r="K23" s="214" t="s">
        <v>48</v>
      </c>
      <c r="L23" s="214" t="s">
        <v>48</v>
      </c>
      <c r="M23" s="214" t="s">
        <v>48</v>
      </c>
      <c r="N23" s="209" t="str">
        <f>IF(MAX(H23:J23)&gt;0,IF(MAX(H23:J23)&lt;0,0,TRUNC(MAX(H23:J23)/1)*1),"")</f>
        <v/>
      </c>
      <c r="O23" s="210" t="str">
        <f>IF(MAX(K23:M23)&gt;0,IF(MAX(K23:M23)&lt;0,0,TRUNC(MAX(K23:M23)/1)*1),"")</f>
        <v/>
      </c>
      <c r="P23" s="211" t="str">
        <f>IF(N23="","",IF(O23="","",IF(SUM(N23:O23)=0,"",SUM(N23:O23))))</f>
        <v/>
      </c>
      <c r="Q23" s="223" t="str">
        <f>IF(P23="","",IF(A23="","",IF(OR(C23="UK",C23="JK",C23="SK",C23="K1",C23="K2",C23="K3",C23="K4",C23="K5",C23="K6",C23="K7",C23="K8",C23="K9",C23="K10"),IF(A23&gt;153.655,P23,IF(A23&lt;28,10^(0.783497476*LOG10(28/153.655)^2)*P23,10^(0.783497476*LOG10(A23/153.655)^2)*P23)),IF(A23&gt;175.508,P23,IF(A23&lt;32,10^(0.75194503*LOG10(32/175.508)^2)*P23,10^(0.75194503*LOG10(A23/175.508)^2)*P23)))))</f>
        <v/>
      </c>
      <c r="R23" s="224" t="str">
        <f>IF(OR(E23="",A23="",Z23="",Q23=""),"",IF(OR(C23="UM",C23="JM",C23="SM",C23="UK",C23="JK",C23="SK"),"",Q23*(IF(ABS(1900-YEAR((Z23+1)-E23))&lt;29,0,(VLOOKUP((YEAR(Z23)-YEAR(E23)),'Meltzer-Malone'!$A$3:$B$63,2))))))</f>
        <v/>
      </c>
      <c r="S23" s="174">
        <f>IF('K10'!G21="","",'K10'!G21)</f>
        <v>8.1199999999999992</v>
      </c>
      <c r="T23" s="174">
        <f>IF('K10'!K21="","",'K10'!K21)</f>
        <v>17.260000000000002</v>
      </c>
      <c r="U23" s="174">
        <f>IF('K10'!N21="","",'K10'!N21)</f>
        <v>6.65</v>
      </c>
      <c r="V23" s="163"/>
      <c r="W23" s="164"/>
      <c r="X23" s="175"/>
      <c r="Y23" s="176"/>
      <c r="Z23" s="225">
        <f>U5</f>
        <v>43358</v>
      </c>
    </row>
    <row r="24" spans="1:29" ht="18" customHeight="1">
      <c r="A24" s="165"/>
      <c r="B24" s="166"/>
      <c r="C24" s="167"/>
      <c r="D24" s="168"/>
      <c r="E24" s="215"/>
      <c r="F24" s="193"/>
      <c r="G24" s="216" t="s">
        <v>144</v>
      </c>
      <c r="H24" s="338"/>
      <c r="I24" s="339"/>
      <c r="J24" s="340"/>
      <c r="K24" s="341"/>
      <c r="L24" s="342"/>
      <c r="M24" s="343"/>
      <c r="N24" s="167"/>
      <c r="O24" s="171"/>
      <c r="P24" s="334" t="str">
        <f>IF(Q23="","",Q23*1.2)</f>
        <v/>
      </c>
      <c r="Q24" s="334"/>
      <c r="R24" s="222"/>
      <c r="S24" s="172">
        <f>IF(S23="","",S23*20)</f>
        <v>162.39999999999998</v>
      </c>
      <c r="T24" s="172">
        <f>IF(T23="","",T23*11)</f>
        <v>189.86</v>
      </c>
      <c r="U24" s="173">
        <f>IF(U23="","",IF((80+(8-ROUNDUP(U23,1))*40)&lt;0,0,80+(8-ROUNDUP(U23,1))*40))</f>
        <v>132.00000000000003</v>
      </c>
      <c r="V24" s="237">
        <f>IF(SUM(S24,T24,U24)&gt;0,SUM(S24,T24,U24),"")</f>
        <v>484.26</v>
      </c>
      <c r="W24" s="238" t="str">
        <f>IF(OR(P24="",S24="",T24="",U24=""),"",SUM(P24,S24,T24,U24))</f>
        <v/>
      </c>
      <c r="X24" s="239"/>
      <c r="Y24" s="240"/>
      <c r="Z24" s="225"/>
    </row>
    <row r="25" spans="1:29" ht="18" customHeight="1">
      <c r="A25" s="185"/>
      <c r="B25" s="206"/>
      <c r="C25" s="187"/>
      <c r="D25" s="262"/>
      <c r="E25" s="277"/>
      <c r="F25" s="189"/>
      <c r="G25" s="212"/>
      <c r="H25" s="213"/>
      <c r="I25" s="214"/>
      <c r="J25" s="214"/>
      <c r="K25" s="213"/>
      <c r="L25" s="214"/>
      <c r="M25" s="214"/>
      <c r="N25" s="209" t="str">
        <f>IF(MAX(H25:J25)&gt;0,IF(MAX(H25:J25)&lt;0,0,TRUNC(MAX(H25:J25)/1)*1),"")</f>
        <v/>
      </c>
      <c r="O25" s="210" t="str">
        <f>IF(MAX(K25:M25)&gt;0,IF(MAX(K25:M25)&lt;0,0,TRUNC(MAX(K25:M25)/1)*1),"")</f>
        <v/>
      </c>
      <c r="P25" s="211" t="str">
        <f>IF(N25="","",IF(O25="","",IF(SUM(N25:O25)=0,"",SUM(N25:O25))))</f>
        <v/>
      </c>
      <c r="Q25" s="223" t="str">
        <f>IF(P25="","",IF(A25="","",IF(OR(C25="UK",C25="JK",C25="SK",C25="K1",C25="K2",C25="K3",C25="K4",C25="K5",C25="K6",C25="K7",C25="K8",C25="K9",C25="K10"),IF(A25&gt;153.655,P25,IF(A25&lt;28,10^(0.783497476*LOG10(28/153.655)^2)*P25,10^(0.783497476*LOG10(A25/153.655)^2)*P25)),IF(A25&gt;175.508,P25,IF(A25&lt;32,10^(0.75194503*LOG10(32/175.508)^2)*P25,10^(0.75194503*LOG10(A25/175.508)^2)*P25)))))</f>
        <v/>
      </c>
      <c r="R25" s="224" t="str">
        <f>IF(OR(E25="",A25="",Z25="",Q25=""),"",IF(OR(C25="UM",C25="JM",C25="SM",C25="UK",C25="JK",C25="SK"),"",Q25*(IF(ABS(1900-YEAR((Z25+1)-E25))&lt;29,0,(VLOOKUP((YEAR(Z25)-YEAR(E25)),'Meltzer-Malone'!$A$3:$B$63,2))))))</f>
        <v/>
      </c>
      <c r="S25" s="174" t="str">
        <f>IF('K10'!G23="","",'K10'!G23)</f>
        <v/>
      </c>
      <c r="T25" s="174" t="str">
        <f>IF('K10'!K23="","",'K10'!K23)</f>
        <v/>
      </c>
      <c r="U25" s="174" t="str">
        <f>IF('K10'!N23="","",'K10'!N23)</f>
        <v/>
      </c>
      <c r="V25" s="163"/>
      <c r="W25" s="164"/>
      <c r="X25" s="175"/>
      <c r="Y25" s="176"/>
      <c r="Z25" s="225">
        <f>U5</f>
        <v>43358</v>
      </c>
    </row>
    <row r="26" spans="1:29" ht="18" customHeight="1">
      <c r="A26" s="165"/>
      <c r="B26" s="166"/>
      <c r="C26" s="167"/>
      <c r="D26" s="168"/>
      <c r="E26" s="215"/>
      <c r="F26" s="193"/>
      <c r="G26" s="216"/>
      <c r="H26" s="338"/>
      <c r="I26" s="339"/>
      <c r="J26" s="340"/>
      <c r="K26" s="341"/>
      <c r="L26" s="342"/>
      <c r="M26" s="343"/>
      <c r="N26" s="167"/>
      <c r="O26" s="171"/>
      <c r="P26" s="334" t="str">
        <f>IF(Q25="","",Q25*1.2)</f>
        <v/>
      </c>
      <c r="Q26" s="334"/>
      <c r="R26" s="222"/>
      <c r="S26" s="172" t="str">
        <f>IF(S25="","",S25*20)</f>
        <v/>
      </c>
      <c r="T26" s="172" t="str">
        <f>IF(T25="","",T25*11)</f>
        <v/>
      </c>
      <c r="U26" s="173" t="str">
        <f>IF(U25="","",IF((80+(8-ROUNDUP(U25,1))*40)&lt;0,0,80+(8-ROUNDUP(U25,1))*40))</f>
        <v/>
      </c>
      <c r="V26" s="237" t="str">
        <f>IF(SUM(S26,T26,U26)&gt;0,SUM(S26,T26,U26),"")</f>
        <v/>
      </c>
      <c r="W26" s="238" t="str">
        <f>IF(OR(P26="",S26="",T26="",U26=""),"",SUM(P26,S26,T26,U26))</f>
        <v/>
      </c>
      <c r="X26" s="239"/>
      <c r="Y26" s="240"/>
      <c r="Z26" s="225"/>
    </row>
    <row r="27" spans="1:29" ht="18" customHeight="1">
      <c r="A27" s="185"/>
      <c r="B27" s="186"/>
      <c r="C27" s="187"/>
      <c r="D27" s="206"/>
      <c r="E27" s="188"/>
      <c r="F27" s="189"/>
      <c r="G27" s="190"/>
      <c r="H27" s="207"/>
      <c r="I27" s="208"/>
      <c r="J27" s="208"/>
      <c r="K27" s="207"/>
      <c r="L27" s="208"/>
      <c r="M27" s="208"/>
      <c r="N27" s="209" t="str">
        <f>IF(MAX(H27:J27)&gt;0,IF(MAX(H27:J27)&lt;0,0,TRUNC(MAX(H27:J27)/1)*1),"")</f>
        <v/>
      </c>
      <c r="O27" s="210" t="str">
        <f>IF(MAX(K27:M27)&gt;0,IF(MAX(K27:M27)&lt;0,0,TRUNC(MAX(K27:M27)/1)*1),"")</f>
        <v/>
      </c>
      <c r="P27" s="211" t="str">
        <f>IF(N27="","",IF(O27="","",IF(SUM(N27:O27)=0,"",SUM(N27:O27))))</f>
        <v/>
      </c>
      <c r="Q27" s="223" t="str">
        <f>IF(P27="","",IF(A27="","",IF(OR(C27="UK",C27="JK",C27="SK",C27="K1",C27="K2",C27="K3",C27="K4",C27="K5",C27="K6",C27="K7",C27="K8",C27="K9",C27="K10"),IF(A27&gt;153.655,P27,IF(A27&lt;28,10^(0.783497476*LOG10(28/153.655)^2)*P27,10^(0.783497476*LOG10(A27/153.655)^2)*P27)),IF(A27&gt;175.508,P27,IF(A27&lt;32,10^(0.75194503*LOG10(32/175.508)^2)*P27,10^(0.75194503*LOG10(A27/175.508)^2)*P27)))))</f>
        <v/>
      </c>
      <c r="R27" s="224" t="str">
        <f>IF(OR(E27="",A27="",Z27="",Q27=""),"",IF(OR(C27="UM",C27="JM",C27="SM",C27="UK",C27="JK",C27="SK"),"",Q27*(IF(ABS(1900-YEAR((Z27+1)-E27))&lt;29,0,(VLOOKUP((YEAR(Z27)-YEAR(E27)),'Meltzer-Malone'!$A$3:$B$63,2))))))</f>
        <v/>
      </c>
      <c r="S27" s="174" t="str">
        <f>IF('K10'!G25="","",'K10'!G25)</f>
        <v/>
      </c>
      <c r="T27" s="174" t="str">
        <f>IF('K10'!K25="","",'K10'!K25)</f>
        <v/>
      </c>
      <c r="U27" s="174" t="str">
        <f>IF('K10'!N25="","",'K10'!N25)</f>
        <v/>
      </c>
      <c r="V27" s="163"/>
      <c r="W27" s="164"/>
      <c r="X27" s="175"/>
      <c r="Y27" s="176"/>
      <c r="Z27" s="225">
        <f>U5</f>
        <v>43358</v>
      </c>
    </row>
    <row r="28" spans="1:29" ht="18" customHeight="1">
      <c r="A28" s="165"/>
      <c r="B28" s="166"/>
      <c r="C28" s="167"/>
      <c r="D28" s="168"/>
      <c r="E28" s="169"/>
      <c r="F28" s="193"/>
      <c r="G28" s="170"/>
      <c r="H28" s="338"/>
      <c r="I28" s="342"/>
      <c r="J28" s="343"/>
      <c r="K28" s="341"/>
      <c r="L28" s="342"/>
      <c r="M28" s="343"/>
      <c r="N28" s="167"/>
      <c r="O28" s="171"/>
      <c r="P28" s="334" t="str">
        <f>IF(Q27="","",Q27*1.2)</f>
        <v/>
      </c>
      <c r="Q28" s="334"/>
      <c r="R28" s="222"/>
      <c r="S28" s="172" t="str">
        <f>IF(S27="","",S27*20)</f>
        <v/>
      </c>
      <c r="T28" s="172" t="str">
        <f>IF(T27="","",T27*11)</f>
        <v/>
      </c>
      <c r="U28" s="173" t="str">
        <f>IF(U27="","",IF((80+(8-ROUNDUP(U27,1))*40)&lt;0,0,80+(8-ROUNDUP(U27,1))*40))</f>
        <v/>
      </c>
      <c r="V28" s="237" t="str">
        <f>IF(SUM(S28,T28,U28)&gt;0,SUM(S28,T28,U28),"")</f>
        <v/>
      </c>
      <c r="W28" s="238" t="str">
        <f>IF(OR(P28="",S28="",T28="",U28=""),"",SUM(P28,S28,T28,U28))</f>
        <v/>
      </c>
      <c r="X28" s="239"/>
      <c r="Y28" s="240"/>
      <c r="Z28" s="226"/>
    </row>
    <row r="29" spans="1:29" ht="18" customHeight="1">
      <c r="A29" s="158"/>
      <c r="B29" s="206"/>
      <c r="C29" s="187"/>
      <c r="D29" s="187"/>
      <c r="E29" s="159"/>
      <c r="F29" s="159"/>
      <c r="G29" s="160"/>
      <c r="H29" s="161"/>
      <c r="I29" s="161"/>
      <c r="J29" s="161"/>
      <c r="K29" s="161"/>
      <c r="L29" s="161"/>
      <c r="M29" s="161"/>
      <c r="N29" s="209" t="str">
        <f>IF(MAX(H29:J29)&gt;0,IF(MAX(H29:J29)&lt;0,0,TRUNC(MAX(H29:J29)/1)*1),"")</f>
        <v/>
      </c>
      <c r="O29" s="210" t="str">
        <f>IF(MAX(K29:M29)&gt;0,IF(MAX(K29:M29)&lt;0,0,TRUNC(MAX(K29:M29)/1)*1),"")</f>
        <v/>
      </c>
      <c r="P29" s="211" t="str">
        <f>IF(N29="","",IF(O29="","",IF(SUM(N29:O29)=0,"",SUM(N29:O29))))</f>
        <v/>
      </c>
      <c r="Q29" s="223" t="str">
        <f>IF(P29="","",IF(A29="","",IF(OR(C29="UK",C29="JK",C29="SK",C29="K1",C29="K2",C29="K3",C29="K4",C29="K5",C29="K6",C29="K7",C29="K8",C29="K9",C29="K10"),IF(A29&gt;153.655,P29,IF(A29&lt;28,10^(0.783497476*LOG10(28/153.655)^2)*P29,10^(0.783497476*LOG10(A29/153.655)^2)*P29)),IF(A29&gt;175.508,P29,IF(A29&lt;32,10^(0.75194503*LOG10(32/175.508)^2)*P29,10^(0.75194503*LOG10(A29/175.508)^2)*P29)))))</f>
        <v/>
      </c>
      <c r="R29" s="224" t="str">
        <f>IF(OR(E29="",A29="",Z29="",Q29=""),"",IF(OR(C29="UM",C29="JM",C29="SM",C29="UK",C29="JK",C29="SK"),"",Q29*(IF(ABS(1900-YEAR((Z29+1)-E29))&lt;29,0,(VLOOKUP((YEAR(Z29)-YEAR(E29)),'Meltzer-Malone'!$A$3:$B$63,2))))))</f>
        <v/>
      </c>
      <c r="S29" s="174" t="str">
        <f>IF('K10'!G27="","",'K10'!G27)</f>
        <v/>
      </c>
      <c r="T29" s="174" t="str">
        <f>IF('K10'!K27="","",'K10'!K27)</f>
        <v/>
      </c>
      <c r="U29" s="174" t="str">
        <f>IF('K10'!N27="","",'K10'!N27)</f>
        <v/>
      </c>
      <c r="V29" s="163"/>
      <c r="W29" s="164"/>
      <c r="X29" s="175"/>
      <c r="Y29" s="176"/>
      <c r="Z29" s="225">
        <f>U5</f>
        <v>43358</v>
      </c>
    </row>
    <row r="30" spans="1:29" ht="18" customHeight="1">
      <c r="A30" s="165"/>
      <c r="B30" s="166"/>
      <c r="C30" s="167"/>
      <c r="D30" s="168"/>
      <c r="E30" s="169"/>
      <c r="F30" s="169"/>
      <c r="G30" s="170"/>
      <c r="H30" s="333"/>
      <c r="I30" s="334"/>
      <c r="J30" s="335"/>
      <c r="K30" s="333"/>
      <c r="L30" s="334"/>
      <c r="M30" s="335"/>
      <c r="N30" s="167"/>
      <c r="O30" s="171"/>
      <c r="P30" s="334" t="str">
        <f>IF(Q29="","",Q29*1.2)</f>
        <v/>
      </c>
      <c r="Q30" s="334"/>
      <c r="R30" s="222"/>
      <c r="S30" s="172" t="str">
        <f>IF(S29="","",S29*20)</f>
        <v/>
      </c>
      <c r="T30" s="172" t="str">
        <f>IF(T29="","",T29*11)</f>
        <v/>
      </c>
      <c r="U30" s="173" t="str">
        <f>IF(U29="","",IF((80+(8-ROUNDUP(U29,1))*40)&lt;0,0,80+(8-ROUNDUP(U29,1))*40))</f>
        <v/>
      </c>
      <c r="V30" s="237" t="str">
        <f>IF(SUM(S30,T30,U30)&gt;0,SUM(S30,T30,U30),"")</f>
        <v/>
      </c>
      <c r="W30" s="238" t="str">
        <f>IF(OR(P30="",S30="",T30="",U30=""),"",SUM(P30,S30,T30,U30))</f>
        <v/>
      </c>
      <c r="X30" s="239"/>
      <c r="Y30" s="240"/>
      <c r="Z30" s="225"/>
    </row>
    <row r="31" spans="1:29" ht="18" customHeight="1">
      <c r="A31" s="158"/>
      <c r="B31" s="206"/>
      <c r="C31" s="187"/>
      <c r="D31" s="187"/>
      <c r="E31" s="159"/>
      <c r="F31" s="159"/>
      <c r="G31" s="160"/>
      <c r="H31" s="161"/>
      <c r="I31" s="161"/>
      <c r="J31" s="161"/>
      <c r="K31" s="161"/>
      <c r="L31" s="161"/>
      <c r="M31" s="161"/>
      <c r="N31" s="209" t="str">
        <f>IF(MAX(H31:J31)&gt;0,IF(MAX(H31:J31)&lt;0,0,TRUNC(MAX(H31:J31)/1)*1),"")</f>
        <v/>
      </c>
      <c r="O31" s="210" t="str">
        <f>IF(MAX(K31:M31)&gt;0,IF(MAX(K31:M31)&lt;0,0,TRUNC(MAX(K31:M31)/1)*1),"")</f>
        <v/>
      </c>
      <c r="P31" s="211" t="str">
        <f>IF(N31="","",IF(O31="","",IF(SUM(N31:O31)=0,"",SUM(N31:O31))))</f>
        <v/>
      </c>
      <c r="Q31" s="223" t="str">
        <f>IF(P31="","",IF(A31="","",IF(OR(C31="UK",C31="JK",C31="SK",C31="K1",C31="K2",C31="K3",C31="K4",C31="K5",C31="K6",C31="K7",C31="K8",C31="K9",C31="K10"),IF(A31&gt;153.655,P31,IF(A31&lt;28,10^(0.783497476*LOG10(28/153.655)^2)*P31,10^(0.783497476*LOG10(A31/153.655)^2)*P31)),IF(A31&gt;175.508,P31,IF(A31&lt;32,10^(0.75194503*LOG10(32/175.508)^2)*P31,10^(0.75194503*LOG10(A31/175.508)^2)*P31)))))</f>
        <v/>
      </c>
      <c r="R31" s="224" t="str">
        <f>IF(OR(E31="",A31="",Z31="",Q31=""),"",IF(OR(C31="UM",C31="JM",C31="SM",C31="UK",C31="JK",C31="SK"),"",Q31*(IF(ABS(1900-YEAR((Z31+1)-E31))&lt;29,0,(VLOOKUP((YEAR(Z31)-YEAR(E31)),'Meltzer-Malone'!$A$3:$B$63,2))))))</f>
        <v/>
      </c>
      <c r="S31" s="174" t="str">
        <f>IF('K10'!G29="","",'K10'!G29)</f>
        <v/>
      </c>
      <c r="T31" s="174" t="str">
        <f>IF('K10'!K29="","",'K10'!K29)</f>
        <v/>
      </c>
      <c r="U31" s="174" t="str">
        <f>IF('K10'!N29="","",'K10'!N29)</f>
        <v/>
      </c>
      <c r="V31" s="163"/>
      <c r="W31" s="164"/>
      <c r="X31" s="175"/>
      <c r="Y31" s="176"/>
      <c r="Z31" s="225">
        <f>U5</f>
        <v>43358</v>
      </c>
    </row>
    <row r="32" spans="1:29" ht="18" customHeight="1" thickBot="1">
      <c r="A32" s="177"/>
      <c r="B32" s="178"/>
      <c r="C32" s="179"/>
      <c r="D32" s="180"/>
      <c r="E32" s="181"/>
      <c r="F32" s="181"/>
      <c r="G32" s="182"/>
      <c r="H32" s="330"/>
      <c r="I32" s="331"/>
      <c r="J32" s="332"/>
      <c r="K32" s="330"/>
      <c r="L32" s="331"/>
      <c r="M32" s="332"/>
      <c r="N32" s="307"/>
      <c r="O32" s="308"/>
      <c r="P32" s="331" t="str">
        <f>IF(Q31="","",Q31*1.2)</f>
        <v/>
      </c>
      <c r="Q32" s="331"/>
      <c r="R32" s="309"/>
      <c r="S32" s="183" t="str">
        <f>IF(S31="","",S31*20)</f>
        <v/>
      </c>
      <c r="T32" s="183" t="str">
        <f>IF(T31="","",T31*11)</f>
        <v/>
      </c>
      <c r="U32" s="184" t="str">
        <f>IF(U31="","",IF((80+(8-ROUNDUP(U31,1))*40)&lt;0,0,80+(8-ROUNDUP(U31,1))*40))</f>
        <v/>
      </c>
      <c r="V32" s="184" t="str">
        <f>IF(SUM(S32,T32,U32)&gt;0,SUM(S32,T32,U32),"")</f>
        <v/>
      </c>
      <c r="W32" s="257" t="str">
        <f>IF(OR(P32="",S32="",T32="",U32=""),"",SUM(P32,S32,T32,U32))</f>
        <v/>
      </c>
      <c r="X32" s="258"/>
      <c r="Y32" s="259"/>
      <c r="Z32" s="225"/>
    </row>
    <row r="33" spans="1:25" ht="14.1">
      <c r="A33" s="429"/>
      <c r="B33" s="429"/>
      <c r="C33" s="429"/>
      <c r="D33" s="430"/>
      <c r="E33" s="431"/>
      <c r="F33" s="431"/>
      <c r="G33" s="432"/>
      <c r="H33" s="433"/>
      <c r="I33" s="433"/>
      <c r="J33" s="433"/>
      <c r="K33" s="433"/>
      <c r="L33" s="433"/>
      <c r="M33" s="433"/>
      <c r="N33" s="429"/>
      <c r="O33" s="429"/>
      <c r="P33" s="429"/>
      <c r="Q33" s="429"/>
      <c r="R33" s="429"/>
      <c r="S33" s="433"/>
      <c r="T33" s="433"/>
      <c r="U33" s="434"/>
      <c r="V33" s="434"/>
      <c r="W33" s="435"/>
      <c r="X33" s="436"/>
      <c r="Y33" s="437"/>
    </row>
    <row r="34" spans="1:25" s="7" customFormat="1" ht="14.1">
      <c r="A34" s="7" t="s">
        <v>50</v>
      </c>
      <c r="B34"/>
      <c r="C34" s="317" t="s">
        <v>51</v>
      </c>
      <c r="D34" s="317"/>
      <c r="E34" s="317"/>
      <c r="F34" s="317"/>
      <c r="G34" s="317"/>
      <c r="H34" s="328" t="s">
        <v>115</v>
      </c>
      <c r="I34" s="328"/>
      <c r="J34" s="134">
        <v>1</v>
      </c>
      <c r="K34" s="317" t="s">
        <v>246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s="7" customFormat="1" ht="14.1">
      <c r="B35"/>
      <c r="C35" s="327"/>
      <c r="D35" s="327"/>
      <c r="E35" s="327"/>
      <c r="F35" s="327"/>
      <c r="G35" s="327"/>
      <c r="H35" s="328"/>
      <c r="I35" s="328"/>
      <c r="J35" s="134">
        <v>2</v>
      </c>
      <c r="K35" s="317" t="s">
        <v>193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s="7" customFormat="1" ht="14.1">
      <c r="A36" s="7" t="s">
        <v>55</v>
      </c>
      <c r="B36"/>
      <c r="C36" s="317"/>
      <c r="D36" s="317"/>
      <c r="E36" s="317"/>
      <c r="F36" s="317"/>
      <c r="G36" s="317"/>
      <c r="H36" s="329"/>
      <c r="I36" s="329"/>
      <c r="J36" s="134">
        <v>3</v>
      </c>
      <c r="K36" s="317" t="s">
        <v>247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s="5" customFormat="1" ht="14.1">
      <c r="A37" s="6"/>
      <c r="B37"/>
      <c r="C37" s="317"/>
      <c r="D37" s="317"/>
      <c r="E37" s="317"/>
      <c r="F37" s="317"/>
      <c r="G37" s="317"/>
      <c r="H37" s="32"/>
      <c r="I37" s="30"/>
      <c r="J37" s="135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s="5" customFormat="1" ht="14.1">
      <c r="A38" s="7"/>
      <c r="B38"/>
      <c r="C38" s="317"/>
      <c r="D38" s="317"/>
      <c r="E38" s="317"/>
      <c r="F38" s="317"/>
      <c r="G38" s="317"/>
      <c r="H38" s="136" t="s">
        <v>57</v>
      </c>
      <c r="I38" s="301"/>
      <c r="J38" s="43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s="5" customFormat="1" ht="14.1">
      <c r="A39" s="2"/>
      <c r="B39" s="2"/>
      <c r="C39" s="30"/>
      <c r="D39" s="31"/>
      <c r="E39" s="31"/>
      <c r="F39" s="31"/>
      <c r="G39" s="32"/>
      <c r="H39" s="136" t="s">
        <v>58</v>
      </c>
      <c r="I39" s="301"/>
      <c r="J39" s="47"/>
      <c r="K39" s="317" t="s">
        <v>248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s="5" customFormat="1" ht="14.1">
      <c r="A40" s="7" t="s">
        <v>60</v>
      </c>
      <c r="B40"/>
      <c r="C40" s="318" t="s">
        <v>196</v>
      </c>
      <c r="D40" s="318"/>
      <c r="E40" s="318"/>
      <c r="F40" s="318"/>
      <c r="G40" s="318"/>
      <c r="H40" s="136" t="s">
        <v>62</v>
      </c>
      <c r="I40" s="301"/>
      <c r="J40" s="137"/>
      <c r="K40" s="317" t="s">
        <v>64</v>
      </c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s="5" customFormat="1" ht="14.1">
      <c r="A41" s="2"/>
      <c r="B41" s="2"/>
      <c r="C41" s="326" t="s">
        <v>64</v>
      </c>
      <c r="D41" s="326"/>
      <c r="E41" s="326"/>
      <c r="F41" s="326"/>
      <c r="G41" s="326"/>
      <c r="H41" s="136"/>
      <c r="I41" s="311"/>
      <c r="J41" s="138"/>
      <c r="K41" s="2"/>
      <c r="L41" s="2"/>
      <c r="M41" s="2"/>
      <c r="N41" s="2"/>
      <c r="O41" s="2"/>
      <c r="P41" s="2"/>
      <c r="Q41" s="2"/>
      <c r="R41" s="2"/>
      <c r="S41" s="40"/>
      <c r="T41" s="40"/>
      <c r="U41" s="40"/>
      <c r="V41" s="40"/>
    </row>
    <row r="42" spans="1:25" s="5" customFormat="1" ht="14.1">
      <c r="A42" s="311" t="s">
        <v>65</v>
      </c>
      <c r="B42" s="139"/>
      <c r="C42" s="317" t="s">
        <v>151</v>
      </c>
      <c r="D42" s="317"/>
      <c r="E42" s="317"/>
      <c r="F42" s="317"/>
      <c r="G42" s="317"/>
      <c r="H42" s="136" t="s">
        <v>66</v>
      </c>
      <c r="I42" s="301"/>
      <c r="J42" s="43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s="5" customFormat="1" ht="14.1">
      <c r="A43" s="2"/>
      <c r="B43" s="2"/>
      <c r="C43" s="317"/>
      <c r="D43" s="317"/>
      <c r="E43" s="317"/>
      <c r="F43" s="317"/>
      <c r="G43" s="317"/>
      <c r="H43" s="136"/>
      <c r="I43" s="301"/>
      <c r="J43" s="138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s="5" customFormat="1" ht="14.1">
      <c r="A44" s="139" t="s">
        <v>68</v>
      </c>
      <c r="B44" s="139"/>
      <c r="C44" s="33" t="s">
        <v>69</v>
      </c>
      <c r="D44" s="34"/>
      <c r="E44" s="34"/>
      <c r="F44" s="34"/>
      <c r="G44" s="35"/>
      <c r="I44" s="301"/>
      <c r="J44" s="13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</row>
    <row r="45" spans="1:25" s="5" customFormat="1" ht="14.1">
      <c r="A45" s="140"/>
      <c r="B45" s="140"/>
      <c r="C45" s="33"/>
      <c r="D45" s="31"/>
      <c r="E45" s="31"/>
      <c r="F45" s="31"/>
      <c r="G45" s="32"/>
      <c r="I45" s="301"/>
      <c r="J45" s="13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</row>
    <row r="46" spans="1:25" s="5" customFormat="1" ht="14.1">
      <c r="A46" s="2"/>
      <c r="B46" s="2"/>
      <c r="C46" s="3"/>
      <c r="D46" s="4"/>
      <c r="E46" s="4"/>
      <c r="F46" s="4"/>
      <c r="I46" s="301"/>
      <c r="J46" s="13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</row>
    <row r="47" spans="1:25">
      <c r="A47" s="36"/>
      <c r="B47" s="36"/>
      <c r="C47" s="36"/>
      <c r="D47" s="36"/>
      <c r="E47" s="36"/>
      <c r="F47" s="36"/>
      <c r="H47" s="36"/>
      <c r="I47" s="36"/>
      <c r="J47" s="43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</sheetData>
  <mergeCells count="74">
    <mergeCell ref="X5:Y5"/>
    <mergeCell ref="G2:Q2"/>
    <mergeCell ref="G3:Q3"/>
    <mergeCell ref="A5:B5"/>
    <mergeCell ref="C5:G5"/>
    <mergeCell ref="H5:I5"/>
    <mergeCell ref="J5:N5"/>
    <mergeCell ref="P5:S5"/>
    <mergeCell ref="U5:V5"/>
    <mergeCell ref="H7:J7"/>
    <mergeCell ref="K7:M7"/>
    <mergeCell ref="N7:Q7"/>
    <mergeCell ref="H8:J8"/>
    <mergeCell ref="K8:M8"/>
    <mergeCell ref="H10:J10"/>
    <mergeCell ref="K10:M10"/>
    <mergeCell ref="P10:Q10"/>
    <mergeCell ref="H12:J12"/>
    <mergeCell ref="K12:M12"/>
    <mergeCell ref="P12:Q12"/>
    <mergeCell ref="H14:J14"/>
    <mergeCell ref="K14:M14"/>
    <mergeCell ref="P14:Q14"/>
    <mergeCell ref="H16:J16"/>
    <mergeCell ref="K16:M16"/>
    <mergeCell ref="P16:Q16"/>
    <mergeCell ref="H18:J18"/>
    <mergeCell ref="K18:M18"/>
    <mergeCell ref="P18:Q18"/>
    <mergeCell ref="H20:J20"/>
    <mergeCell ref="K20:M20"/>
    <mergeCell ref="P20:Q20"/>
    <mergeCell ref="H22:J22"/>
    <mergeCell ref="K22:M22"/>
    <mergeCell ref="P22:Q22"/>
    <mergeCell ref="H24:J24"/>
    <mergeCell ref="K24:M24"/>
    <mergeCell ref="P24:Q24"/>
    <mergeCell ref="H26:J26"/>
    <mergeCell ref="K26:M26"/>
    <mergeCell ref="P26:Q26"/>
    <mergeCell ref="H28:J28"/>
    <mergeCell ref="K28:M28"/>
    <mergeCell ref="P28:Q28"/>
    <mergeCell ref="H30:J30"/>
    <mergeCell ref="K30:M30"/>
    <mergeCell ref="P30:Q30"/>
    <mergeCell ref="H32:J32"/>
    <mergeCell ref="K32:M32"/>
    <mergeCell ref="P32:Q32"/>
    <mergeCell ref="C38:G38"/>
    <mergeCell ref="K38:Y38"/>
    <mergeCell ref="C34:G34"/>
    <mergeCell ref="H34:I34"/>
    <mergeCell ref="K34:Y34"/>
    <mergeCell ref="C35:G35"/>
    <mergeCell ref="H35:I35"/>
    <mergeCell ref="K35:Y35"/>
    <mergeCell ref="C36:G36"/>
    <mergeCell ref="H36:I36"/>
    <mergeCell ref="K36:Y36"/>
    <mergeCell ref="C37:G37"/>
    <mergeCell ref="K37:Y37"/>
    <mergeCell ref="K39:Y39"/>
    <mergeCell ref="C40:G40"/>
    <mergeCell ref="K40:Y40"/>
    <mergeCell ref="C41:G41"/>
    <mergeCell ref="C42:G42"/>
    <mergeCell ref="K42:Y42"/>
    <mergeCell ref="C43:G43"/>
    <mergeCell ref="K43:Y43"/>
    <mergeCell ref="K44:Y44"/>
    <mergeCell ref="K45:Y45"/>
    <mergeCell ref="K46:Y46"/>
  </mergeCells>
  <conditionalFormatting sqref="H31:M31 H29:M29">
    <cfRule type="cellIs" dxfId="59" priority="97" stopIfTrue="1" operator="between">
      <formula>1</formula>
      <formula>300</formula>
    </cfRule>
    <cfRule type="cellIs" dxfId="58" priority="98" stopIfTrue="1" operator="lessThanOrEqual">
      <formula>0</formula>
    </cfRule>
  </conditionalFormatting>
  <conditionalFormatting sqref="K9:M9">
    <cfRule type="cellIs" dxfId="57" priority="27" stopIfTrue="1" operator="between">
      <formula>1</formula>
      <formula>300</formula>
    </cfRule>
    <cfRule type="cellIs" dxfId="56" priority="28" stopIfTrue="1" operator="lessThanOrEqual">
      <formula>0</formula>
    </cfRule>
  </conditionalFormatting>
  <conditionalFormatting sqref="H27:M27">
    <cfRule type="cellIs" dxfId="55" priority="95" stopIfTrue="1" operator="between">
      <formula>1</formula>
      <formula>300</formula>
    </cfRule>
    <cfRule type="cellIs" dxfId="54" priority="96" stopIfTrue="1" operator="lessThanOrEqual">
      <formula>0</formula>
    </cfRule>
  </conditionalFormatting>
  <conditionalFormatting sqref="K15:M15">
    <cfRule type="cellIs" dxfId="53" priority="19" stopIfTrue="1" operator="between">
      <formula>1</formula>
      <formula>300</formula>
    </cfRule>
    <cfRule type="cellIs" dxfId="52" priority="20" stopIfTrue="1" operator="lessThanOrEqual">
      <formula>0</formula>
    </cfRule>
  </conditionalFormatting>
  <conditionalFormatting sqref="K21:M21">
    <cfRule type="cellIs" dxfId="51" priority="17" stopIfTrue="1" operator="between">
      <formula>1</formula>
      <formula>300</formula>
    </cfRule>
    <cfRule type="cellIs" dxfId="50" priority="18" stopIfTrue="1" operator="lessThanOrEqual">
      <formula>0</formula>
    </cfRule>
  </conditionalFormatting>
  <conditionalFormatting sqref="K19:M19">
    <cfRule type="cellIs" dxfId="49" priority="25" stopIfTrue="1" operator="between">
      <formula>1</formula>
      <formula>300</formula>
    </cfRule>
    <cfRule type="cellIs" dxfId="48" priority="26" stopIfTrue="1" operator="lessThanOrEqual">
      <formula>0</formula>
    </cfRule>
  </conditionalFormatting>
  <conditionalFormatting sqref="H25:M25">
    <cfRule type="cellIs" dxfId="47" priority="39" stopIfTrue="1" operator="between">
      <formula>1</formula>
      <formula>300</formula>
    </cfRule>
    <cfRule type="cellIs" dxfId="46" priority="40" stopIfTrue="1" operator="lessThanOrEqual">
      <formula>0</formula>
    </cfRule>
  </conditionalFormatting>
  <conditionalFormatting sqref="K23:M23">
    <cfRule type="cellIs" dxfId="45" priority="21" stopIfTrue="1" operator="between">
      <formula>1</formula>
      <formula>300</formula>
    </cfRule>
    <cfRule type="cellIs" dxfId="44" priority="22" stopIfTrue="1" operator="lessThanOrEqual">
      <formula>0</formula>
    </cfRule>
  </conditionalFormatting>
  <conditionalFormatting sqref="K11:M11">
    <cfRule type="cellIs" dxfId="43" priority="31" stopIfTrue="1" operator="between">
      <formula>1</formula>
      <formula>300</formula>
    </cfRule>
    <cfRule type="cellIs" dxfId="42" priority="32" stopIfTrue="1" operator="lessThanOrEqual">
      <formula>0</formula>
    </cfRule>
  </conditionalFormatting>
  <conditionalFormatting sqref="K17:M17">
    <cfRule type="cellIs" dxfId="41" priority="29" stopIfTrue="1" operator="between">
      <formula>1</formula>
      <formula>300</formula>
    </cfRule>
    <cfRule type="cellIs" dxfId="40" priority="30" stopIfTrue="1" operator="lessThanOrEqual">
      <formula>0</formula>
    </cfRule>
  </conditionalFormatting>
  <conditionalFormatting sqref="K13:M13">
    <cfRule type="cellIs" dxfId="39" priority="23" stopIfTrue="1" operator="between">
      <formula>1</formula>
      <formula>300</formula>
    </cfRule>
    <cfRule type="cellIs" dxfId="38" priority="24" stopIfTrue="1" operator="lessThanOrEqual">
      <formula>0</formula>
    </cfRule>
  </conditionalFormatting>
  <conditionalFormatting sqref="H9:J9">
    <cfRule type="cellIs" dxfId="37" priority="11" stopIfTrue="1" operator="between">
      <formula>1</formula>
      <formula>300</formula>
    </cfRule>
    <cfRule type="cellIs" dxfId="36" priority="12" stopIfTrue="1" operator="lessThanOrEqual">
      <formula>0</formula>
    </cfRule>
  </conditionalFormatting>
  <conditionalFormatting sqref="H15:J15">
    <cfRule type="cellIs" dxfId="35" priority="3" stopIfTrue="1" operator="between">
      <formula>1</formula>
      <formula>300</formula>
    </cfRule>
    <cfRule type="cellIs" dxfId="34" priority="4" stopIfTrue="1" operator="lessThanOrEqual">
      <formula>0</formula>
    </cfRule>
  </conditionalFormatting>
  <conditionalFormatting sqref="H21:J21">
    <cfRule type="cellIs" dxfId="33" priority="1" stopIfTrue="1" operator="between">
      <formula>1</formula>
      <formula>300</formula>
    </cfRule>
    <cfRule type="cellIs" dxfId="32" priority="2" stopIfTrue="1" operator="lessThanOrEqual">
      <formula>0</formula>
    </cfRule>
  </conditionalFormatting>
  <conditionalFormatting sqref="H19:J19">
    <cfRule type="cellIs" dxfId="31" priority="9" stopIfTrue="1" operator="between">
      <formula>1</formula>
      <formula>300</formula>
    </cfRule>
    <cfRule type="cellIs" dxfId="30" priority="10" stopIfTrue="1" operator="lessThanOrEqual">
      <formula>0</formula>
    </cfRule>
  </conditionalFormatting>
  <conditionalFormatting sqref="H23:J23">
    <cfRule type="cellIs" dxfId="29" priority="5" stopIfTrue="1" operator="between">
      <formula>1</formula>
      <formula>300</formula>
    </cfRule>
    <cfRule type="cellIs" dxfId="28" priority="6" stopIfTrue="1" operator="lessThanOrEqual">
      <formula>0</formula>
    </cfRule>
  </conditionalFormatting>
  <conditionalFormatting sqref="H11:J11">
    <cfRule type="cellIs" dxfId="27" priority="15" stopIfTrue="1" operator="between">
      <formula>1</formula>
      <formula>300</formula>
    </cfRule>
    <cfRule type="cellIs" dxfId="26" priority="16" stopIfTrue="1" operator="lessThanOrEqual">
      <formula>0</formula>
    </cfRule>
  </conditionalFormatting>
  <conditionalFormatting sqref="H17:J17">
    <cfRule type="cellIs" dxfId="25" priority="13" stopIfTrue="1" operator="between">
      <formula>1</formula>
      <formula>300</formula>
    </cfRule>
    <cfRule type="cellIs" dxfId="24" priority="14" stopIfTrue="1" operator="lessThanOrEqual">
      <formula>0</formula>
    </cfRule>
  </conditionalFormatting>
  <conditionalFormatting sqref="H13:J13">
    <cfRule type="cellIs" dxfId="23" priority="7" stopIfTrue="1" operator="between">
      <formula>1</formula>
      <formula>300</formula>
    </cfRule>
    <cfRule type="cellIs" dxfId="22" priority="8" stopIfTrue="1" operator="lessThanOrEqual">
      <formula>0</formula>
    </cfRule>
  </conditionalFormatting>
  <dataValidations count="3">
    <dataValidation type="list" allowBlank="1" showInputMessage="1" showErrorMessage="1" errorTitle="Feil_i_vektklasse" error="Feil verdi i vektklasse" sqref="B25 B27 B29 B31 B9 B11 B13 B15 B17 B19 B21 B23" xr:uid="{00000000-0002-0000-0900-000000000000}">
      <formula1>"44,48,53,58,63,69,+69,'+69,69+,75,+75,'+75,75,50,56,62,69,77,85,94,+94,'+94,94+,105,+105,'+105,105+"</formula1>
    </dataValidation>
    <dataValidation type="list" allowBlank="1" showInputMessage="1" showErrorMessage="1" errorTitle="Feil _i_kat.v.løft" error="Feil verdi i kategori vektløfting" sqref="C25 C27 C29 C31 C9 C11 C13 C15 C17 C19 C21 C23" xr:uid="{00000000-0002-0000-0900-000001000000}">
      <formula1>"UM,JM,SM,UK,JK,SK,M1,M2,M3,M4,M5,M6,M8,M9,M10,K1,K2,K3,K4,K5,K6,K7,K8,K9,K10"</formula1>
    </dataValidation>
    <dataValidation type="list" allowBlank="1" showInputMessage="1" showErrorMessage="1" errorTitle="Feil_i_kat.5-kamp" error="Feil verdi i kategori 5-kamp" sqref="D25 D27 D29 D31 D9 D11 D13 D15 D17 D19 D21 D23" xr:uid="{00000000-0002-0000-0900-000002000000}">
      <formula1>"11-12,13-14,15-16,17-18,+18,'+18,18+"</formula1>
    </dataValidation>
  </dataValidations>
  <pageMargins left="0.27559055118110237" right="0.27559055118110237" top="0.27559055118110237" bottom="0.27559055118110237" header="0.51181102362204722" footer="0.51181102362204722"/>
  <pageSetup paperSize="9" scale="66" orientation="landscape" horizontalDpi="300" verticalDpi="300" copies="2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55"/>
  <sheetViews>
    <sheetView showGridLines="0" showRowColHeaders="0" showZeros="0" topLeftCell="A8" workbookViewId="0">
      <selection activeCell="A9" sqref="A9"/>
    </sheetView>
  </sheetViews>
  <sheetFormatPr defaultColWidth="8.85546875" defaultRowHeight="12.95"/>
  <cols>
    <col min="1" max="1" width="7.85546875" customWidth="1"/>
    <col min="2" max="2" width="6.85546875" customWidth="1"/>
    <col min="3" max="3" width="5.5703125" customWidth="1"/>
    <col min="4" max="4" width="7.5703125" customWidth="1"/>
    <col min="5" max="5" width="10.42578125" customWidth="1"/>
    <col min="6" max="6" width="3.85546875" customWidth="1"/>
    <col min="7" max="7" width="27.5703125" customWidth="1"/>
    <col min="8" max="16" width="6.5703125" customWidth="1"/>
    <col min="17" max="18" width="8.85546875" customWidth="1"/>
    <col min="19" max="20" width="8.5703125" customWidth="1"/>
    <col min="21" max="21" width="9.85546875" customWidth="1"/>
    <col min="22" max="23" width="8.5703125" customWidth="1"/>
    <col min="24" max="24" width="4.42578125" customWidth="1"/>
    <col min="25" max="25" width="5.5703125" customWidth="1"/>
    <col min="26" max="26" width="0" hidden="1" customWidth="1"/>
  </cols>
  <sheetData>
    <row r="1" spans="1:29">
      <c r="A1" s="36"/>
      <c r="B1" s="36"/>
      <c r="C1" s="36"/>
      <c r="D1" s="36"/>
      <c r="E1" s="36"/>
      <c r="F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9" ht="72.75" customHeight="1">
      <c r="A2" s="36"/>
      <c r="B2" s="36"/>
      <c r="C2" s="36"/>
      <c r="D2" s="36"/>
      <c r="E2" s="36"/>
      <c r="F2" s="36"/>
      <c r="G2" s="346" t="s">
        <v>70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02"/>
      <c r="S2" s="36"/>
      <c r="T2" s="36"/>
      <c r="U2" s="36"/>
      <c r="V2" s="36"/>
      <c r="W2" s="36"/>
      <c r="X2" s="36"/>
      <c r="Y2" s="36"/>
    </row>
    <row r="3" spans="1:29" ht="27.95">
      <c r="A3" s="36"/>
      <c r="B3" s="36"/>
      <c r="C3" s="36"/>
      <c r="D3" s="36"/>
      <c r="E3" s="36"/>
      <c r="F3" s="36"/>
      <c r="G3" s="320" t="s">
        <v>1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00"/>
      <c r="S3" s="36"/>
      <c r="T3" s="36"/>
      <c r="U3" s="36"/>
      <c r="V3" s="36"/>
      <c r="W3" s="36"/>
      <c r="X3" s="36"/>
      <c r="Y3" s="36"/>
    </row>
    <row r="4" spans="1:29">
      <c r="A4" s="36"/>
      <c r="B4" s="36"/>
      <c r="C4" s="36"/>
      <c r="D4" s="36"/>
      <c r="E4" s="36"/>
      <c r="F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9" ht="15" customHeight="1">
      <c r="A5" s="344" t="s">
        <v>2</v>
      </c>
      <c r="B5" s="344"/>
      <c r="C5" s="321" t="s">
        <v>3</v>
      </c>
      <c r="D5" s="321"/>
      <c r="E5" s="321"/>
      <c r="F5" s="321"/>
      <c r="G5" s="321"/>
      <c r="H5" s="344" t="s">
        <v>4</v>
      </c>
      <c r="I5" s="344"/>
      <c r="J5" s="321" t="s">
        <v>5</v>
      </c>
      <c r="K5" s="321"/>
      <c r="L5" s="321"/>
      <c r="M5" s="321"/>
      <c r="N5" s="321"/>
      <c r="O5" s="306" t="s">
        <v>6</v>
      </c>
      <c r="P5" s="345" t="s">
        <v>7</v>
      </c>
      <c r="Q5" s="345"/>
      <c r="R5" s="345"/>
      <c r="S5" s="345"/>
      <c r="T5" s="306" t="s">
        <v>8</v>
      </c>
      <c r="U5" s="325">
        <v>43358</v>
      </c>
      <c r="V5" s="325"/>
      <c r="W5" s="52" t="s">
        <v>9</v>
      </c>
      <c r="X5" s="321" t="s">
        <v>249</v>
      </c>
      <c r="Y5" s="321"/>
    </row>
    <row r="6" spans="1:29" ht="13.5" thickBot="1">
      <c r="A6" s="53"/>
      <c r="B6" s="53"/>
      <c r="C6" s="53"/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5"/>
      <c r="X6" s="53"/>
      <c r="Y6" s="53"/>
    </row>
    <row r="7" spans="1:29">
      <c r="A7" s="56" t="s">
        <v>12</v>
      </c>
      <c r="B7" s="57" t="s">
        <v>11</v>
      </c>
      <c r="C7" s="314" t="s">
        <v>72</v>
      </c>
      <c r="D7" s="58" t="s">
        <v>72</v>
      </c>
      <c r="E7" s="313" t="s">
        <v>14</v>
      </c>
      <c r="F7" s="313" t="s">
        <v>73</v>
      </c>
      <c r="G7" s="313" t="s">
        <v>15</v>
      </c>
      <c r="H7" s="356" t="s">
        <v>17</v>
      </c>
      <c r="I7" s="357"/>
      <c r="J7" s="358"/>
      <c r="K7" s="356" t="s">
        <v>18</v>
      </c>
      <c r="L7" s="357"/>
      <c r="M7" s="358"/>
      <c r="N7" s="359" t="s">
        <v>74</v>
      </c>
      <c r="O7" s="360"/>
      <c r="P7" s="360"/>
      <c r="Q7" s="360"/>
      <c r="R7" s="227" t="s">
        <v>21</v>
      </c>
      <c r="S7" s="57" t="s">
        <v>75</v>
      </c>
      <c r="T7" s="57" t="s">
        <v>76</v>
      </c>
      <c r="U7" s="57" t="s">
        <v>77</v>
      </c>
      <c r="V7" s="313" t="s">
        <v>78</v>
      </c>
      <c r="W7" s="59" t="s">
        <v>79</v>
      </c>
      <c r="X7" s="59" t="s">
        <v>80</v>
      </c>
      <c r="Y7" s="60" t="s">
        <v>81</v>
      </c>
    </row>
    <row r="8" spans="1:29" ht="13.5" thickBot="1">
      <c r="A8" s="61" t="s">
        <v>26</v>
      </c>
      <c r="B8" s="62" t="s">
        <v>25</v>
      </c>
      <c r="C8" s="63" t="s">
        <v>82</v>
      </c>
      <c r="D8" s="64" t="s">
        <v>79</v>
      </c>
      <c r="E8" s="65" t="s">
        <v>83</v>
      </c>
      <c r="F8" s="65" t="s">
        <v>84</v>
      </c>
      <c r="G8" s="312" t="s">
        <v>85</v>
      </c>
      <c r="H8" s="361" t="s">
        <v>86</v>
      </c>
      <c r="I8" s="362"/>
      <c r="J8" s="363"/>
      <c r="K8" s="361" t="s">
        <v>86</v>
      </c>
      <c r="L8" s="362"/>
      <c r="M8" s="363"/>
      <c r="N8" s="66" t="s">
        <v>17</v>
      </c>
      <c r="O8" s="67" t="s">
        <v>18</v>
      </c>
      <c r="P8" s="62" t="s">
        <v>87</v>
      </c>
      <c r="Q8" s="63" t="s">
        <v>21</v>
      </c>
      <c r="R8" s="62" t="s">
        <v>31</v>
      </c>
      <c r="S8" s="68" t="s">
        <v>21</v>
      </c>
      <c r="T8" s="68" t="s">
        <v>21</v>
      </c>
      <c r="U8" s="68" t="s">
        <v>21</v>
      </c>
      <c r="V8" s="65" t="s">
        <v>88</v>
      </c>
      <c r="W8" s="69" t="s">
        <v>89</v>
      </c>
      <c r="X8" s="69"/>
      <c r="Y8" s="70"/>
    </row>
    <row r="9" spans="1:29" ht="18" customHeight="1">
      <c r="A9" s="185">
        <v>84.98</v>
      </c>
      <c r="B9" s="186" t="s">
        <v>204</v>
      </c>
      <c r="C9" s="187" t="s">
        <v>43</v>
      </c>
      <c r="D9" s="187" t="s">
        <v>137</v>
      </c>
      <c r="E9" s="187" t="s">
        <v>250</v>
      </c>
      <c r="F9" s="189"/>
      <c r="G9" s="212" t="s">
        <v>251</v>
      </c>
      <c r="H9" s="213">
        <v>116</v>
      </c>
      <c r="I9" s="214">
        <v>121</v>
      </c>
      <c r="J9" s="214">
        <v>-126</v>
      </c>
      <c r="K9" s="213">
        <v>155</v>
      </c>
      <c r="L9" s="214">
        <v>-169</v>
      </c>
      <c r="M9" s="214">
        <v>-169</v>
      </c>
      <c r="N9" s="209">
        <f>IF(MAX(H9:J9)&gt;0,IF(MAX(H9:J9)&lt;0,0,TRUNC(MAX(H9:J9)/1)*1),"")</f>
        <v>121</v>
      </c>
      <c r="O9" s="210">
        <f>IF(MAX(K9:M9)&gt;0,IF(MAX(K9:M9)&lt;0,0,TRUNC(MAX(K9:M9)/1)*1),"")</f>
        <v>155</v>
      </c>
      <c r="P9" s="211">
        <f>IF(N9="","",IF(O9="","",IF(SUM(N9:O9)=0,"",SUM(N9:O9))))</f>
        <v>276</v>
      </c>
      <c r="Q9" s="223">
        <f>IF(P9="","",IF(A9="","",IF(OR(C9="UK",C9="JK",C9="SK",C9="K1",C9="K2",C9="K3",C9="K4",C9="K5",C9="K6",C9="K7",C9="K8",C9="K9",C9="K10"),IF(A9&gt;153.655,P9,IF(A9&lt;28,10^(0.783497476*LOG10(28/153.655)^2)*P9,10^(0.783497476*LOG10(A9/153.655)^2)*P9)),IF(A9&gt;175.508,P9,IF(A9&lt;32,10^(0.75194503*LOG10(32/175.508)^2)*P9,10^(0.75194503*LOG10(A9/175.508)^2)*P9)))))</f>
        <v>327.72641231114659</v>
      </c>
      <c r="R9" s="162" t="str">
        <f>IF(OR(E9="",A9="",Z9="",Q9=""),"",IF(OR(C9="UM",C9="JM",C9="SM",C9="UK",C9="JK",C9="SK"),"",Q9*(IF(ABS(1900-YEAR((Z9+1)-E9))&lt;29,0,(VLOOKUP((YEAR(Z9)-YEAR(E9)),'Meltzer-Malone'!$A$3:$B$63,2))))))</f>
        <v/>
      </c>
      <c r="S9" s="163">
        <f>IF('K11'!G7="","",'K11'!G7)</f>
        <v>9.07</v>
      </c>
      <c r="T9" s="163">
        <f>IF('K11'!K7="","",'K11'!K7)</f>
        <v>12.54</v>
      </c>
      <c r="U9" s="163">
        <f>IF('K11'!N7="","",'K11'!N7)</f>
        <v>6.89</v>
      </c>
      <c r="V9" s="163"/>
      <c r="W9" s="164"/>
      <c r="X9" s="195"/>
      <c r="Y9" s="196" t="s">
        <v>42</v>
      </c>
      <c r="Z9" s="225">
        <f>U5</f>
        <v>43358</v>
      </c>
    </row>
    <row r="10" spans="1:29" ht="18" customHeight="1">
      <c r="A10" s="165"/>
      <c r="B10" s="166"/>
      <c r="C10" s="167"/>
      <c r="D10" s="168"/>
      <c r="E10" s="215"/>
      <c r="F10" s="193"/>
      <c r="G10" s="216" t="s">
        <v>139</v>
      </c>
      <c r="H10" s="338"/>
      <c r="I10" s="339"/>
      <c r="J10" s="340"/>
      <c r="K10" s="341"/>
      <c r="L10" s="342"/>
      <c r="M10" s="343"/>
      <c r="N10" s="167"/>
      <c r="O10" s="171"/>
      <c r="P10" s="334">
        <f>IF(Q9="","",Q9*1.2)</f>
        <v>393.27169477337588</v>
      </c>
      <c r="Q10" s="334"/>
      <c r="R10" s="222"/>
      <c r="S10" s="172">
        <f>IF(S9="","",S9*20)</f>
        <v>181.4</v>
      </c>
      <c r="T10" s="172">
        <f>IF(T9="","",T9*11)</f>
        <v>137.94</v>
      </c>
      <c r="U10" s="173">
        <f>IF(U9="","",IF((80+(8-ROUNDUP(U9,1))*40)&lt;0,0,80+(8-ROUNDUP(U9,1))*40))</f>
        <v>124.00000000000003</v>
      </c>
      <c r="V10" s="237">
        <f>IF(SUM(S10,T10,U10)&gt;0,SUM(S10,T10,U10),"")</f>
        <v>443.34000000000003</v>
      </c>
      <c r="W10" s="238">
        <f>IF(OR(P10="",S10="",T10="",U10=""),"",SUM(P10,S10,T10,U10))</f>
        <v>836.6116947733758</v>
      </c>
      <c r="X10" s="239">
        <v>4</v>
      </c>
      <c r="Y10" s="240"/>
      <c r="Z10" s="225"/>
    </row>
    <row r="11" spans="1:29" ht="18" customHeight="1">
      <c r="A11" s="185">
        <v>76.59</v>
      </c>
      <c r="B11" s="206" t="s">
        <v>183</v>
      </c>
      <c r="C11" s="187" t="s">
        <v>43</v>
      </c>
      <c r="D11" s="262" t="s">
        <v>137</v>
      </c>
      <c r="E11" s="187" t="s">
        <v>252</v>
      </c>
      <c r="F11" s="189"/>
      <c r="G11" s="212" t="s">
        <v>253</v>
      </c>
      <c r="H11" s="213">
        <v>-133</v>
      </c>
      <c r="I11" s="214">
        <v>-133</v>
      </c>
      <c r="J11" s="214">
        <v>133</v>
      </c>
      <c r="K11" s="213">
        <v>169</v>
      </c>
      <c r="L11" s="214">
        <v>-174</v>
      </c>
      <c r="M11" s="214">
        <v>-174</v>
      </c>
      <c r="N11" s="209">
        <f>IF(MAX(H11:J11)&gt;0,IF(MAX(H11:J11)&lt;0,0,TRUNC(MAX(H11:J11)/1)*1),"")</f>
        <v>133</v>
      </c>
      <c r="O11" s="210">
        <f>IF(MAX(K11:M11)&gt;0,IF(MAX(K11:M11)&lt;0,0,TRUNC(MAX(K11:M11)/1)*1),"")</f>
        <v>169</v>
      </c>
      <c r="P11" s="211">
        <f>IF(N11="","",IF(O11="","",IF(SUM(N11:O11)=0,"",SUM(N11:O11))))</f>
        <v>302</v>
      </c>
      <c r="Q11" s="223">
        <f>IF(P11="","",IF(A11="","",IF(OR(C11="UK",C11="JK",C11="SK",C11="K1",C11="K2",C11="K3",C11="K4",C11="K5",C11="K6",C11="K7",C11="K8",C11="K9",C11="K10"),IF(A11&gt;153.655,P11,IF(A11&lt;28,10^(0.783497476*LOG10(28/153.655)^2)*P11,10^(0.783497476*LOG10(A11/153.655)^2)*P11)),IF(A11&gt;175.508,P11,IF(A11&lt;32,10^(0.75194503*LOG10(32/175.508)^2)*P11,10^(0.75194503*LOG10(A11/175.508)^2)*P11)))))</f>
        <v>378.03031065519207</v>
      </c>
      <c r="R11" s="224" t="str">
        <f>IF(OR(E11="",A11="",Z11="",Q11=""),"",IF(OR(C11="UM",C11="JM",C11="SM",C11="UK",C11="JK",C11="SK"),"",Q11*(IF(ABS(1900-YEAR((Z11+1)-E11))&lt;29,0,(VLOOKUP((YEAR(Z11)-YEAR(E11)),'Meltzer-Malone'!$A$3:$B$63,2))))))</f>
        <v/>
      </c>
      <c r="S11" s="174" t="str">
        <f>IF('K11'!G9="","",'K11'!G9)</f>
        <v/>
      </c>
      <c r="T11" s="174" t="str">
        <f>IF('K11'!K9="","",'K11'!K9)</f>
        <v/>
      </c>
      <c r="U11" s="174" t="str">
        <f>IF('K11'!N9="","",'K11'!N9)</f>
        <v/>
      </c>
      <c r="V11" s="163"/>
      <c r="W11" s="164"/>
      <c r="X11" s="175"/>
      <c r="Y11" s="176" t="s">
        <v>254</v>
      </c>
      <c r="Z11" s="225">
        <f>U5</f>
        <v>43358</v>
      </c>
      <c r="AC11" t="s">
        <v>42</v>
      </c>
    </row>
    <row r="12" spans="1:29" ht="18" customHeight="1">
      <c r="A12" s="165"/>
      <c r="B12" s="166"/>
      <c r="C12" s="167"/>
      <c r="D12" s="168"/>
      <c r="E12" s="215"/>
      <c r="F12" s="193"/>
      <c r="G12" s="216" t="s">
        <v>139</v>
      </c>
      <c r="H12" s="338"/>
      <c r="I12" s="339"/>
      <c r="J12" s="340"/>
      <c r="K12" s="341"/>
      <c r="L12" s="342"/>
      <c r="M12" s="343"/>
      <c r="N12" s="167"/>
      <c r="O12" s="171"/>
      <c r="P12" s="334">
        <f>IF(Q11="","",Q11*1.2)</f>
        <v>453.63637278623048</v>
      </c>
      <c r="Q12" s="334"/>
      <c r="R12" s="222"/>
      <c r="S12" s="172" t="str">
        <f>IF(S11="","",S11*20)</f>
        <v/>
      </c>
      <c r="T12" s="172" t="str">
        <f>IF(T11="","",T11*11)</f>
        <v/>
      </c>
      <c r="U12" s="173" t="str">
        <f>IF(U11="","",IF((80+(8-ROUNDUP(U11,1))*40)&lt;0,0,80+(8-ROUNDUP(U11,1))*40))</f>
        <v/>
      </c>
      <c r="V12" s="237" t="str">
        <f>IF(SUM(S12,T12,U12)&gt;0,SUM(S12,T12,U12),"")</f>
        <v/>
      </c>
      <c r="W12" s="238" t="str">
        <f>IF(OR(P12="",S12="",T12="",U12=""),"",SUM(P12,S12,T12,U12))</f>
        <v/>
      </c>
      <c r="X12" s="239"/>
      <c r="Y12" s="240"/>
      <c r="Z12" s="225"/>
    </row>
    <row r="13" spans="1:29" ht="18" customHeight="1">
      <c r="A13" s="185">
        <v>89.13</v>
      </c>
      <c r="B13" s="186" t="s">
        <v>187</v>
      </c>
      <c r="C13" s="187" t="s">
        <v>43</v>
      </c>
      <c r="D13" s="187" t="s">
        <v>137</v>
      </c>
      <c r="E13" s="187" t="s">
        <v>255</v>
      </c>
      <c r="F13" s="189"/>
      <c r="G13" s="212" t="s">
        <v>256</v>
      </c>
      <c r="H13" s="213">
        <v>110</v>
      </c>
      <c r="I13" s="214">
        <v>115</v>
      </c>
      <c r="J13" s="214">
        <v>-120</v>
      </c>
      <c r="K13" s="213">
        <v>140</v>
      </c>
      <c r="L13" s="214">
        <v>145</v>
      </c>
      <c r="M13" s="214">
        <v>150</v>
      </c>
      <c r="N13" s="209">
        <f>IF(MAX(H13:J13)&gt;0,IF(MAX(H13:J13)&lt;0,0,TRUNC(MAX(H13:J13)/1)*1),"")</f>
        <v>115</v>
      </c>
      <c r="O13" s="210">
        <f>IF(MAX(K13:M13)&gt;0,IF(MAX(K13:M13)&lt;0,0,TRUNC(MAX(K13:M13)/1)*1),"")</f>
        <v>150</v>
      </c>
      <c r="P13" s="211">
        <f>IF(N13="","",IF(O13="","",IF(SUM(N13:O13)=0,"",SUM(N13:O13))))</f>
        <v>265</v>
      </c>
      <c r="Q13" s="223">
        <f>IF(P13="","",IF(A13="","",IF(OR(C13="UK",C13="JK",C13="SK",C13="K1",C13="K2",C13="K3",C13="K4",C13="K5",C13="K6",C13="K7",C13="K8",C13="K9",C13="K10"),IF(A13&gt;153.655,P13,IF(A13&lt;28,10^(0.783497476*LOG10(28/153.655)^2)*P13,10^(0.783497476*LOG10(A13/153.655)^2)*P13)),IF(A13&gt;175.508,P13,IF(A13&lt;32,10^(0.75194503*LOG10(32/175.508)^2)*P13,10^(0.75194503*LOG10(A13/175.508)^2)*P13)))))</f>
        <v>307.86602231350213</v>
      </c>
      <c r="R13" s="224" t="str">
        <f>IF(OR(E13="",A13="",Z13="",Q13=""),"",IF(OR(C13="UM",C13="JM",C13="SM",C13="UK",C13="JK",C13="SK"),"",Q13*(IF(ABS(1900-YEAR((Z13+1)-E13))&lt;29,0,(VLOOKUP((YEAR(Z13)-YEAR(E13)),'Meltzer-Malone'!$A$3:$B$63,2))))))</f>
        <v/>
      </c>
      <c r="S13" s="174" t="str">
        <f>IF('K11'!G11="","",'K11'!G11)</f>
        <v/>
      </c>
      <c r="T13" s="174" t="str">
        <f>IF('K11'!K11="","",'K11'!K11)</f>
        <v/>
      </c>
      <c r="U13" s="174" t="str">
        <f>IF('K11'!N11="","",'K11'!N11)</f>
        <v/>
      </c>
      <c r="V13" s="163"/>
      <c r="W13" s="164"/>
      <c r="X13" s="175"/>
      <c r="Y13" s="176"/>
      <c r="Z13" s="225">
        <f>U5</f>
        <v>43358</v>
      </c>
    </row>
    <row r="14" spans="1:29" ht="18" customHeight="1">
      <c r="A14" s="165"/>
      <c r="B14" s="166"/>
      <c r="C14" s="167"/>
      <c r="D14" s="168"/>
      <c r="E14" s="215"/>
      <c r="F14" s="193"/>
      <c r="G14" s="216" t="s">
        <v>144</v>
      </c>
      <c r="H14" s="338"/>
      <c r="I14" s="339"/>
      <c r="J14" s="340"/>
      <c r="K14" s="341"/>
      <c r="L14" s="342"/>
      <c r="M14" s="343"/>
      <c r="N14" s="167"/>
      <c r="O14" s="171"/>
      <c r="P14" s="334">
        <f>IF(Q13="","",Q13*1.2)</f>
        <v>369.43922677620253</v>
      </c>
      <c r="Q14" s="334"/>
      <c r="R14" s="222"/>
      <c r="S14" s="172" t="str">
        <f>IF(S13="","",S13*20)</f>
        <v/>
      </c>
      <c r="T14" s="172" t="str">
        <f>IF(T13="","",T13*11)</f>
        <v/>
      </c>
      <c r="U14" s="173" t="str">
        <f>IF(U13="","",IF((80+(8-ROUNDUP(U13,1))*40)&lt;0,0,80+(8-ROUNDUP(U13,1))*40))</f>
        <v/>
      </c>
      <c r="V14" s="237" t="str">
        <f>IF(SUM(S14,T14,U14)&gt;0,SUM(S14,T14,U14),"")</f>
        <v/>
      </c>
      <c r="W14" s="238" t="str">
        <f>IF(OR(P14="",S14="",T14="",U14=""),"",SUM(P14,S14,T14,U14))</f>
        <v/>
      </c>
      <c r="X14" s="239"/>
      <c r="Y14" s="240"/>
      <c r="Z14" s="225"/>
    </row>
    <row r="15" spans="1:29" ht="18" customHeight="1">
      <c r="A15" s="185">
        <v>94.15</v>
      </c>
      <c r="B15" s="186" t="s">
        <v>223</v>
      </c>
      <c r="C15" s="187" t="s">
        <v>43</v>
      </c>
      <c r="D15" s="206" t="s">
        <v>137</v>
      </c>
      <c r="E15" s="188">
        <v>32393</v>
      </c>
      <c r="F15" s="189"/>
      <c r="G15" s="190" t="s">
        <v>257</v>
      </c>
      <c r="H15" s="191">
        <v>133</v>
      </c>
      <c r="I15" s="192">
        <v>136</v>
      </c>
      <c r="J15" s="192">
        <v>-139</v>
      </c>
      <c r="K15" s="191">
        <v>161</v>
      </c>
      <c r="L15" s="192">
        <v>164</v>
      </c>
      <c r="M15" s="192">
        <v>-167</v>
      </c>
      <c r="N15" s="209">
        <f>IF(MAX(H15:J15)&gt;0,IF(MAX(H15:J15)&lt;0,0,TRUNC(MAX(H15:J15)/1)*1),"")</f>
        <v>136</v>
      </c>
      <c r="O15" s="210">
        <f>IF(MAX(K15:M15)&gt;0,IF(MAX(K15:M15)&lt;0,0,TRUNC(MAX(K15:M15)/1)*1),"")</f>
        <v>164</v>
      </c>
      <c r="P15" s="211">
        <f>IF(N15="","",IF(O15="","",IF(SUM(N15:O15)=0,"",SUM(N15:O15))))</f>
        <v>300</v>
      </c>
      <c r="Q15" s="223">
        <f>IF(P15="","",IF(A15="","",IF(OR(C15="UK",C15="JK",C15="SK",C15="K1",C15="K2",C15="K3",C15="K4",C15="K5",C15="K6",C15="K7",C15="K8",C15="K9",C15="K10"),IF(A15&gt;153.655,P15,IF(A15&lt;28,10^(0.783497476*LOG10(28/153.655)^2)*P15,10^(0.783497476*LOG10(A15/153.655)^2)*P15)),IF(A15&gt;175.508,P15,IF(A15&lt;32,10^(0.75194503*LOG10(32/175.508)^2)*P15,10^(0.75194503*LOG10(A15/175.508)^2)*P15)))))</f>
        <v>340.51146479408908</v>
      </c>
      <c r="R15" s="224" t="str">
        <f>IF(OR(E15="",A15="",Z15="",Q15=""),"",IF(OR(C15="UM",C15="JM",C15="SM",C15="UK",C15="JK",C15="SK"),"",Q15*(IF(ABS(1900-YEAR((Z15+1)-E15))&lt;29,0,(VLOOKUP((YEAR(Z15)-YEAR(E15)),'Meltzer-Malone'!$A$3:$B$63,2))))))</f>
        <v/>
      </c>
      <c r="S15" s="174" t="str">
        <f>IF('K11'!G13="","",'K11'!G13)</f>
        <v/>
      </c>
      <c r="T15" s="174" t="str">
        <f>IF('K11'!K13="","",'K11'!K13)</f>
        <v/>
      </c>
      <c r="U15" s="174" t="str">
        <f>IF('K11'!N13="","",'K11'!N13)</f>
        <v/>
      </c>
      <c r="V15" s="163"/>
      <c r="W15" s="164"/>
      <c r="X15" s="175"/>
      <c r="Y15" s="176" t="s">
        <v>42</v>
      </c>
      <c r="Z15" s="225">
        <f>U5</f>
        <v>43358</v>
      </c>
    </row>
    <row r="16" spans="1:29" ht="18" customHeight="1">
      <c r="A16" s="165"/>
      <c r="B16" s="166"/>
      <c r="C16" s="167"/>
      <c r="D16" s="168"/>
      <c r="E16" s="169"/>
      <c r="F16" s="193"/>
      <c r="G16" s="170" t="s">
        <v>45</v>
      </c>
      <c r="H16" s="338"/>
      <c r="I16" s="339"/>
      <c r="J16" s="340"/>
      <c r="K16" s="341"/>
      <c r="L16" s="342"/>
      <c r="M16" s="343"/>
      <c r="N16" s="167"/>
      <c r="O16" s="171"/>
      <c r="P16" s="334">
        <f>IF(Q15="","",Q15*1.2)</f>
        <v>408.61375775290691</v>
      </c>
      <c r="Q16" s="334"/>
      <c r="R16" s="222"/>
      <c r="S16" s="172" t="str">
        <f>IF(S15="","",S15*20)</f>
        <v/>
      </c>
      <c r="T16" s="172" t="str">
        <f>IF(T15="","",T15*11)</f>
        <v/>
      </c>
      <c r="U16" s="173" t="str">
        <f>IF(U15="","",IF((80+(8-ROUNDUP(U15,1))*40)&lt;0,0,80+(8-ROUNDUP(U15,1))*40))</f>
        <v/>
      </c>
      <c r="V16" s="237" t="str">
        <f>IF(SUM(S16,T16,U16)&gt;0,SUM(S16,T16,U16),"")</f>
        <v/>
      </c>
      <c r="W16" s="238" t="str">
        <f>IF(OR(P16="",S16="",T16="",U16=""),"",SUM(P16,S16,T16,U16))</f>
        <v/>
      </c>
      <c r="X16" s="239"/>
      <c r="Y16" s="240"/>
      <c r="Z16" s="225"/>
    </row>
    <row r="17" spans="1:29" ht="18" customHeight="1">
      <c r="A17" s="185">
        <v>115.93</v>
      </c>
      <c r="B17" s="206" t="s">
        <v>244</v>
      </c>
      <c r="C17" s="187" t="s">
        <v>43</v>
      </c>
      <c r="D17" s="187" t="s">
        <v>137</v>
      </c>
      <c r="E17" s="187" t="s">
        <v>258</v>
      </c>
      <c r="F17" s="189"/>
      <c r="G17" s="212" t="s">
        <v>259</v>
      </c>
      <c r="H17" s="213">
        <v>120</v>
      </c>
      <c r="I17" s="214">
        <v>-125</v>
      </c>
      <c r="J17" s="214">
        <v>125</v>
      </c>
      <c r="K17" s="213">
        <v>156</v>
      </c>
      <c r="L17" s="214">
        <v>-160</v>
      </c>
      <c r="M17" s="214">
        <v>-161</v>
      </c>
      <c r="N17" s="209">
        <f>IF(MAX(H17:J17)&gt;0,IF(MAX(H17:J17)&lt;0,0,TRUNC(MAX(H17:J17)/1)*1),"")</f>
        <v>125</v>
      </c>
      <c r="O17" s="210">
        <f>IF(MAX(K17:M17)&gt;0,IF(MAX(K17:M17)&lt;0,0,TRUNC(MAX(K17:M17)/1)*1),"")</f>
        <v>156</v>
      </c>
      <c r="P17" s="211">
        <f>IF(N17="","",IF(O17="","",IF(SUM(N17:O17)=0,"",SUM(N17:O17))))</f>
        <v>281</v>
      </c>
      <c r="Q17" s="223">
        <f>IF(P17="","",IF(A17="","",IF(OR(C17="UK",C17="JK",C17="SK",C17="K1",C17="K2",C17="K3",C17="K4",C17="K5",C17="K6",C17="K7",C17="K8",C17="K9",C17="K10"),IF(A17&gt;153.655,P17,IF(A17&lt;28,10^(0.783497476*LOG10(28/153.655)^2)*P17,10^(0.783497476*LOG10(A17/153.655)^2)*P17)),IF(A17&gt;175.508,P17,IF(A17&lt;32,10^(0.75194503*LOG10(32/175.508)^2)*P17,10^(0.75194503*LOG10(A17/175.508)^2)*P17)))))</f>
        <v>297.23278402363962</v>
      </c>
      <c r="R17" s="224" t="str">
        <f>IF(OR(E17="",A17="",Z17="",Q17=""),"",IF(OR(C17="UM",C17="JM",C17="SM",C17="UK",C17="JK",C17="SK"),"",Q17*(IF(ABS(1900-YEAR((Z17+1)-E17))&lt;29,0,(VLOOKUP((YEAR(Z17)-YEAR(E17)),'Meltzer-Malone'!$A$3:$B$63,2))))))</f>
        <v/>
      </c>
      <c r="S17" s="174">
        <f>IF('K11'!G15="","",'K11'!G15)</f>
        <v>7.88</v>
      </c>
      <c r="T17" s="174">
        <f>IF('K11'!K15="","",'K11'!K15)</f>
        <v>13.78</v>
      </c>
      <c r="U17" s="174">
        <f>IF('K11'!N15="","",'K11'!N15)</f>
        <v>7.71</v>
      </c>
      <c r="V17" s="163"/>
      <c r="W17" s="164"/>
      <c r="X17" s="175"/>
      <c r="Y17" s="176"/>
      <c r="Z17" s="225">
        <f>U5</f>
        <v>43358</v>
      </c>
    </row>
    <row r="18" spans="1:29" ht="18" customHeight="1">
      <c r="A18" s="165"/>
      <c r="B18" s="166"/>
      <c r="C18" s="167"/>
      <c r="D18" s="168"/>
      <c r="E18" s="215"/>
      <c r="F18" s="193"/>
      <c r="G18" s="216" t="s">
        <v>111</v>
      </c>
      <c r="H18" s="338"/>
      <c r="I18" s="339"/>
      <c r="J18" s="340"/>
      <c r="K18" s="341"/>
      <c r="L18" s="342"/>
      <c r="M18" s="343"/>
      <c r="N18" s="167"/>
      <c r="O18" s="171"/>
      <c r="P18" s="334">
        <f>IF(Q17="","",Q17*1.2)</f>
        <v>356.67934082836751</v>
      </c>
      <c r="Q18" s="334"/>
      <c r="R18" s="222"/>
      <c r="S18" s="172">
        <f>IF(S17="","",S17*20)</f>
        <v>157.6</v>
      </c>
      <c r="T18" s="172">
        <f>IF(T17="","",T17*11)</f>
        <v>151.57999999999998</v>
      </c>
      <c r="U18" s="173">
        <f>IF(U17="","",IF((80+(8-ROUNDUP(U17,1))*40)&lt;0,0,80+(8-ROUNDUP(U17,1))*40))</f>
        <v>88</v>
      </c>
      <c r="V18" s="237">
        <f>IF(SUM(S18,T18,U18)&gt;0,SUM(S18,T18,U18),"")</f>
        <v>397.17999999999995</v>
      </c>
      <c r="W18" s="238">
        <f>IF(OR(P18="",S18="",T18="",U18=""),"",SUM(P18,S18,T18,U18))</f>
        <v>753.85934082836752</v>
      </c>
      <c r="X18" s="239">
        <v>13</v>
      </c>
      <c r="Y18" s="240"/>
      <c r="Z18" s="225"/>
      <c r="AC18" t="s">
        <v>42</v>
      </c>
    </row>
    <row r="19" spans="1:29" ht="18" customHeight="1">
      <c r="A19" s="185">
        <v>118.81</v>
      </c>
      <c r="B19" s="206" t="s">
        <v>244</v>
      </c>
      <c r="C19" s="187" t="s">
        <v>43</v>
      </c>
      <c r="D19" s="186" t="s">
        <v>137</v>
      </c>
      <c r="E19" s="188">
        <v>32866</v>
      </c>
      <c r="F19" s="189"/>
      <c r="G19" s="190" t="s">
        <v>260</v>
      </c>
      <c r="H19" s="207">
        <v>155</v>
      </c>
      <c r="I19" s="208">
        <v>160</v>
      </c>
      <c r="J19" s="208">
        <v>-162</v>
      </c>
      <c r="K19" s="207">
        <v>193</v>
      </c>
      <c r="L19" s="207">
        <v>202</v>
      </c>
      <c r="M19" s="208" t="s">
        <v>48</v>
      </c>
      <c r="N19" s="209">
        <f>IF(MAX(H19:J19)&gt;0,IF(MAX(H19:J19)&lt;0,0,TRUNC(MAX(H19:J19)/1)*1),"")</f>
        <v>160</v>
      </c>
      <c r="O19" s="210">
        <f>IF(MAX(K19:M19)&gt;0,IF(MAX(K19:M19)&lt;0,0,TRUNC(MAX(K19:M19)/1)*1),"")</f>
        <v>202</v>
      </c>
      <c r="P19" s="211">
        <f>IF(N19="","",IF(O19="","",IF(SUM(N19:O19)=0,"",SUM(N19:O19))))</f>
        <v>362</v>
      </c>
      <c r="Q19" s="223">
        <f>IF(P19="","",IF(A19="","",IF(OR(C19="UK",C19="JK",C19="SK",C19="K1",C19="K2",C19="K3",C19="K4",C19="K5",C19="K6",C19="K7",C19="K8",C19="K9",C19="K10"),IF(A19&gt;153.655,P19,IF(A19&lt;28,10^(0.783497476*LOG10(28/153.655)^2)*P19,10^(0.783497476*LOG10(A19/153.655)^2)*P19)),IF(A19&gt;175.508,P19,IF(A19&lt;32,10^(0.75194503*LOG10(32/175.508)^2)*P19,10^(0.75194503*LOG10(A19/175.508)^2)*P19)))))</f>
        <v>380.45022618034812</v>
      </c>
      <c r="R19" s="224" t="str">
        <f>IF(OR(E19="",A19="",Z19="",Q19=""),"",IF(OR(C19="UM",C19="JM",C19="SM",C19="UK",C19="JK",C19="SK"),"",Q19*(IF(ABS(1900-YEAR((Z19+1)-E19))&lt;29,0,(VLOOKUP((YEAR(Z19)-YEAR(E19)),'Meltzer-Malone'!$A$3:$B$63,2))))))</f>
        <v/>
      </c>
      <c r="S19" s="174">
        <f>IF('K11'!G17="","",'K11'!G17)</f>
        <v>9.01</v>
      </c>
      <c r="T19" s="174">
        <f>IF('K11'!K17="","",'K11'!K17)</f>
        <v>19.75</v>
      </c>
      <c r="U19" s="174">
        <f>IF('K11'!N17="","",'K11'!N17)</f>
        <v>6.97</v>
      </c>
      <c r="V19" s="163"/>
      <c r="W19" s="164"/>
      <c r="X19" s="175"/>
      <c r="Y19" s="176"/>
      <c r="Z19" s="225">
        <f>U5</f>
        <v>43358</v>
      </c>
    </row>
    <row r="20" spans="1:29" ht="18" customHeight="1">
      <c r="A20" s="165"/>
      <c r="B20" s="166"/>
      <c r="C20" s="167"/>
      <c r="D20" s="168"/>
      <c r="E20" s="169"/>
      <c r="F20" s="193"/>
      <c r="G20" s="170" t="s">
        <v>139</v>
      </c>
      <c r="H20" s="338"/>
      <c r="I20" s="339"/>
      <c r="J20" s="340"/>
      <c r="K20" s="341"/>
      <c r="L20" s="342"/>
      <c r="M20" s="343"/>
      <c r="N20" s="167"/>
      <c r="O20" s="171"/>
      <c r="P20" s="334">
        <f>IF(Q19="","",Q19*1.2)</f>
        <v>456.54027141641774</v>
      </c>
      <c r="Q20" s="334"/>
      <c r="R20" s="222"/>
      <c r="S20" s="172">
        <f>IF(S19="","",S19*20)</f>
        <v>180.2</v>
      </c>
      <c r="T20" s="172">
        <f>IF(T19="","",T19*11)</f>
        <v>217.25</v>
      </c>
      <c r="U20" s="173">
        <f>IF(U19="","",IF((80+(8-ROUNDUP(U19,1))*40)&lt;0,0,80+(8-ROUNDUP(U19,1))*40))</f>
        <v>120</v>
      </c>
      <c r="V20" s="237">
        <f>IF(SUM(S20,T20,U20)&gt;0,SUM(S20,T20,U20),"")</f>
        <v>517.45000000000005</v>
      </c>
      <c r="W20" s="238">
        <f>IF(OR(P20="",S20="",T20="",U20=""),"",SUM(P20,S20,T20,U20))</f>
        <v>973.99027141641773</v>
      </c>
      <c r="X20" s="239">
        <v>1</v>
      </c>
      <c r="Y20" s="240"/>
      <c r="Z20" s="225"/>
    </row>
    <row r="21" spans="1:29" ht="18" customHeight="1">
      <c r="A21" s="185"/>
      <c r="B21" s="206"/>
      <c r="C21" s="187"/>
      <c r="D21" s="186"/>
      <c r="E21" s="188"/>
      <c r="F21" s="189"/>
      <c r="G21" s="190"/>
      <c r="H21" s="207"/>
      <c r="I21" s="208"/>
      <c r="J21" s="208"/>
      <c r="K21" s="207"/>
      <c r="L21" s="208"/>
      <c r="M21" s="208"/>
      <c r="N21" s="209" t="str">
        <f>IF(MAX(H21:J21)&gt;0,IF(MAX(H21:J21)&lt;0,0,TRUNC(MAX(H21:J21)/1)*1),"")</f>
        <v/>
      </c>
      <c r="O21" s="210" t="str">
        <f>IF(MAX(K21:M21)&gt;0,IF(MAX(K21:M21)&lt;0,0,TRUNC(MAX(K21:M21)/1)*1),"")</f>
        <v/>
      </c>
      <c r="P21" s="211" t="str">
        <f>IF(N21="","",IF(O21="","",IF(SUM(N21:O21)=0,"",SUM(N21:O21))))</f>
        <v/>
      </c>
      <c r="Q21" s="223" t="str">
        <f>IF(P21="","",IF(A21="","",IF(OR(C21="UK",C21="JK",C21="SK",C21="K1",C21="K2",C21="K3",C21="K4",C21="K5",C21="K6",C21="K7",C21="K8",C21="K9",C21="K10"),IF(A21&gt;153.655,P21,IF(A21&lt;28,10^(0.783497476*LOG10(28/153.655)^2)*P21,10^(0.783497476*LOG10(A21/153.655)^2)*P21)),IF(A21&gt;175.508,P21,IF(A21&lt;32,10^(0.75194503*LOG10(32/175.508)^2)*P21,10^(0.75194503*LOG10(A21/175.508)^2)*P21)))))</f>
        <v/>
      </c>
      <c r="R21" s="224" t="str">
        <f>IF(OR(E21="",A21="",Z21="",Q21=""),"",IF(OR(C21="UM",C21="JM",C21="SM",C21="UK",C21="JK",C21="SK"),"",Q21*(IF(ABS(1900-YEAR((Z21+1)-E21))&lt;29,0,(VLOOKUP((YEAR(Z21)-YEAR(E21)),'Meltzer-Malone'!$A$3:$B$63,2))))))</f>
        <v/>
      </c>
      <c r="S21" s="174" t="str">
        <f>IF('K11'!G19="","",'K11'!G19)</f>
        <v/>
      </c>
      <c r="T21" s="174" t="str">
        <f>IF('K11'!K19="","",'K11'!K19)</f>
        <v/>
      </c>
      <c r="U21" s="174" t="str">
        <f>IF('K11'!N19="","",'K11'!N19)</f>
        <v/>
      </c>
      <c r="V21" s="163"/>
      <c r="W21" s="164"/>
      <c r="X21" s="175"/>
      <c r="Y21" s="176"/>
      <c r="Z21" s="225">
        <f>U5</f>
        <v>43358</v>
      </c>
    </row>
    <row r="22" spans="1:29" ht="18" customHeight="1">
      <c r="A22" s="165"/>
      <c r="B22" s="166"/>
      <c r="C22" s="167"/>
      <c r="D22" s="168"/>
      <c r="E22" s="169"/>
      <c r="F22" s="193"/>
      <c r="G22" s="170"/>
      <c r="H22" s="338"/>
      <c r="I22" s="339"/>
      <c r="J22" s="340"/>
      <c r="K22" s="341"/>
      <c r="L22" s="342"/>
      <c r="M22" s="343"/>
      <c r="N22" s="167"/>
      <c r="O22" s="171"/>
      <c r="P22" s="334" t="str">
        <f>IF(Q21="","",Q21*1.2)</f>
        <v/>
      </c>
      <c r="Q22" s="334"/>
      <c r="R22" s="222"/>
      <c r="S22" s="172" t="str">
        <f>IF(S21="","",S21*20)</f>
        <v/>
      </c>
      <c r="T22" s="172" t="str">
        <f>IF(T21="","",T21*11)</f>
        <v/>
      </c>
      <c r="U22" s="173" t="str">
        <f>IF(U21="","",IF((80+(8-ROUNDUP(U21,1))*40)&lt;0,0,80+(8-ROUNDUP(U21,1))*40))</f>
        <v/>
      </c>
      <c r="V22" s="237" t="str">
        <f>IF(SUM(S22,T22,U22)&gt;0,SUM(S22,T22,U22),"")</f>
        <v/>
      </c>
      <c r="W22" s="238" t="str">
        <f>IF(OR(P22="",S22="",T22="",U22=""),"",SUM(P22,S22,T22,U22))</f>
        <v/>
      </c>
      <c r="X22" s="239"/>
      <c r="Y22" s="240"/>
      <c r="Z22" s="225"/>
    </row>
    <row r="23" spans="1:29" ht="18" customHeight="1">
      <c r="A23" s="185"/>
      <c r="B23" s="206"/>
      <c r="C23" s="187"/>
      <c r="D23" s="262"/>
      <c r="E23" s="277"/>
      <c r="F23" s="189"/>
      <c r="G23" s="212"/>
      <c r="H23" s="207"/>
      <c r="I23" s="208"/>
      <c r="J23" s="208"/>
      <c r="K23" s="207"/>
      <c r="L23" s="208"/>
      <c r="M23" s="208"/>
      <c r="N23" s="209" t="str">
        <f>IF(MAX(H23:J23)&gt;0,IF(MAX(H23:J23)&lt;0,0,TRUNC(MAX(H23:J23)/1)*1),"")</f>
        <v/>
      </c>
      <c r="O23" s="210" t="str">
        <f>IF(MAX(K23:M23)&gt;0,IF(MAX(K23:M23)&lt;0,0,TRUNC(MAX(K23:M23)/1)*1),"")</f>
        <v/>
      </c>
      <c r="P23" s="211" t="str">
        <f>IF(N23="","",IF(O23="","",IF(SUM(N23:O23)=0,"",SUM(N23:O23))))</f>
        <v/>
      </c>
      <c r="Q23" s="223" t="str">
        <f>IF(P23="","",IF(A23="","",IF(OR(C23="UK",C23="JK",C23="SK",C23="K1",C23="K2",C23="K3",C23="K4",C23="K5",C23="K6",C23="K7",C23="K8",C23="K9",C23="K10"),IF(A23&gt;153.655,P23,IF(A23&lt;28,10^(0.783497476*LOG10(28/153.655)^2)*P23,10^(0.783497476*LOG10(A23/153.655)^2)*P23)),IF(A23&gt;175.508,P23,IF(A23&lt;32,10^(0.75194503*LOG10(32/175.508)^2)*P23,10^(0.75194503*LOG10(A23/175.508)^2)*P23)))))</f>
        <v/>
      </c>
      <c r="R23" s="224" t="str">
        <f>IF(OR(E23="",A23="",Z23="",Q23=""),"",IF(OR(C23="UM",C23="JM",C23="SM",C23="UK",C23="JK",C23="SK"),"",Q23*(IF(ABS(1900-YEAR((Z23+1)-E23))&lt;29,0,(VLOOKUP((YEAR(Z23)-YEAR(E23)),'Meltzer-Malone'!$A$3:$B$63,2))))))</f>
        <v/>
      </c>
      <c r="S23" s="174" t="str">
        <f>IF('K11'!G21="","",'K11'!G21)</f>
        <v/>
      </c>
      <c r="T23" s="174" t="str">
        <f>IF('K11'!K21="","",'K11'!K21)</f>
        <v/>
      </c>
      <c r="U23" s="174" t="str">
        <f>IF('K11'!N21="","",'K11'!N21)</f>
        <v/>
      </c>
      <c r="V23" s="163"/>
      <c r="W23" s="164"/>
      <c r="X23" s="175"/>
      <c r="Y23" s="176"/>
      <c r="Z23" s="225">
        <f>U5</f>
        <v>43358</v>
      </c>
    </row>
    <row r="24" spans="1:29" ht="18" customHeight="1">
      <c r="A24" s="165"/>
      <c r="B24" s="166"/>
      <c r="C24" s="167"/>
      <c r="D24" s="168"/>
      <c r="E24" s="215"/>
      <c r="F24" s="193"/>
      <c r="G24" s="216"/>
      <c r="H24" s="338"/>
      <c r="I24" s="342"/>
      <c r="J24" s="343"/>
      <c r="K24" s="341"/>
      <c r="L24" s="342"/>
      <c r="M24" s="343"/>
      <c r="N24" s="167"/>
      <c r="O24" s="171"/>
      <c r="P24" s="334" t="str">
        <f>IF(Q23="","",Q23*1.2)</f>
        <v/>
      </c>
      <c r="Q24" s="334"/>
      <c r="R24" s="222"/>
      <c r="S24" s="172" t="str">
        <f>IF(S23="","",S23*20)</f>
        <v/>
      </c>
      <c r="T24" s="172" t="str">
        <f>IF(T23="","",T23*11)</f>
        <v/>
      </c>
      <c r="U24" s="173" t="str">
        <f>IF(U23="","",IF((80+(8-ROUNDUP(U23,1))*40)&lt;0,0,80+(8-ROUNDUP(U23,1))*40))</f>
        <v/>
      </c>
      <c r="V24" s="237" t="str">
        <f>IF(SUM(S24,T24,U24)&gt;0,SUM(S24,T24,U24),"")</f>
        <v/>
      </c>
      <c r="W24" s="238" t="str">
        <f>IF(OR(P24="",S24="",T24="",U24=""),"",SUM(P24,S24,T24,U24))</f>
        <v/>
      </c>
      <c r="X24" s="239"/>
      <c r="Y24" s="240"/>
      <c r="Z24" s="225"/>
    </row>
    <row r="25" spans="1:29" ht="18" customHeight="1">
      <c r="A25" s="185"/>
      <c r="B25" s="206"/>
      <c r="C25" s="187"/>
      <c r="D25" s="206"/>
      <c r="E25" s="188"/>
      <c r="F25" s="189"/>
      <c r="G25" s="190"/>
      <c r="H25" s="207"/>
      <c r="I25" s="208"/>
      <c r="J25" s="208"/>
      <c r="K25" s="207"/>
      <c r="L25" s="208"/>
      <c r="M25" s="208"/>
      <c r="N25" s="209" t="str">
        <f>IF(MAX(H25:J25)&gt;0,IF(MAX(H25:J25)&lt;0,0,TRUNC(MAX(H25:J25)/1)*1),"")</f>
        <v/>
      </c>
      <c r="O25" s="210" t="str">
        <f>IF(MAX(K25:M25)&gt;0,IF(MAX(K25:M25)&lt;0,0,TRUNC(MAX(K25:M25)/1)*1),"")</f>
        <v/>
      </c>
      <c r="P25" s="211" t="str">
        <f>IF(N25="","",IF(O25="","",IF(SUM(N25:O25)=0,"",SUM(N25:O25))))</f>
        <v/>
      </c>
      <c r="Q25" s="223" t="str">
        <f>IF(P25="","",IF(A25="","",IF(OR(C25="UK",C25="JK",C25="SK",C25="K1",C25="K2",C25="K3",C25="K4",C25="K5",C25="K6",C25="K7",C25="K8",C25="K9",C25="K10"),IF(A25&gt;153.655,P25,IF(A25&lt;28,10^(0.783497476*LOG10(28/153.655)^2)*P25,10^(0.783497476*LOG10(A25/153.655)^2)*P25)),IF(A25&gt;175.508,P25,IF(A25&lt;32,10^(0.75194503*LOG10(32/175.508)^2)*P25,10^(0.75194503*LOG10(A25/175.508)^2)*P25)))))</f>
        <v/>
      </c>
      <c r="R25" s="224" t="str">
        <f>IF(OR(E25="",A25="",Z25="",Q25=""),"",IF(OR(C25="UM",C25="JM",C25="SM",C25="UK",C25="JK",C25="SK"),"",Q25*(IF(ABS(1900-YEAR((Z25+1)-E25))&lt;29,0,(VLOOKUP((YEAR(Z25)-YEAR(E25)),'Meltzer-Malone'!$A$3:$B$63,2))))))</f>
        <v/>
      </c>
      <c r="S25" s="174" t="str">
        <f>IF('K11'!G23="","",'K11'!G23)</f>
        <v/>
      </c>
      <c r="T25" s="174" t="str">
        <f>IF('K11'!K23="","",'K11'!K23)</f>
        <v/>
      </c>
      <c r="U25" s="174" t="str">
        <f>IF('K11'!N23="","",'K11'!N23)</f>
        <v/>
      </c>
      <c r="V25" s="163"/>
      <c r="W25" s="164"/>
      <c r="X25" s="175"/>
      <c r="Y25" s="176"/>
      <c r="Z25" s="225">
        <f>U5</f>
        <v>43358</v>
      </c>
    </row>
    <row r="26" spans="1:29" ht="18" customHeight="1">
      <c r="A26" s="165"/>
      <c r="B26" s="166"/>
      <c r="C26" s="167"/>
      <c r="D26" s="168"/>
      <c r="E26" s="169"/>
      <c r="F26" s="193"/>
      <c r="G26" s="170"/>
      <c r="H26" s="338"/>
      <c r="I26" s="342"/>
      <c r="J26" s="343"/>
      <c r="K26" s="341"/>
      <c r="L26" s="342"/>
      <c r="M26" s="343"/>
      <c r="N26" s="167"/>
      <c r="O26" s="171"/>
      <c r="P26" s="334" t="str">
        <f>IF(Q25="","",Q25*1.2)</f>
        <v/>
      </c>
      <c r="Q26" s="334"/>
      <c r="R26" s="222"/>
      <c r="S26" s="172" t="str">
        <f>IF(S25="","",S25*20)</f>
        <v/>
      </c>
      <c r="T26" s="172" t="str">
        <f>IF(T25="","",T25*11)</f>
        <v/>
      </c>
      <c r="U26" s="173" t="str">
        <f>IF(U25="","",IF((80+(8-ROUNDUP(U25,1))*40)&lt;0,0,80+(8-ROUNDUP(U25,1))*40))</f>
        <v/>
      </c>
      <c r="V26" s="237" t="str">
        <f>IF(SUM(S26,T26,U26)&gt;0,SUM(S26,T26,U26),"")</f>
        <v/>
      </c>
      <c r="W26" s="238" t="str">
        <f>IF(OR(P26="",S26="",T26="",U26=""),"",SUM(P26,S26,T26,U26))</f>
        <v/>
      </c>
      <c r="X26" s="239"/>
      <c r="Y26" s="240"/>
      <c r="Z26" s="225"/>
    </row>
    <row r="27" spans="1:29" ht="18" customHeight="1">
      <c r="A27" s="185"/>
      <c r="B27" s="186"/>
      <c r="C27" s="187"/>
      <c r="D27" s="206"/>
      <c r="E27" s="188"/>
      <c r="F27" s="189"/>
      <c r="G27" s="190"/>
      <c r="H27" s="207"/>
      <c r="I27" s="208"/>
      <c r="J27" s="208"/>
      <c r="K27" s="207"/>
      <c r="L27" s="208"/>
      <c r="M27" s="208"/>
      <c r="N27" s="209" t="str">
        <f>IF(MAX(H27:J27)&gt;0,IF(MAX(H27:J27)&lt;0,0,TRUNC(MAX(H27:J27)/1)*1),"")</f>
        <v/>
      </c>
      <c r="O27" s="210" t="str">
        <f>IF(MAX(K27:M27)&gt;0,IF(MAX(K27:M27)&lt;0,0,TRUNC(MAX(K27:M27)/1)*1),"")</f>
        <v/>
      </c>
      <c r="P27" s="211" t="str">
        <f>IF(N27="","",IF(O27="","",IF(SUM(N27:O27)=0,"",SUM(N27:O27))))</f>
        <v/>
      </c>
      <c r="Q27" s="223" t="str">
        <f>IF(P27="","",IF(A27="","",IF(OR(C27="UK",C27="JK",C27="SK",C27="K1",C27="K2",C27="K3",C27="K4",C27="K5",C27="K6",C27="K7",C27="K8",C27="K9",C27="K10"),IF(A27&gt;153.655,P27,IF(A27&lt;28,10^(0.783497476*LOG10(28/153.655)^2)*P27,10^(0.783497476*LOG10(A27/153.655)^2)*P27)),IF(A27&gt;175.508,P27,IF(A27&lt;32,10^(0.75194503*LOG10(32/175.508)^2)*P27,10^(0.75194503*LOG10(A27/175.508)^2)*P27)))))</f>
        <v/>
      </c>
      <c r="R27" s="224" t="str">
        <f>IF(OR(E27="",A27="",Z27="",Q27=""),"",IF(OR(C27="UM",C27="JM",C27="SM",C27="UK",C27="JK",C27="SK"),"",Q27*(IF(ABS(1900-YEAR((Z27+1)-E27))&lt;29,0,(VLOOKUP((YEAR(Z27)-YEAR(E27)),'Meltzer-Malone'!$A$3:$B$63,2))))))</f>
        <v/>
      </c>
      <c r="S27" s="174" t="str">
        <f>IF('K11'!G25="","",'K11'!G25)</f>
        <v/>
      </c>
      <c r="T27" s="174" t="str">
        <f>IF('K11'!K25="","",'K11'!K25)</f>
        <v/>
      </c>
      <c r="U27" s="174" t="str">
        <f>IF('K11'!N25="","",'K11'!N25)</f>
        <v/>
      </c>
      <c r="V27" s="163"/>
      <c r="W27" s="164"/>
      <c r="X27" s="175"/>
      <c r="Y27" s="176"/>
      <c r="Z27" s="225">
        <f>U5</f>
        <v>43358</v>
      </c>
    </row>
    <row r="28" spans="1:29" ht="18" customHeight="1">
      <c r="A28" s="165"/>
      <c r="B28" s="166"/>
      <c r="C28" s="167"/>
      <c r="D28" s="168"/>
      <c r="E28" s="169"/>
      <c r="F28" s="193"/>
      <c r="G28" s="170"/>
      <c r="H28" s="338"/>
      <c r="I28" s="342"/>
      <c r="J28" s="343"/>
      <c r="K28" s="341"/>
      <c r="L28" s="342"/>
      <c r="M28" s="343"/>
      <c r="N28" s="167"/>
      <c r="O28" s="171"/>
      <c r="P28" s="334" t="str">
        <f>IF(Q27="","",Q27*1.2)</f>
        <v/>
      </c>
      <c r="Q28" s="334"/>
      <c r="R28" s="222"/>
      <c r="S28" s="172" t="str">
        <f>IF(S27="","",S27*20)</f>
        <v/>
      </c>
      <c r="T28" s="172" t="str">
        <f>IF(T27="","",T27*11)</f>
        <v/>
      </c>
      <c r="U28" s="173" t="str">
        <f>IF(U27="","",IF((80+(8-ROUNDUP(U27,1))*40)&lt;0,0,80+(8-ROUNDUP(U27,1))*40))</f>
        <v/>
      </c>
      <c r="V28" s="237" t="str">
        <f>IF(SUM(S28,T28,U28)&gt;0,SUM(S28,T28,U28),"")</f>
        <v/>
      </c>
      <c r="W28" s="238" t="str">
        <f>IF(OR(P28="",S28="",T28="",U28=""),"",SUM(P28,S28,T28,U28))</f>
        <v/>
      </c>
      <c r="X28" s="239"/>
      <c r="Y28" s="240"/>
      <c r="Z28" s="226"/>
    </row>
    <row r="29" spans="1:29" ht="18" customHeight="1">
      <c r="A29" s="158"/>
      <c r="B29" s="206"/>
      <c r="C29" s="187"/>
      <c r="D29" s="187"/>
      <c r="E29" s="159"/>
      <c r="F29" s="159"/>
      <c r="G29" s="160"/>
      <c r="H29" s="161"/>
      <c r="I29" s="161"/>
      <c r="J29" s="161"/>
      <c r="K29" s="161"/>
      <c r="L29" s="161"/>
      <c r="M29" s="161"/>
      <c r="N29" s="209" t="str">
        <f>IF(MAX(H29:J29)&gt;0,IF(MAX(H29:J29)&lt;0,0,TRUNC(MAX(H29:J29)/1)*1),"")</f>
        <v/>
      </c>
      <c r="O29" s="210" t="str">
        <f>IF(MAX(K29:M29)&gt;0,IF(MAX(K29:M29)&lt;0,0,TRUNC(MAX(K29:M29)/1)*1),"")</f>
        <v/>
      </c>
      <c r="P29" s="211" t="str">
        <f>IF(N29="","",IF(O29="","",IF(SUM(N29:O29)=0,"",SUM(N29:O29))))</f>
        <v/>
      </c>
      <c r="Q29" s="223" t="str">
        <f>IF(P29="","",IF(A29="","",IF(OR(C29="UK",C29="JK",C29="SK",C29="K1",C29="K2",C29="K3",C29="K4",C29="K5",C29="K6",C29="K7",C29="K8",C29="K9",C29="K10"),IF(A29&gt;153.655,P29,IF(A29&lt;28,10^(0.783497476*LOG10(28/153.655)^2)*P29,10^(0.783497476*LOG10(A29/153.655)^2)*P29)),IF(A29&gt;175.508,P29,IF(A29&lt;32,10^(0.75194503*LOG10(32/175.508)^2)*P29,10^(0.75194503*LOG10(A29/175.508)^2)*P29)))))</f>
        <v/>
      </c>
      <c r="R29" s="224" t="str">
        <f>IF(OR(E29="",A29="",Z29="",Q29=""),"",IF(OR(C29="UM",C29="JM",C29="SM",C29="UK",C29="JK",C29="SK"),"",Q29*(IF(ABS(1900-YEAR((Z29+1)-E29))&lt;29,0,(VLOOKUP((YEAR(Z29)-YEAR(E29)),'Meltzer-Malone'!$A$3:$B$63,2))))))</f>
        <v/>
      </c>
      <c r="S29" s="174" t="str">
        <f>IF('K11'!G27="","",'K11'!G27)</f>
        <v/>
      </c>
      <c r="T29" s="174" t="str">
        <f>IF('K11'!K27="","",'K11'!K27)</f>
        <v/>
      </c>
      <c r="U29" s="174" t="str">
        <f>IF('K11'!N27="","",'K11'!N27)</f>
        <v/>
      </c>
      <c r="V29" s="163"/>
      <c r="W29" s="164"/>
      <c r="X29" s="175"/>
      <c r="Y29" s="176"/>
      <c r="Z29" s="225">
        <f>U5</f>
        <v>43358</v>
      </c>
    </row>
    <row r="30" spans="1:29" ht="18" customHeight="1">
      <c r="A30" s="165"/>
      <c r="B30" s="166"/>
      <c r="C30" s="167"/>
      <c r="D30" s="168"/>
      <c r="E30" s="169"/>
      <c r="F30" s="169"/>
      <c r="G30" s="170"/>
      <c r="H30" s="333"/>
      <c r="I30" s="334"/>
      <c r="J30" s="335"/>
      <c r="K30" s="333"/>
      <c r="L30" s="334"/>
      <c r="M30" s="335"/>
      <c r="N30" s="167"/>
      <c r="O30" s="171"/>
      <c r="P30" s="334" t="str">
        <f>IF(Q29="","",Q29*1.2)</f>
        <v/>
      </c>
      <c r="Q30" s="334"/>
      <c r="R30" s="222"/>
      <c r="S30" s="172" t="str">
        <f>IF(S29="","",S29*20)</f>
        <v/>
      </c>
      <c r="T30" s="172" t="str">
        <f>IF(T29="","",T29*11)</f>
        <v/>
      </c>
      <c r="U30" s="173" t="str">
        <f>IF(U29="","",IF((80+(8-ROUNDUP(U29,1))*40)&lt;0,0,80+(8-ROUNDUP(U29,1))*40))</f>
        <v/>
      </c>
      <c r="V30" s="237" t="str">
        <f>IF(SUM(S30,T30,U30)&gt;0,SUM(S30,T30,U30),"")</f>
        <v/>
      </c>
      <c r="W30" s="238" t="str">
        <f>IF(OR(P30="",S30="",T30="",U30=""),"",SUM(P30,S30,T30,U30))</f>
        <v/>
      </c>
      <c r="X30" s="239"/>
      <c r="Y30" s="240"/>
      <c r="Z30" s="225"/>
    </row>
    <row r="31" spans="1:29" ht="18" customHeight="1">
      <c r="A31" s="158"/>
      <c r="B31" s="206"/>
      <c r="C31" s="187"/>
      <c r="D31" s="187"/>
      <c r="E31" s="159"/>
      <c r="F31" s="159"/>
      <c r="G31" s="160"/>
      <c r="H31" s="161"/>
      <c r="I31" s="161"/>
      <c r="J31" s="161"/>
      <c r="K31" s="161"/>
      <c r="L31" s="161"/>
      <c r="M31" s="161"/>
      <c r="N31" s="209" t="str">
        <f>IF(MAX(H31:J31)&gt;0,IF(MAX(H31:J31)&lt;0,0,TRUNC(MAX(H31:J31)/1)*1),"")</f>
        <v/>
      </c>
      <c r="O31" s="210" t="str">
        <f>IF(MAX(K31:M31)&gt;0,IF(MAX(K31:M31)&lt;0,0,TRUNC(MAX(K31:M31)/1)*1),"")</f>
        <v/>
      </c>
      <c r="P31" s="211" t="str">
        <f>IF(N31="","",IF(O31="","",IF(SUM(N31:O31)=0,"",SUM(N31:O31))))</f>
        <v/>
      </c>
      <c r="Q31" s="223" t="str">
        <f>IF(P31="","",IF(A31="","",IF(OR(C31="UK",C31="JK",C31="SK",C31="K1",C31="K2",C31="K3",C31="K4",C31="K5",C31="K6",C31="K7",C31="K8",C31="K9",C31="K10"),IF(A31&gt;153.655,P31,IF(A31&lt;28,10^(0.783497476*LOG10(28/153.655)^2)*P31,10^(0.783497476*LOG10(A31/153.655)^2)*P31)),IF(A31&gt;175.508,P31,IF(A31&lt;32,10^(0.75194503*LOG10(32/175.508)^2)*P31,10^(0.75194503*LOG10(A31/175.508)^2)*P31)))))</f>
        <v/>
      </c>
      <c r="R31" s="224" t="str">
        <f>IF(OR(E31="",A31="",Z31="",Q31=""),"",IF(OR(C31="UM",C31="JM",C31="SM",C31="UK",C31="JK",C31="SK"),"",Q31*(IF(ABS(1900-YEAR((Z31+1)-E31))&lt;29,0,(VLOOKUP((YEAR(Z31)-YEAR(E31)),'Meltzer-Malone'!$A$3:$B$63,2))))))</f>
        <v/>
      </c>
      <c r="S31" s="174" t="str">
        <f>IF('K11'!G29="","",'K11'!G29)</f>
        <v/>
      </c>
      <c r="T31" s="174" t="str">
        <f>IF('K11'!K29="","",'K11'!K29)</f>
        <v/>
      </c>
      <c r="U31" s="174" t="str">
        <f>IF('K11'!N29="","",'K11'!N29)</f>
        <v/>
      </c>
      <c r="V31" s="163"/>
      <c r="W31" s="164"/>
      <c r="X31" s="175"/>
      <c r="Y31" s="176"/>
      <c r="Z31" s="225">
        <f>U5</f>
        <v>43358</v>
      </c>
    </row>
    <row r="32" spans="1:29" ht="18" customHeight="1" thickBot="1">
      <c r="A32" s="177"/>
      <c r="B32" s="178"/>
      <c r="C32" s="179"/>
      <c r="D32" s="180"/>
      <c r="E32" s="181"/>
      <c r="F32" s="181"/>
      <c r="G32" s="182"/>
      <c r="H32" s="330"/>
      <c r="I32" s="331"/>
      <c r="J32" s="332"/>
      <c r="K32" s="330"/>
      <c r="L32" s="331"/>
      <c r="M32" s="332"/>
      <c r="N32" s="307"/>
      <c r="O32" s="308"/>
      <c r="P32" s="331" t="str">
        <f>IF(Q31="","",Q31*1.2)</f>
        <v/>
      </c>
      <c r="Q32" s="331"/>
      <c r="R32" s="309"/>
      <c r="S32" s="183" t="str">
        <f>IF(S31="","",S31*20)</f>
        <v/>
      </c>
      <c r="T32" s="183" t="str">
        <f>IF(T31="","",T31*11)</f>
        <v/>
      </c>
      <c r="U32" s="184" t="str">
        <f>IF(U31="","",IF((80+(8-ROUNDUP(U31,1))*40)&lt;0,0,80+(8-ROUNDUP(U31,1))*40))</f>
        <v/>
      </c>
      <c r="V32" s="184" t="str">
        <f>IF(SUM(S32,T32,U32)&gt;0,SUM(S32,T32,U32),"")</f>
        <v/>
      </c>
      <c r="W32" s="257" t="str">
        <f>IF(OR(P32="",S32="",T32="",U32=""),"",SUM(P32,S32,T32,U32))</f>
        <v/>
      </c>
      <c r="X32" s="258"/>
      <c r="Y32" s="259"/>
      <c r="Z32" s="225"/>
    </row>
    <row r="33" spans="1:25" ht="14.1">
      <c r="A33" s="429"/>
      <c r="B33" s="429"/>
      <c r="C33" s="429"/>
      <c r="D33" s="430"/>
      <c r="E33" s="431"/>
      <c r="F33" s="431"/>
      <c r="G33" s="432"/>
      <c r="H33" s="433"/>
      <c r="I33" s="433"/>
      <c r="J33" s="433"/>
      <c r="K33" s="433"/>
      <c r="L33" s="433"/>
      <c r="M33" s="433"/>
      <c r="N33" s="429"/>
      <c r="O33" s="429"/>
      <c r="P33" s="429"/>
      <c r="Q33" s="429"/>
      <c r="R33" s="429"/>
      <c r="S33" s="433"/>
      <c r="T33" s="433"/>
      <c r="U33" s="434"/>
      <c r="V33" s="434"/>
      <c r="W33" s="435"/>
      <c r="X33" s="436"/>
      <c r="Y33" s="437"/>
    </row>
    <row r="34" spans="1:25" s="7" customFormat="1" ht="14.1">
      <c r="A34" s="7" t="s">
        <v>50</v>
      </c>
      <c r="B34"/>
      <c r="C34" s="317" t="s">
        <v>51</v>
      </c>
      <c r="D34" s="317"/>
      <c r="E34" s="317"/>
      <c r="F34" s="317"/>
      <c r="G34" s="317"/>
      <c r="H34" s="328" t="s">
        <v>115</v>
      </c>
      <c r="I34" s="328"/>
      <c r="J34" s="134">
        <v>1</v>
      </c>
      <c r="K34" s="317" t="s">
        <v>54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s="7" customFormat="1" ht="14.1">
      <c r="B35"/>
      <c r="C35" s="327"/>
      <c r="D35" s="327"/>
      <c r="E35" s="327"/>
      <c r="F35" s="327"/>
      <c r="G35" s="327"/>
      <c r="H35" s="328"/>
      <c r="I35" s="328"/>
      <c r="J35" s="134">
        <v>2</v>
      </c>
      <c r="K35" s="317" t="s">
        <v>193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s="7" customFormat="1" ht="14.1">
      <c r="A36" s="7" t="s">
        <v>55</v>
      </c>
      <c r="B36"/>
      <c r="C36" s="317"/>
      <c r="D36" s="317"/>
      <c r="E36" s="317"/>
      <c r="F36" s="317"/>
      <c r="G36" s="317"/>
      <c r="H36" s="329"/>
      <c r="I36" s="329"/>
      <c r="J36" s="134">
        <v>3</v>
      </c>
      <c r="K36" s="317" t="s">
        <v>194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s="5" customFormat="1" ht="14.1">
      <c r="A37" s="6"/>
      <c r="B37"/>
      <c r="C37" s="317"/>
      <c r="D37" s="317"/>
      <c r="E37" s="317"/>
      <c r="F37" s="317"/>
      <c r="G37" s="317"/>
      <c r="H37" s="32"/>
      <c r="I37" s="30"/>
      <c r="J37" s="135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s="5" customFormat="1" ht="14.1">
      <c r="A38" s="7"/>
      <c r="B38"/>
      <c r="C38" s="317"/>
      <c r="D38" s="317"/>
      <c r="E38" s="317"/>
      <c r="F38" s="317"/>
      <c r="G38" s="317"/>
      <c r="H38" s="136" t="s">
        <v>57</v>
      </c>
      <c r="I38" s="301"/>
      <c r="J38" s="43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s="5" customFormat="1" ht="14.1">
      <c r="A39" s="2"/>
      <c r="B39" s="2"/>
      <c r="C39" s="30"/>
      <c r="D39" s="31"/>
      <c r="E39" s="31"/>
      <c r="F39" s="31"/>
      <c r="G39" s="32"/>
      <c r="H39" s="136" t="s">
        <v>58</v>
      </c>
      <c r="I39" s="301"/>
      <c r="J39" s="47"/>
      <c r="K39" s="317" t="s">
        <v>261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s="5" customFormat="1" ht="14.1">
      <c r="A40" s="7" t="s">
        <v>60</v>
      </c>
      <c r="B40"/>
      <c r="C40" s="318" t="s">
        <v>196</v>
      </c>
      <c r="D40" s="318"/>
      <c r="E40" s="318"/>
      <c r="F40" s="318"/>
      <c r="G40" s="318"/>
      <c r="H40" s="136" t="s">
        <v>62</v>
      </c>
      <c r="I40" s="301"/>
      <c r="J40" s="137"/>
      <c r="K40" s="317" t="s">
        <v>63</v>
      </c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s="5" customFormat="1" ht="14.1">
      <c r="A41" s="2"/>
      <c r="B41" s="2"/>
      <c r="C41" s="326" t="s">
        <v>64</v>
      </c>
      <c r="D41" s="326"/>
      <c r="E41" s="326"/>
      <c r="F41" s="326"/>
      <c r="G41" s="326"/>
      <c r="H41" s="136"/>
      <c r="I41" s="311"/>
      <c r="J41" s="138"/>
      <c r="K41" s="2"/>
      <c r="L41" s="2"/>
      <c r="M41" s="2"/>
      <c r="N41" s="2"/>
      <c r="O41" s="2"/>
      <c r="P41" s="2"/>
      <c r="Q41" s="2"/>
      <c r="R41" s="2"/>
      <c r="S41" s="40"/>
      <c r="T41" s="40"/>
      <c r="U41" s="40"/>
      <c r="V41" s="40"/>
    </row>
    <row r="42" spans="1:25" s="5" customFormat="1" ht="14.1">
      <c r="A42" s="311" t="s">
        <v>65</v>
      </c>
      <c r="B42" s="139"/>
      <c r="C42" s="317" t="s">
        <v>63</v>
      </c>
      <c r="D42" s="317"/>
      <c r="E42" s="317"/>
      <c r="F42" s="317"/>
      <c r="G42" s="317"/>
      <c r="H42" s="136" t="s">
        <v>66</v>
      </c>
      <c r="I42" s="301"/>
      <c r="J42" s="43"/>
      <c r="K42" s="317" t="s">
        <v>262</v>
      </c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s="5" customFormat="1" ht="14.1">
      <c r="A43" s="2"/>
      <c r="B43" s="2"/>
      <c r="C43" s="317"/>
      <c r="D43" s="317"/>
      <c r="E43" s="317"/>
      <c r="F43" s="317"/>
      <c r="G43" s="317"/>
      <c r="H43" s="136"/>
      <c r="I43" s="301"/>
      <c r="J43" s="138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s="5" customFormat="1" ht="14.1">
      <c r="A44" s="139" t="s">
        <v>68</v>
      </c>
      <c r="B44" s="139"/>
      <c r="C44" s="33" t="s">
        <v>69</v>
      </c>
      <c r="D44" s="34"/>
      <c r="E44" s="34"/>
      <c r="F44" s="34"/>
      <c r="G44" s="35"/>
      <c r="I44" s="301"/>
      <c r="J44" s="13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</row>
    <row r="45" spans="1:25" s="5" customFormat="1" ht="14.1">
      <c r="A45" s="140"/>
      <c r="B45" s="140"/>
      <c r="C45" s="33"/>
      <c r="D45" s="31"/>
      <c r="E45" s="31"/>
      <c r="F45" s="31"/>
      <c r="G45" s="32"/>
      <c r="I45" s="301"/>
      <c r="J45" s="13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</row>
    <row r="46" spans="1:25" s="5" customFormat="1" ht="14.1">
      <c r="A46" s="2"/>
      <c r="B46" s="2"/>
      <c r="C46" s="3"/>
      <c r="D46" s="4"/>
      <c r="E46" s="4"/>
      <c r="F46" s="4"/>
      <c r="I46" s="301"/>
      <c r="J46" s="13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</row>
    <row r="47" spans="1:25">
      <c r="A47" s="36"/>
      <c r="B47" s="36"/>
      <c r="C47" s="36"/>
      <c r="D47" s="36"/>
      <c r="E47" s="36"/>
      <c r="F47" s="36"/>
      <c r="H47" s="36"/>
      <c r="I47" s="36"/>
      <c r="J47" s="43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</sheetData>
  <mergeCells count="74">
    <mergeCell ref="X5:Y5"/>
    <mergeCell ref="G2:Q2"/>
    <mergeCell ref="G3:Q3"/>
    <mergeCell ref="A5:B5"/>
    <mergeCell ref="C5:G5"/>
    <mergeCell ref="H5:I5"/>
    <mergeCell ref="J5:N5"/>
    <mergeCell ref="P5:S5"/>
    <mergeCell ref="U5:V5"/>
    <mergeCell ref="H7:J7"/>
    <mergeCell ref="K7:M7"/>
    <mergeCell ref="N7:Q7"/>
    <mergeCell ref="H8:J8"/>
    <mergeCell ref="K8:M8"/>
    <mergeCell ref="H10:J10"/>
    <mergeCell ref="K10:M10"/>
    <mergeCell ref="P10:Q10"/>
    <mergeCell ref="H12:J12"/>
    <mergeCell ref="K12:M12"/>
    <mergeCell ref="P12:Q12"/>
    <mergeCell ref="H14:J14"/>
    <mergeCell ref="K14:M14"/>
    <mergeCell ref="P14:Q14"/>
    <mergeCell ref="H16:J16"/>
    <mergeCell ref="K16:M16"/>
    <mergeCell ref="P16:Q16"/>
    <mergeCell ref="H18:J18"/>
    <mergeCell ref="K18:M18"/>
    <mergeCell ref="P18:Q18"/>
    <mergeCell ref="H20:J20"/>
    <mergeCell ref="K20:M20"/>
    <mergeCell ref="P20:Q20"/>
    <mergeCell ref="H22:J22"/>
    <mergeCell ref="K22:M22"/>
    <mergeCell ref="P22:Q22"/>
    <mergeCell ref="H24:J24"/>
    <mergeCell ref="K24:M24"/>
    <mergeCell ref="P24:Q24"/>
    <mergeCell ref="H26:J26"/>
    <mergeCell ref="K26:M26"/>
    <mergeCell ref="P26:Q26"/>
    <mergeCell ref="H28:J28"/>
    <mergeCell ref="K28:M28"/>
    <mergeCell ref="P28:Q28"/>
    <mergeCell ref="H30:J30"/>
    <mergeCell ref="K30:M30"/>
    <mergeCell ref="P30:Q30"/>
    <mergeCell ref="H32:J32"/>
    <mergeCell ref="K32:M32"/>
    <mergeCell ref="P32:Q32"/>
    <mergeCell ref="C38:G38"/>
    <mergeCell ref="K38:Y38"/>
    <mergeCell ref="C34:G34"/>
    <mergeCell ref="H34:I34"/>
    <mergeCell ref="K34:Y34"/>
    <mergeCell ref="C35:G35"/>
    <mergeCell ref="H35:I35"/>
    <mergeCell ref="K35:Y35"/>
    <mergeCell ref="C36:G36"/>
    <mergeCell ref="H36:I36"/>
    <mergeCell ref="K36:Y36"/>
    <mergeCell ref="C37:G37"/>
    <mergeCell ref="K37:Y37"/>
    <mergeCell ref="K39:Y39"/>
    <mergeCell ref="C40:G40"/>
    <mergeCell ref="K40:Y40"/>
    <mergeCell ref="C41:G41"/>
    <mergeCell ref="C42:G42"/>
    <mergeCell ref="K42:Y42"/>
    <mergeCell ref="C43:G43"/>
    <mergeCell ref="K43:Y43"/>
    <mergeCell ref="K44:Y44"/>
    <mergeCell ref="K45:Y45"/>
    <mergeCell ref="K46:Y46"/>
  </mergeCells>
  <conditionalFormatting sqref="H31:M31 H29:M29">
    <cfRule type="cellIs" dxfId="21" priority="85" stopIfTrue="1" operator="between">
      <formula>1</formula>
      <formula>300</formula>
    </cfRule>
    <cfRule type="cellIs" dxfId="20" priority="86" stopIfTrue="1" operator="lessThanOrEqual">
      <formula>0</formula>
    </cfRule>
  </conditionalFormatting>
  <conditionalFormatting sqref="H11:M11">
    <cfRule type="cellIs" dxfId="19" priority="11" stopIfTrue="1" operator="between">
      <formula>1</formula>
      <formula>300</formula>
    </cfRule>
    <cfRule type="cellIs" dxfId="18" priority="12" stopIfTrue="1" operator="lessThanOrEqual">
      <formula>0</formula>
    </cfRule>
  </conditionalFormatting>
  <conditionalFormatting sqref="H27:M27">
    <cfRule type="cellIs" dxfId="17" priority="83" stopIfTrue="1" operator="between">
      <formula>1</formula>
      <formula>300</formula>
    </cfRule>
    <cfRule type="cellIs" dxfId="16" priority="84" stopIfTrue="1" operator="lessThanOrEqual">
      <formula>0</formula>
    </cfRule>
  </conditionalFormatting>
  <conditionalFormatting sqref="H23:M23">
    <cfRule type="cellIs" dxfId="15" priority="71" stopIfTrue="1" operator="between">
      <formula>1</formula>
      <formula>300</formula>
    </cfRule>
    <cfRule type="cellIs" dxfId="14" priority="72" stopIfTrue="1" operator="lessThanOrEqual">
      <formula>0</formula>
    </cfRule>
  </conditionalFormatting>
  <conditionalFormatting sqref="H21:M21">
    <cfRule type="cellIs" dxfId="13" priority="29" stopIfTrue="1" operator="between">
      <formula>1</formula>
      <formula>300</formula>
    </cfRule>
    <cfRule type="cellIs" dxfId="12" priority="30" stopIfTrue="1" operator="lessThanOrEqual">
      <formula>0</formula>
    </cfRule>
  </conditionalFormatting>
  <conditionalFormatting sqref="H15:M15">
    <cfRule type="cellIs" dxfId="11" priority="3" stopIfTrue="1" operator="between">
      <formula>1</formula>
      <formula>300</formula>
    </cfRule>
    <cfRule type="cellIs" dxfId="10" priority="4" stopIfTrue="1" operator="lessThanOrEqual">
      <formula>0</formula>
    </cfRule>
  </conditionalFormatting>
  <conditionalFormatting sqref="H9:M9">
    <cfRule type="cellIs" dxfId="9" priority="1" stopIfTrue="1" operator="between">
      <formula>1</formula>
      <formula>300</formula>
    </cfRule>
    <cfRule type="cellIs" dxfId="8" priority="2" stopIfTrue="1" operator="lessThanOrEqual">
      <formula>0</formula>
    </cfRule>
  </conditionalFormatting>
  <conditionalFormatting sqref="H25:M25">
    <cfRule type="cellIs" dxfId="7" priority="81" stopIfTrue="1" operator="between">
      <formula>1</formula>
      <formula>300</formula>
    </cfRule>
    <cfRule type="cellIs" dxfId="6" priority="82" stopIfTrue="1" operator="lessThanOrEqual">
      <formula>0</formula>
    </cfRule>
  </conditionalFormatting>
  <conditionalFormatting sqref="H13:M13">
    <cfRule type="cellIs" dxfId="5" priority="9" stopIfTrue="1" operator="between">
      <formula>1</formula>
      <formula>300</formula>
    </cfRule>
    <cfRule type="cellIs" dxfId="4" priority="10" stopIfTrue="1" operator="lessThanOrEqual">
      <formula>0</formula>
    </cfRule>
  </conditionalFormatting>
  <conditionalFormatting sqref="H17:M17">
    <cfRule type="cellIs" dxfId="3" priority="7" stopIfTrue="1" operator="between">
      <formula>1</formula>
      <formula>300</formula>
    </cfRule>
    <cfRule type="cellIs" dxfId="2" priority="8" stopIfTrue="1" operator="lessThanOrEqual">
      <formula>0</formula>
    </cfRule>
  </conditionalFormatting>
  <conditionalFormatting sqref="H19:M19">
    <cfRule type="cellIs" dxfId="1" priority="5" stopIfTrue="1" operator="between">
      <formula>1</formula>
      <formula>300</formula>
    </cfRule>
    <cfRule type="cellIs" dxfId="0" priority="6" stopIfTrue="1" operator="lessThanOrEqual">
      <formula>0</formula>
    </cfRule>
  </conditionalFormatting>
  <dataValidations count="3">
    <dataValidation type="list" allowBlank="1" showInputMessage="1" showErrorMessage="1" errorTitle="Feil_i_kat.5-kamp" error="Feil verdi i kategori 5-kamp" sqref="D9 D11 D13 D15 D17 D19 D21 D23 D25 D27 D29 D31" xr:uid="{00000000-0002-0000-0A00-000000000000}">
      <formula1>"11-12,13-14,15-16,17-18,+18,'+18,18+"</formula1>
    </dataValidation>
    <dataValidation type="list" allowBlank="1" showInputMessage="1" showErrorMessage="1" errorTitle="Feil _i_kat.v.løft" error="Feil verdi i kategori vektløfting" sqref="C9 C11 C13 C15 C17 C19 C21 C23 C25 C27 C29 C31" xr:uid="{00000000-0002-0000-0A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B9 B11 B13 B15 B17 B19 B21 B23 B25 B27 B29 B31" xr:uid="{00000000-0002-0000-0A00-000002000000}">
      <formula1>"44,48,53,58,63,69,+69,'+69,69+,75,+75,'+75,75,50,56,62,69,77,85,94,+94,'+94,94+,105,+105,'+105,105+"</formula1>
    </dataValidation>
  </dataValidations>
  <pageMargins left="0.27559055118110237" right="0.27559055118110237" top="0.27559055118110237" bottom="0.27559055118110237" header="0.51181102362204722" footer="0.51181102362204722"/>
  <pageSetup paperSize="9" scale="66" orientation="landscape" horizontalDpi="300" verticalDpi="300" copies="2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>
    <pageSetUpPr fitToPage="1"/>
  </sheetPr>
  <dimension ref="A1:N112"/>
  <sheetViews>
    <sheetView topLeftCell="A64" zoomScale="123" zoomScaleNormal="120" zoomScalePageLayoutView="120" workbookViewId="0">
      <selection activeCell="E112" sqref="E112"/>
    </sheetView>
  </sheetViews>
  <sheetFormatPr defaultColWidth="8.85546875" defaultRowHeight="12.95"/>
  <cols>
    <col min="1" max="1" width="5.42578125" customWidth="1"/>
    <col min="2" max="3" width="7.5703125" customWidth="1"/>
    <col min="4" max="4" width="7.140625" customWidth="1"/>
    <col min="5" max="5" width="10.42578125" customWidth="1"/>
    <col min="6" max="6" width="27.5703125" customWidth="1"/>
    <col min="7" max="7" width="20.5703125" customWidth="1"/>
    <col min="8" max="9" width="6.85546875" customWidth="1"/>
    <col min="10" max="11" width="8.5703125" customWidth="1"/>
    <col min="12" max="12" width="9.5703125" customWidth="1"/>
    <col min="13" max="13" width="9.42578125" bestFit="1" customWidth="1"/>
  </cols>
  <sheetData>
    <row r="1" spans="1:14" ht="30.6" thickBot="1">
      <c r="A1" s="383" t="s">
        <v>263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4" s="149" customFormat="1" ht="21" customHeight="1" thickBot="1">
      <c r="A2" s="386" t="str">
        <f>IF('P2'!J5&gt;0,'P2'!J5,"")</f>
        <v>Larvik AK</v>
      </c>
      <c r="B2" s="387"/>
      <c r="C2" s="387"/>
      <c r="D2" s="387"/>
      <c r="E2" s="387"/>
      <c r="F2" s="388" t="str">
        <f>IF('P2'!P5&gt;0,'P2'!P5,"")</f>
        <v>Stavernhallen</v>
      </c>
      <c r="G2" s="387"/>
      <c r="H2" s="387"/>
      <c r="I2" s="387"/>
      <c r="J2" s="389">
        <f>IF('P2'!U5&gt;0,'P2'!U5,"")</f>
        <v>43358</v>
      </c>
      <c r="K2" s="389"/>
      <c r="L2" s="389"/>
      <c r="M2" s="390"/>
    </row>
    <row r="3" spans="1:14" ht="20.45" thickBot="1">
      <c r="A3" s="377" t="s">
        <v>264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9"/>
    </row>
    <row r="4" spans="1:14" s="73" customFormat="1" ht="12.6">
      <c r="A4" s="141" t="s">
        <v>265</v>
      </c>
      <c r="B4" s="148" t="s">
        <v>266</v>
      </c>
      <c r="C4" s="148" t="s">
        <v>267</v>
      </c>
      <c r="D4" s="141" t="s">
        <v>268</v>
      </c>
      <c r="E4" s="141" t="s">
        <v>269</v>
      </c>
      <c r="F4" s="142" t="s">
        <v>15</v>
      </c>
      <c r="G4" s="142" t="s">
        <v>85</v>
      </c>
      <c r="H4" s="141" t="s">
        <v>17</v>
      </c>
      <c r="I4" s="141" t="s">
        <v>18</v>
      </c>
      <c r="J4" s="141" t="s">
        <v>270</v>
      </c>
      <c r="K4" s="141" t="s">
        <v>271</v>
      </c>
      <c r="L4" s="141" t="s">
        <v>77</v>
      </c>
      <c r="M4" s="141" t="s">
        <v>21</v>
      </c>
      <c r="N4" s="80"/>
    </row>
    <row r="5" spans="1:14" s="73" customFormat="1" ht="14.1">
      <c r="A5" s="143">
        <v>1</v>
      </c>
      <c r="B5" s="144">
        <f>IF('P2'!A13="","",'P2'!A13)</f>
        <v>52.62</v>
      </c>
      <c r="C5" s="144" t="str">
        <f>IF('P2'!C13="","",'P2'!C13)</f>
        <v>UK</v>
      </c>
      <c r="D5" s="144" t="str">
        <f>IF('P2'!D13="","",'P2'!D13)</f>
        <v>13-14</v>
      </c>
      <c r="E5" s="145">
        <f>IF('P2'!E13="","",'P2'!E13)</f>
        <v>38256</v>
      </c>
      <c r="F5" s="146" t="str">
        <f>IF('P2'!G13="","",'P2'!G13)</f>
        <v>Åse Johanne Berge</v>
      </c>
      <c r="G5" s="146" t="str">
        <f>IF('P2'!G14="","",'P2'!G14)</f>
        <v>Hitra VK</v>
      </c>
      <c r="H5" s="147">
        <f>IF('P2'!N13="","",'P2'!N13)</f>
        <v>44</v>
      </c>
      <c r="I5" s="147">
        <f>IF('P2'!O13="","",'P2'!O13)</f>
        <v>58</v>
      </c>
      <c r="J5" s="144">
        <f>IF('P2'!S13="","",'P2'!S13)</f>
        <v>6.44</v>
      </c>
      <c r="K5" s="144">
        <f>IF('P2'!T13="","",'P2'!T13)</f>
        <v>11.56</v>
      </c>
      <c r="L5" s="144">
        <f>IF('P2'!U13="","",'P2'!U13)</f>
        <v>7.24</v>
      </c>
      <c r="M5" s="144">
        <f>IF('P2'!W14="","",'P2'!W14)</f>
        <v>544.8779765575332</v>
      </c>
      <c r="N5" s="80">
        <v>12</v>
      </c>
    </row>
    <row r="6" spans="1:14" ht="14.1">
      <c r="A6" s="143">
        <v>2</v>
      </c>
      <c r="B6" s="144">
        <f>IF('P2'!A11="","",'P2'!A11)</f>
        <v>50.38</v>
      </c>
      <c r="C6" s="144" t="str">
        <f>IF('P2'!C11="","",'P2'!C11)</f>
        <v>UK</v>
      </c>
      <c r="D6" s="144" t="str">
        <f>IF('P2'!D11="","",'P2'!D11)</f>
        <v>13-14</v>
      </c>
      <c r="E6" s="145">
        <f>IF('P2'!E11="","",'P2'!E11)</f>
        <v>38084</v>
      </c>
      <c r="F6" s="146" t="str">
        <f>IF('P2'!G11="","",'P2'!G11)</f>
        <v>Ronja Lenvik</v>
      </c>
      <c r="G6" s="146" t="str">
        <f>IF('P2'!G12="","",'P2'!G12)</f>
        <v>Hitra VK</v>
      </c>
      <c r="H6" s="147">
        <f>IF('P2'!N11="","",'P2'!N11)</f>
        <v>47</v>
      </c>
      <c r="I6" s="147">
        <f>IF('P2'!O11="","",'P2'!O11)</f>
        <v>52</v>
      </c>
      <c r="J6" s="144">
        <f>IF('P2'!S11="","",'P2'!S11)</f>
        <v>6.47</v>
      </c>
      <c r="K6" s="144">
        <f>IF('P2'!T11="","",'P2'!T11)</f>
        <v>10.119999999999999</v>
      </c>
      <c r="L6" s="144">
        <f>IF('P2'!U11="","",'P2'!U11)</f>
        <v>7.27</v>
      </c>
      <c r="M6" s="144">
        <f>IF('P2'!W12="","",'P2'!W12)</f>
        <v>530.09370391288144</v>
      </c>
      <c r="N6">
        <v>10</v>
      </c>
    </row>
    <row r="7" spans="1:14" ht="14.1">
      <c r="A7" s="143">
        <v>3</v>
      </c>
      <c r="B7" s="144">
        <f>IF('P2'!A17="","",'P2'!A17)</f>
        <v>86.31</v>
      </c>
      <c r="C7" s="144" t="str">
        <f>IF('P2'!C17="","",'P2'!C17)</f>
        <v>UK</v>
      </c>
      <c r="D7" s="144" t="str">
        <f>IF('P2'!D17="","",'P2'!D17)</f>
        <v>13-14</v>
      </c>
      <c r="E7" s="145">
        <f>IF('P2'!E17="","",'P2'!E17)</f>
        <v>38134</v>
      </c>
      <c r="F7" s="146" t="str">
        <f>IF('P2'!G17="","",'P2'!G17)</f>
        <v>Carmen Grimseth</v>
      </c>
      <c r="G7" s="146" t="str">
        <f>IF('P2'!G18="","",'P2'!G18)</f>
        <v>Tambarskjelvar IL</v>
      </c>
      <c r="H7" s="147">
        <f>IF('P2'!N17="","",'P2'!N17)</f>
        <v>48</v>
      </c>
      <c r="I7" s="147">
        <f>IF('P2'!O17="","",'P2'!O17)</f>
        <v>62</v>
      </c>
      <c r="J7" s="144">
        <f>IF('P2'!S17="","",'P2'!S17)</f>
        <v>5.18</v>
      </c>
      <c r="K7" s="144">
        <f>IF('P2'!T17="","",'P2'!T17)</f>
        <v>10.28</v>
      </c>
      <c r="L7" s="144">
        <f>IF('P2'!U17="","",'P2'!U17)</f>
        <v>8.6999999999999993</v>
      </c>
      <c r="M7" s="144">
        <f>IF('P2'!W18="","",'P2'!W18)</f>
        <v>416.4999100540366</v>
      </c>
      <c r="N7">
        <v>9</v>
      </c>
    </row>
    <row r="8" spans="1:14" ht="14.1">
      <c r="A8" s="143">
        <v>4</v>
      </c>
      <c r="B8" s="144">
        <f>IF('P2'!A15="","",'P2'!A15)</f>
        <v>53.8</v>
      </c>
      <c r="C8" s="144" t="str">
        <f>IF('P2'!C15="","",'P2'!C15)</f>
        <v>UK</v>
      </c>
      <c r="D8" s="144" t="str">
        <f>IF('P2'!D15="","",'P2'!D15)</f>
        <v>13-14</v>
      </c>
      <c r="E8" s="145">
        <f>IF('P2'!E15="","",'P2'!E15)</f>
        <v>38645</v>
      </c>
      <c r="F8" s="146" t="str">
        <f>IF('P2'!G15="","",'P2'!G15)</f>
        <v>Thea Andersen Larsen</v>
      </c>
      <c r="G8" s="146" t="str">
        <f>IF('P2'!G16="","",'P2'!G16)</f>
        <v>Larvik AK</v>
      </c>
      <c r="H8" s="147">
        <f>IF('P2'!N15="","",'P2'!N15)</f>
        <v>33</v>
      </c>
      <c r="I8" s="147">
        <f>IF('P2'!O15="","",'P2'!O15)</f>
        <v>41</v>
      </c>
      <c r="J8" s="144">
        <f>IF('P2'!S15="","",'P2'!S15)</f>
        <v>5.33</v>
      </c>
      <c r="K8" s="144">
        <f>IF('P2'!T15="","",'P2'!T15)</f>
        <v>6.54</v>
      </c>
      <c r="L8" s="144">
        <f>IF('P2'!U15="","",'P2'!U15)</f>
        <v>8.43</v>
      </c>
      <c r="M8" s="144">
        <f>IF('P2'!W16="","",'P2'!W16)</f>
        <v>367.7101035495491</v>
      </c>
      <c r="N8">
        <v>8</v>
      </c>
    </row>
    <row r="9" spans="1:14" ht="14.1">
      <c r="A9" s="143">
        <v>5</v>
      </c>
      <c r="B9" s="144">
        <f>IF('P2'!A9="","",'P2'!A9)</f>
        <v>47.7</v>
      </c>
      <c r="C9" s="144" t="str">
        <f>IF('P2'!C9="","",'P2'!C9)</f>
        <v>UK</v>
      </c>
      <c r="D9" s="144" t="str">
        <f>IF('P2'!D9="","",'P2'!D9)</f>
        <v>13-14</v>
      </c>
      <c r="E9" s="145">
        <f>IF('P2'!E9="","",'P2'!E9)</f>
        <v>38239</v>
      </c>
      <c r="F9" s="146" t="str">
        <f>IF('P2'!G9="","",'P2'!G9)</f>
        <v>Iben Karete Karlsen</v>
      </c>
      <c r="G9" s="146" t="str">
        <f>IF('P2'!G10="","",'P2'!G10)</f>
        <v>Gjøvik AK</v>
      </c>
      <c r="H9" s="147">
        <f>IF('P2'!N9="","",'P2'!N9)</f>
        <v>18</v>
      </c>
      <c r="I9" s="147">
        <f>IF('P2'!O9="","",'P2'!O9)</f>
        <v>24</v>
      </c>
      <c r="J9" s="144">
        <f>IF('P2'!S9="","",'P2'!S9)</f>
        <v>3.89</v>
      </c>
      <c r="K9" s="144">
        <f>IF('P2'!T9="","",'P2'!T9)</f>
        <v>5.9</v>
      </c>
      <c r="L9" s="144">
        <f>IF('P2'!U9="","",'P2'!U9)</f>
        <v>10.15</v>
      </c>
      <c r="M9" s="144">
        <f>IF('P2'!W10="","",'P2'!W10)</f>
        <v>222.9870631012964</v>
      </c>
      <c r="N9">
        <v>7</v>
      </c>
    </row>
    <row r="10" spans="1:14" ht="14.1">
      <c r="A10" s="143"/>
      <c r="B10" s="144"/>
      <c r="C10" s="144"/>
      <c r="D10" s="144"/>
      <c r="E10" s="145"/>
      <c r="F10" s="146"/>
      <c r="G10" s="146"/>
      <c r="H10" s="147"/>
      <c r="I10" s="147"/>
      <c r="J10" s="144"/>
      <c r="K10" s="144"/>
      <c r="L10" s="144"/>
      <c r="M10" s="144"/>
    </row>
    <row r="11" spans="1:14" ht="14.1">
      <c r="A11" s="143">
        <v>1</v>
      </c>
      <c r="B11" s="144">
        <f>IF('P2'!A21="","",'P2'!A21)</f>
        <v>57.19</v>
      </c>
      <c r="C11" s="144" t="str">
        <f>IF('P2'!C21="","",'P2'!C21)</f>
        <v>UK</v>
      </c>
      <c r="D11" s="144" t="str">
        <f>IF('P2'!D21="","",'P2'!D21)</f>
        <v>15-16</v>
      </c>
      <c r="E11" s="145">
        <f>IF('P2'!E21="","",'P2'!E21)</f>
        <v>37315</v>
      </c>
      <c r="F11" s="146" t="str">
        <f>IF('P2'!G21="","",'P2'!G21)</f>
        <v>Julia Jordanger Loen</v>
      </c>
      <c r="G11" s="146" t="str">
        <f>IF('P2'!G22="","",'P2'!G22)</f>
        <v>Breimsbygda IL</v>
      </c>
      <c r="H11" s="147">
        <f>IF('P2'!N21="","",'P2'!N21)</f>
        <v>54</v>
      </c>
      <c r="I11" s="147">
        <f>IF('P2'!O21="","",'P2'!O21)</f>
        <v>73</v>
      </c>
      <c r="J11" s="144">
        <f>IF('P2'!S21="","",'P2'!S21)</f>
        <v>7.17</v>
      </c>
      <c r="K11" s="144">
        <f>IF('P2'!T21="","",'P2'!T21)</f>
        <v>13.86</v>
      </c>
      <c r="L11" s="144">
        <f>IF('P2'!U21="","",'P2'!U21)</f>
        <v>6.64</v>
      </c>
      <c r="M11" s="144">
        <f>IF('P2'!W22="","",'P2'!W22)</f>
        <v>640.34730887138755</v>
      </c>
      <c r="N11">
        <v>12</v>
      </c>
    </row>
    <row r="12" spans="1:14" ht="14.1">
      <c r="A12" s="143">
        <v>2</v>
      </c>
      <c r="B12" s="144">
        <f>IF('P2'!A27="","",'P2'!A27)</f>
        <v>86.73</v>
      </c>
      <c r="C12" s="144" t="str">
        <f>IF('P2'!C27="","",'P2'!C27)</f>
        <v>UK</v>
      </c>
      <c r="D12" s="144" t="str">
        <f>IF('P2'!D27="","",'P2'!D27)</f>
        <v>15-16</v>
      </c>
      <c r="E12" s="145">
        <f>IF('P2'!E27="","",'P2'!E27)</f>
        <v>37272</v>
      </c>
      <c r="F12" s="146" t="str">
        <f>IF('P2'!G27="","",'P2'!G27)</f>
        <v>Erika Jellestad</v>
      </c>
      <c r="G12" s="146" t="str">
        <f>IF('P2'!G28="","",'P2'!G28)</f>
        <v>Vigrestad IK</v>
      </c>
      <c r="H12" s="147">
        <f>IF('P2'!N27="","",'P2'!N27)</f>
        <v>42</v>
      </c>
      <c r="I12" s="147">
        <f>IF('P2'!O27="","",'P2'!O27)</f>
        <v>50</v>
      </c>
      <c r="J12" s="144">
        <f>IF('P2'!S27="","",'P2'!S27)</f>
        <v>5.41</v>
      </c>
      <c r="K12" s="144">
        <f>IF('P2'!T27="","",'P2'!T27)</f>
        <v>9.85</v>
      </c>
      <c r="L12" s="144">
        <f>IF('P2'!U27="","",'P2'!U27)</f>
        <v>8.6</v>
      </c>
      <c r="M12" s="144">
        <f>IF('P2'!W28="","",'P2'!W28)</f>
        <v>395.94684553433683</v>
      </c>
      <c r="N12">
        <v>10</v>
      </c>
    </row>
    <row r="13" spans="1:14" ht="14.1">
      <c r="A13" s="143">
        <v>3</v>
      </c>
      <c r="B13" s="144">
        <f>IF('P2'!A23="","",'P2'!A23)</f>
        <v>60.07</v>
      </c>
      <c r="C13" s="144" t="str">
        <f>IF('P2'!C23="","",'P2'!C23)</f>
        <v>UK</v>
      </c>
      <c r="D13" s="144" t="str">
        <f>IF('P2'!D23="","",'P2'!D23)</f>
        <v>15-16</v>
      </c>
      <c r="E13" s="145">
        <f>IF('P2'!E23="","",'P2'!E23)</f>
        <v>37547</v>
      </c>
      <c r="F13" s="146" t="str">
        <f>IF('P2'!G23="","",'P2'!G23)</f>
        <v>Iselin Mehl Brekkhus</v>
      </c>
      <c r="G13" s="146" t="str">
        <f>IF('P2'!G24="","",'P2'!G24)</f>
        <v>Vigrestad IK</v>
      </c>
      <c r="H13" s="147">
        <f>IF('P2'!N23="","",'P2'!N23)</f>
        <v>32</v>
      </c>
      <c r="I13" s="147">
        <f>IF('P2'!O23="","",'P2'!O23)</f>
        <v>42</v>
      </c>
      <c r="J13" s="144">
        <f>IF('P2'!S23="","",'P2'!S23)</f>
        <v>5.54</v>
      </c>
      <c r="K13" s="144">
        <f>IF('P2'!T23="","",'P2'!T23)</f>
        <v>8.83</v>
      </c>
      <c r="L13" s="144">
        <f>IF('P2'!U23="","",'P2'!U23)</f>
        <v>8.27</v>
      </c>
      <c r="M13" s="144">
        <f>IF('P2'!W24="","",'P2'!W24)</f>
        <v>395.81536635285897</v>
      </c>
      <c r="N13">
        <v>9</v>
      </c>
    </row>
    <row r="14" spans="1:14" ht="14.1">
      <c r="A14" s="143">
        <v>4</v>
      </c>
      <c r="B14" s="144">
        <f>IF('P2'!A19="","",'P2'!A19)</f>
        <v>51.66</v>
      </c>
      <c r="C14" s="144" t="str">
        <f>IF('P2'!C19="","",'P2'!C19)</f>
        <v>UK</v>
      </c>
      <c r="D14" s="144" t="str">
        <f>IF('P2'!D19="","",'P2'!D19)</f>
        <v>15.16</v>
      </c>
      <c r="E14" s="145">
        <f>IF('P2'!E19="","",'P2'!E19)</f>
        <v>37977</v>
      </c>
      <c r="F14" s="146" t="str">
        <f>IF('P2'!G19="","",'P2'!G19)</f>
        <v>Louisa Hjelmås</v>
      </c>
      <c r="G14" s="146" t="str">
        <f>IF('P2'!G20="","",'P2'!G20)</f>
        <v>Gjøvik AK</v>
      </c>
      <c r="H14" s="147">
        <f>IF('P2'!N19="","",'P2'!N19)</f>
        <v>22</v>
      </c>
      <c r="I14" s="147">
        <f>IF('P2'!O19="","",'P2'!O19)</f>
        <v>24</v>
      </c>
      <c r="J14" s="144">
        <f>IF('P2'!S19="","",'P2'!S19)</f>
        <v>5.79</v>
      </c>
      <c r="K14" s="144">
        <f>IF('P2'!T19="","",'P2'!T19)</f>
        <v>5.15</v>
      </c>
      <c r="L14" s="144">
        <f>IF('P2'!U19="","",'P2'!U19)</f>
        <v>8.34</v>
      </c>
      <c r="M14" s="144">
        <f>IF('P2'!W20="","",'P2'!W20)</f>
        <v>319.15296309160937</v>
      </c>
      <c r="N14">
        <v>8</v>
      </c>
    </row>
    <row r="15" spans="1:14" ht="14.1">
      <c r="A15" s="143"/>
      <c r="B15" s="144">
        <f>IF('P2'!A25="","",'P2'!A25)</f>
        <v>70.959999999999994</v>
      </c>
      <c r="C15" s="144" t="str">
        <f>IF('P2'!C25="","",'P2'!C25)</f>
        <v>UK</v>
      </c>
      <c r="D15" s="144" t="str">
        <f>IF('P2'!D25="","",'P2'!D25)</f>
        <v>15-16</v>
      </c>
      <c r="E15" s="145">
        <f>IF('P2'!E25="","",'P2'!E25)</f>
        <v>37889</v>
      </c>
      <c r="F15" s="146" t="str">
        <f>IF('P2'!G25="","",'P2'!G25)</f>
        <v>Camilla Strand</v>
      </c>
      <c r="G15" s="146" t="str">
        <f>IF('P2'!G26="","",'P2'!G26)</f>
        <v>Larvik AK</v>
      </c>
      <c r="H15" s="147">
        <f>IF('P2'!N25="","",'P2'!N25)</f>
        <v>36</v>
      </c>
      <c r="I15" s="147" t="str">
        <f>IF('P2'!O25="","",'P2'!O25)</f>
        <v/>
      </c>
      <c r="J15" s="144">
        <f>IF('P2'!S25="","",'P2'!S25)</f>
        <v>5.74</v>
      </c>
      <c r="K15" s="144">
        <f>IF('P2'!T25="","",'P2'!T25)</f>
        <v>6.96</v>
      </c>
      <c r="L15" s="144">
        <f>IF('P2'!U25="","",'P2'!U25)</f>
        <v>8.6300000000000008</v>
      </c>
      <c r="M15" s="144" t="str">
        <f>IF('P2'!W26="","",'P2'!W26)</f>
        <v/>
      </c>
    </row>
    <row r="16" spans="1:14" ht="14.1">
      <c r="A16" s="143"/>
      <c r="B16" s="144"/>
      <c r="C16" s="144"/>
      <c r="D16" s="144"/>
      <c r="E16" s="145"/>
      <c r="F16" s="146"/>
      <c r="G16" s="146"/>
      <c r="H16" s="147"/>
      <c r="I16" s="147"/>
      <c r="J16" s="144"/>
      <c r="K16" s="144"/>
      <c r="L16" s="144"/>
      <c r="M16" s="144"/>
    </row>
    <row r="17" spans="1:14" s="73" customFormat="1" ht="14.1">
      <c r="A17" s="143">
        <v>1</v>
      </c>
      <c r="B17" s="144">
        <f>IF('P3'!A9="","",'P3'!A9)</f>
        <v>51.1</v>
      </c>
      <c r="C17" s="144" t="str">
        <f>IF('P3'!C9="","",'P3'!C9)</f>
        <v>JK</v>
      </c>
      <c r="D17" s="144" t="str">
        <f>IF('P3'!D9="","",'P3'!D9)</f>
        <v>17-18</v>
      </c>
      <c r="E17" s="145">
        <f>IF('P3'!E9="","",'P3'!E9)</f>
        <v>36561</v>
      </c>
      <c r="F17" s="146" t="str">
        <f>IF('P3'!G9="","",'P3'!G9)</f>
        <v>Tiril Boge</v>
      </c>
      <c r="G17" s="146" t="str">
        <f>IF('P3'!G10="","",'P3'!G10)</f>
        <v>AK Bjørgvin</v>
      </c>
      <c r="H17" s="147">
        <f>IF('P3'!N9="","",'P3'!N9)</f>
        <v>61</v>
      </c>
      <c r="I17" s="147">
        <f>IF('P3'!O9="","",'P3'!O9)</f>
        <v>75</v>
      </c>
      <c r="J17" s="144">
        <f>IF('P3'!S9="","",'P3'!S9)</f>
        <v>7.87</v>
      </c>
      <c r="K17" s="144">
        <f>IF('P3'!T9="","",'P3'!T9)</f>
        <v>12.94</v>
      </c>
      <c r="L17" s="144">
        <f>IF('P3'!U9="","",'P3'!U9)</f>
        <v>6.93</v>
      </c>
      <c r="M17" s="144">
        <f>IF('P3'!W10="","",'P3'!W10)</f>
        <v>666.24800611421574</v>
      </c>
      <c r="N17" s="80">
        <v>12</v>
      </c>
    </row>
    <row r="18" spans="1:14" s="73" customFormat="1" ht="14.1">
      <c r="A18" s="143">
        <v>2</v>
      </c>
      <c r="B18" s="144">
        <f>IF('P3'!A11="","",'P3'!A11)</f>
        <v>56.38</v>
      </c>
      <c r="C18" s="144" t="str">
        <f>IF('P3'!C11="","",'P3'!C11)</f>
        <v>UK</v>
      </c>
      <c r="D18" s="144" t="str">
        <f>IF('P3'!D11="","",'P3'!D11)</f>
        <v>17-18</v>
      </c>
      <c r="E18" s="145">
        <f>IF('P3'!E11="","",'P3'!E11)</f>
        <v>36902</v>
      </c>
      <c r="F18" s="146" t="str">
        <f>IF('P3'!G11="","",'P3'!G11)</f>
        <v>Helene Skuggedal</v>
      </c>
      <c r="G18" s="146" t="str">
        <f>IF('P3'!G12="","",'P3'!G12)</f>
        <v>Larvik AK</v>
      </c>
      <c r="H18" s="147">
        <f>IF('P3'!N11="","",'P3'!N11)</f>
        <v>55</v>
      </c>
      <c r="I18" s="147">
        <f>IF('P3'!O11="","",'P3'!O11)</f>
        <v>70</v>
      </c>
      <c r="J18" s="144">
        <f>IF('P3'!S11="","",'P3'!S11)</f>
        <v>7.14</v>
      </c>
      <c r="K18" s="144">
        <f>IF('P3'!T11="","",'P3'!T11)</f>
        <v>10.5</v>
      </c>
      <c r="L18" s="144">
        <f>IF('P3'!U11="","",'P3'!U11)</f>
        <v>7.29</v>
      </c>
      <c r="M18" s="144">
        <f>IF('P3'!W12="","",'P3'!W12)</f>
        <v>577.47188964215582</v>
      </c>
      <c r="N18" s="80">
        <v>10</v>
      </c>
    </row>
    <row r="19" spans="1:14" s="73" customFormat="1" ht="14.1">
      <c r="A19" s="143">
        <v>3</v>
      </c>
      <c r="B19" s="144">
        <f>IF('P3'!A13="","",'P3'!A13)</f>
        <v>60.39</v>
      </c>
      <c r="C19" s="144" t="str">
        <f>IF('P3'!C13="","",'P3'!C13)</f>
        <v>JK</v>
      </c>
      <c r="D19" s="144" t="str">
        <f>IF('P3'!D13="","",'P3'!D13)</f>
        <v>17-18</v>
      </c>
      <c r="E19" s="145">
        <f>IF('P3'!E13="","",'P3'!E13)</f>
        <v>36794</v>
      </c>
      <c r="F19" s="146" t="str">
        <f>IF('P3'!G13="","",'P3'!G13)</f>
        <v>Ida Vaka</v>
      </c>
      <c r="G19" s="146" t="str">
        <f>IF('P3'!G14="","",'P3'!G14)</f>
        <v>Tysvær VK</v>
      </c>
      <c r="H19" s="147">
        <f>IF('P3'!N13="","",'P3'!N13)</f>
        <v>50</v>
      </c>
      <c r="I19" s="147">
        <f>IF('P3'!O13="","",'P3'!O13)</f>
        <v>63</v>
      </c>
      <c r="J19" s="144">
        <f>IF('P3'!S13="","",'P3'!S13)</f>
        <v>6.8</v>
      </c>
      <c r="K19" s="144">
        <f>IF('P3'!T13="","",'P3'!T13)</f>
        <v>9.76</v>
      </c>
      <c r="L19" s="144">
        <f>IF('P3'!U13="","",'P3'!U13)</f>
        <v>7.14</v>
      </c>
      <c r="M19" s="144">
        <f>IF('P3'!W14="","",'P3'!W14)</f>
        <v>537.80933021804037</v>
      </c>
      <c r="N19" s="80">
        <v>9</v>
      </c>
    </row>
    <row r="20" spans="1:14" s="73" customFormat="1" ht="14.1">
      <c r="A20" s="143">
        <v>4</v>
      </c>
      <c r="B20" s="144">
        <f>IF('P3'!A17="","",'P3'!A17)</f>
        <v>65.45</v>
      </c>
      <c r="C20" s="144" t="str">
        <f>IF('P3'!C17="","",'P3'!C17)</f>
        <v>UK</v>
      </c>
      <c r="D20" s="144" t="str">
        <f>IF('P3'!D17="","",'P3'!D17)</f>
        <v>17-18</v>
      </c>
      <c r="E20" s="145">
        <f>IF('P3'!E17="","",'P3'!E17)</f>
        <v>36909</v>
      </c>
      <c r="F20" s="146" t="str">
        <f>IF('P3'!G17="","",'P3'!G17)</f>
        <v>Hannah Økland</v>
      </c>
      <c r="G20" s="146" t="str">
        <f>IF('P3'!G18="","",'P3'!G18)</f>
        <v>Trondheim AK</v>
      </c>
      <c r="H20" s="147">
        <f>IF('P3'!N17="","",'P3'!N17)</f>
        <v>47</v>
      </c>
      <c r="I20" s="147">
        <f>IF('P3'!O17="","",'P3'!O17)</f>
        <v>60</v>
      </c>
      <c r="J20" s="144">
        <f>IF('P3'!S17="","",'P3'!S17)</f>
        <v>6.12</v>
      </c>
      <c r="K20" s="144">
        <f>IF('P3'!T17="","",'P3'!T17)</f>
        <v>11.75</v>
      </c>
      <c r="L20" s="144">
        <f>IF('P3'!U17="","",'P3'!U17)</f>
        <v>7.83</v>
      </c>
      <c r="M20" s="144">
        <f>IF('P3'!W18="","",'P3'!W18)</f>
        <v>500.16121047202057</v>
      </c>
      <c r="N20" s="80">
        <v>8</v>
      </c>
    </row>
    <row r="21" spans="1:14" s="73" customFormat="1" ht="14.1">
      <c r="A21" s="143">
        <v>5</v>
      </c>
      <c r="B21" s="144">
        <f>IF('P3'!A15="","",'P3'!A15)</f>
        <v>65.099999999999994</v>
      </c>
      <c r="C21" s="144" t="str">
        <f>IF('P3'!C15="","",'P3'!C15)</f>
        <v>JK</v>
      </c>
      <c r="D21" s="144" t="str">
        <f>IF('P3'!D15="","",'P3'!D15)</f>
        <v>17-18</v>
      </c>
      <c r="E21" s="145">
        <f>IF('P3'!E15="","",'P3'!E15)</f>
        <v>36628</v>
      </c>
      <c r="F21" s="146" t="str">
        <f>IF('P3'!G15="","",'P3'!G15)</f>
        <v>Marthe Knutsen</v>
      </c>
      <c r="G21" s="146" t="str">
        <f>IF('P3'!G16="","",'P3'!G16)</f>
        <v>Tysvær VK</v>
      </c>
      <c r="H21" s="147">
        <f>IF('P3'!N15="","",'P3'!N15)</f>
        <v>48</v>
      </c>
      <c r="I21" s="147">
        <f>IF('P3'!O15="","",'P3'!O15)</f>
        <v>66</v>
      </c>
      <c r="J21" s="144">
        <f>IF('P3'!S15="","",'P3'!S15)</f>
        <v>6.15</v>
      </c>
      <c r="K21" s="144">
        <f>IF('P3'!T15="","",'P3'!T15)</f>
        <v>8.85</v>
      </c>
      <c r="L21" s="144">
        <f>IF('P3'!U15="","",'P3'!U15)</f>
        <v>7.54</v>
      </c>
      <c r="M21" s="144">
        <f>IF('P3'!W16="","",'P3'!W16)</f>
        <v>492.17202415309805</v>
      </c>
      <c r="N21" s="80">
        <v>7</v>
      </c>
    </row>
    <row r="22" spans="1:14" s="73" customFormat="1" ht="14.1">
      <c r="A22" s="143">
        <v>6</v>
      </c>
      <c r="B22" s="144">
        <f>IF('P3'!A19="","",'P3'!A19)</f>
        <v>71.37</v>
      </c>
      <c r="C22" s="144" t="str">
        <f>IF('P3'!C19="","",'P3'!C19)</f>
        <v>UK</v>
      </c>
      <c r="D22" s="144" t="str">
        <f>IF('P3'!D19="","",'P3'!D19)</f>
        <v>17-18</v>
      </c>
      <c r="E22" s="145">
        <f>IF('P3'!E19="","",'P3'!E19)</f>
        <v>37227</v>
      </c>
      <c r="F22" s="146" t="str">
        <f>IF('P3'!G19="","",'P3'!G19)</f>
        <v>Amalie Straume</v>
      </c>
      <c r="G22" s="146" t="str">
        <f>IF('P3'!G20="","",'P3'!G20)</f>
        <v>Trondheim AK</v>
      </c>
      <c r="H22" s="147">
        <f>IF('P3'!N19="","",'P3'!N19)</f>
        <v>47</v>
      </c>
      <c r="I22" s="147">
        <f>IF('P3'!O19="","",'P3'!O19)</f>
        <v>56</v>
      </c>
      <c r="J22" s="144">
        <f>IF('P3'!S19="","",'P3'!S19)</f>
        <v>6.19</v>
      </c>
      <c r="K22" s="144">
        <f>IF('P3'!T19="","",'P3'!T19)</f>
        <v>10.49</v>
      </c>
      <c r="L22" s="144">
        <f>IF('P3'!U19="","",'P3'!U19)</f>
        <v>8.09</v>
      </c>
      <c r="M22" s="144">
        <f>IF('P3'!W20="","",'P3'!W20)</f>
        <v>466.1687756981205</v>
      </c>
      <c r="N22" s="80">
        <v>6</v>
      </c>
    </row>
    <row r="23" spans="1:14" ht="14.1">
      <c r="A23" s="143"/>
      <c r="B23" s="144"/>
      <c r="C23" s="144"/>
      <c r="D23" s="144"/>
      <c r="E23" s="145"/>
      <c r="F23" s="146"/>
      <c r="G23" s="146"/>
      <c r="H23" s="147"/>
      <c r="I23" s="147"/>
      <c r="J23" s="144"/>
      <c r="K23" s="144"/>
      <c r="L23" s="144"/>
      <c r="M23" s="144"/>
    </row>
    <row r="24" spans="1:14" ht="14.1">
      <c r="A24" s="143">
        <v>1</v>
      </c>
      <c r="B24" s="144">
        <f>IF('P6'!A9="","",'P6'!A9)</f>
        <v>52.66</v>
      </c>
      <c r="C24" s="144" t="str">
        <f>IF('P6'!C9="","",'P6'!C9)</f>
        <v>SK</v>
      </c>
      <c r="D24" s="144" t="str">
        <f>IF('P6'!D9="","",'P6'!D9)</f>
        <v>+18</v>
      </c>
      <c r="E24" s="145">
        <f>IF('P6'!E9="","",'P6'!E9)</f>
        <v>34413</v>
      </c>
      <c r="F24" s="146" t="str">
        <f>IF('P6'!G9="","",'P6'!G9)</f>
        <v>Sarah Hovden Øvsthus</v>
      </c>
      <c r="G24" s="146" t="str">
        <f>IF('P6'!G10="","",'P6'!G10)</f>
        <v>AK Bjørgvin</v>
      </c>
      <c r="H24" s="147">
        <f>IF('P6'!N9="","",'P6'!N9)</f>
        <v>73</v>
      </c>
      <c r="I24" s="147">
        <f>IF('P6'!O9="","",'P6'!O9)</f>
        <v>98</v>
      </c>
      <c r="J24" s="144">
        <f>IF('P6'!S9="","",'P6'!S9)</f>
        <v>7.68</v>
      </c>
      <c r="K24" s="144">
        <f>IF('P6'!T9="","",'P6'!T9)</f>
        <v>15.55</v>
      </c>
      <c r="L24" s="144">
        <f>IF('P6'!U9="","",'P6'!U9)</f>
        <v>6.63</v>
      </c>
      <c r="M24" s="144">
        <f>IF('P6'!W10="","",'P6'!W10)</f>
        <v>759.78569430567359</v>
      </c>
      <c r="N24" s="80">
        <v>12</v>
      </c>
    </row>
    <row r="25" spans="1:14" ht="14.1">
      <c r="A25" s="143">
        <v>2</v>
      </c>
      <c r="B25" s="144">
        <f>IF('P6'!A17="","",'P6'!A17)</f>
        <v>64.81</v>
      </c>
      <c r="C25" s="144" t="str">
        <f>IF('P6'!C17="","",'P6'!C17)</f>
        <v>SK</v>
      </c>
      <c r="D25" s="144" t="str">
        <f>IF('P6'!D17="","",'P6'!D17)</f>
        <v>+18</v>
      </c>
      <c r="E25" s="145">
        <f>IF('P6'!E17="","",'P6'!E17)</f>
        <v>33735</v>
      </c>
      <c r="F25" s="146" t="str">
        <f>IF('P6'!G17="","",'P6'!G17)</f>
        <v>Marit Årdalsbakke</v>
      </c>
      <c r="G25" s="146" t="str">
        <f>IF('P6'!G18="","",'P6'!G18)</f>
        <v>Tambarskjelvar IL</v>
      </c>
      <c r="H25" s="147">
        <f>IF('P6'!N17="","",'P6'!N17)</f>
        <v>87</v>
      </c>
      <c r="I25" s="147">
        <f>IF('P6'!O17="","",'P6'!O17)</f>
        <v>102</v>
      </c>
      <c r="J25" s="144">
        <f>IF('P6'!S17="","",'P6'!S17)</f>
        <v>7.63</v>
      </c>
      <c r="K25" s="144">
        <f>IF('P6'!T17="","",'P6'!T17)</f>
        <v>15.37</v>
      </c>
      <c r="L25" s="144">
        <f>IF('P6'!U17="","",'P6'!U17)</f>
        <v>6.73</v>
      </c>
      <c r="M25" s="144">
        <f>IF('P6'!W18="","",'P6'!W18)</f>
        <v>741.9279778274099</v>
      </c>
      <c r="N25" s="80">
        <v>10</v>
      </c>
    </row>
    <row r="26" spans="1:14" ht="14.1">
      <c r="A26" s="143">
        <v>3</v>
      </c>
      <c r="B26" s="144">
        <f>IF('P6'!A15="","",'P6'!A15)</f>
        <v>64.42</v>
      </c>
      <c r="C26" s="144" t="str">
        <f>IF('P6'!C15="","",'P6'!C15)</f>
        <v>SK</v>
      </c>
      <c r="D26" s="144" t="str">
        <f>IF('P6'!D15="","",'P6'!D15)</f>
        <v>+18</v>
      </c>
      <c r="E26" s="145" t="str">
        <f>IF('P6'!E15="","",'P6'!E15)</f>
        <v>02.02.84</v>
      </c>
      <c r="F26" s="146" t="str">
        <f>IF('P6'!G15="","",'P6'!G15)</f>
        <v>Marie Mossige Grythe</v>
      </c>
      <c r="G26" s="146" t="str">
        <f>IF('P6'!G16="","",'P6'!G16)</f>
        <v>Spydeberg Atletene</v>
      </c>
      <c r="H26" s="147">
        <f>IF('P6'!N15="","",'P6'!N15)</f>
        <v>80</v>
      </c>
      <c r="I26" s="147">
        <f>IF('P6'!O15="","",'P6'!O15)</f>
        <v>100</v>
      </c>
      <c r="J26" s="144">
        <f>IF('P6'!S15="","",'P6'!S15)</f>
        <v>7.46</v>
      </c>
      <c r="K26" s="144">
        <f>IF('P6'!T15="","",'P6'!T15)</f>
        <v>12.33</v>
      </c>
      <c r="L26" s="144">
        <f>IF('P6'!U15="","",'P6'!U15)</f>
        <v>6.58</v>
      </c>
      <c r="M26" s="144">
        <f>IF('P6'!W16="","",'P6'!W16)</f>
        <v>700.16310248901834</v>
      </c>
      <c r="N26" s="80">
        <v>9</v>
      </c>
    </row>
    <row r="27" spans="1:14" ht="14.1">
      <c r="A27" s="143">
        <v>4</v>
      </c>
      <c r="B27" s="144">
        <f>IF('P5'!A9="","",'P5'!A9)</f>
        <v>55.01</v>
      </c>
      <c r="C27" s="144" t="str">
        <f>IF('P5'!C9="","",'P5'!C9)</f>
        <v>SK</v>
      </c>
      <c r="D27" s="144" t="str">
        <f>IF('P5'!D9="","",'P5'!D9)</f>
        <v>+18</v>
      </c>
      <c r="E27" s="145" t="str">
        <f>IF('P5'!E9="","",'P5'!E9)</f>
        <v>12.09.96</v>
      </c>
      <c r="F27" s="146" t="str">
        <f>IF('P5'!G9="","",'P5'!G9)</f>
        <v>Rebekka Tao Jacobsen</v>
      </c>
      <c r="G27" s="146" t="str">
        <f>IF('P5'!G10="","",'P5'!G10)</f>
        <v>Larvik AK</v>
      </c>
      <c r="H27" s="147">
        <f>IF('P5'!N9="","",'P5'!N9)</f>
        <v>73</v>
      </c>
      <c r="I27" s="147">
        <f>IF('P5'!O9="","",'P5'!O9)</f>
        <v>95</v>
      </c>
      <c r="J27" s="144">
        <f>IF('P5'!S9="","",'P5'!S9)</f>
        <v>6.92</v>
      </c>
      <c r="K27" s="144">
        <f>IF('P5'!T9="","",'P5'!T9)</f>
        <v>10.56</v>
      </c>
      <c r="L27" s="144">
        <f>IF('P5'!U9="","",'P5'!U9)</f>
        <v>6.75</v>
      </c>
      <c r="M27" s="144">
        <f>IF('P5'!W10="","",'P5'!W10)</f>
        <v>671.23829997354926</v>
      </c>
      <c r="N27" s="80">
        <v>8</v>
      </c>
    </row>
    <row r="28" spans="1:14" ht="14.1">
      <c r="A28" s="143">
        <v>5</v>
      </c>
      <c r="B28" s="144">
        <f>IF('P4'!A9="","",'P4'!A9)</f>
        <v>52.74</v>
      </c>
      <c r="C28" s="144" t="str">
        <f>IF('P4'!C9="","",'P4'!C9)</f>
        <v>SK</v>
      </c>
      <c r="D28" s="144" t="str">
        <f>IF('P4'!D9="","",'P4'!D9)</f>
        <v>+18</v>
      </c>
      <c r="E28" s="145">
        <f>IF('P4'!E9="","",'P4'!E9)</f>
        <v>31750</v>
      </c>
      <c r="F28" s="146" t="str">
        <f>IF('P4'!G9="","",'P4'!G9)</f>
        <v>Vibeke Carlsen</v>
      </c>
      <c r="G28" s="146" t="str">
        <f>IF('P4'!G10="","",'P4'!G10)</f>
        <v>Tønsberg-Kam.</v>
      </c>
      <c r="H28" s="147">
        <f>IF('P4'!N9="","",'P4'!N9)</f>
        <v>60</v>
      </c>
      <c r="I28" s="147">
        <f>IF('P4'!O9="","",'P4'!O9)</f>
        <v>73</v>
      </c>
      <c r="J28" s="144">
        <f>IF('P4'!S9="","",'P4'!S9)</f>
        <v>7.53</v>
      </c>
      <c r="K28" s="144">
        <f>IF('P4'!T9="","",'P4'!T9)</f>
        <v>13.5</v>
      </c>
      <c r="L28" s="144">
        <f>IF('P4'!U9="","",'P4'!U9)</f>
        <v>6.79</v>
      </c>
      <c r="M28" s="144">
        <f>IF('P4'!W10="","",'P4'!W10)</f>
        <v>662.61170763538553</v>
      </c>
      <c r="N28" s="80">
        <v>7</v>
      </c>
    </row>
    <row r="29" spans="1:14" ht="14.1">
      <c r="A29" s="143">
        <v>6</v>
      </c>
      <c r="B29" s="144">
        <f>IF('P5'!A19="","",'P5'!A19)</f>
        <v>63.33</v>
      </c>
      <c r="C29" s="144" t="str">
        <f>IF('P5'!C19="","",'P5'!C19)</f>
        <v>SK</v>
      </c>
      <c r="D29" s="144" t="str">
        <f>IF('P5'!D19="","",'P5'!D19)</f>
        <v>+18</v>
      </c>
      <c r="E29" s="145">
        <f>IF('P5'!E19="","",'P5'!E19)</f>
        <v>35431</v>
      </c>
      <c r="F29" s="146" t="str">
        <f>IF('P5'!G19="","",'P5'!G19)</f>
        <v>Emma Hald</v>
      </c>
      <c r="G29" s="146" t="str">
        <f>IF('P5'!G20="","",'P5'!G20)</f>
        <v>AK Bjørgvin</v>
      </c>
      <c r="H29" s="147">
        <f>IF('P5'!N19="","",'P5'!N19)</f>
        <v>76</v>
      </c>
      <c r="I29" s="147">
        <f>IF('P5'!O19="","",'P5'!O19)</f>
        <v>90</v>
      </c>
      <c r="J29" s="144">
        <f>IF('P5'!S19="","",'P5'!S19)</f>
        <v>7.06</v>
      </c>
      <c r="K29" s="144">
        <f>IF('P5'!T19="","",'P5'!T19)</f>
        <v>13.49</v>
      </c>
      <c r="L29" s="144">
        <f>IF('P5'!U19="","",'P5'!U19)</f>
        <v>7.2</v>
      </c>
      <c r="M29" s="144">
        <f>IF('P5'!W20="","",'P5'!W20)</f>
        <v>661.83678263144225</v>
      </c>
      <c r="N29" s="80">
        <v>6</v>
      </c>
    </row>
    <row r="30" spans="1:14" ht="14.1">
      <c r="A30" s="143">
        <v>7</v>
      </c>
      <c r="B30" s="144">
        <f>IF('P6'!A19="","",'P6'!A19)</f>
        <v>74.510000000000005</v>
      </c>
      <c r="C30" s="144" t="str">
        <f>IF('P6'!C19="","",'P6'!C19)</f>
        <v>SK</v>
      </c>
      <c r="D30" s="144" t="str">
        <f>IF('P6'!D19="","",'P6'!D19)</f>
        <v>+18</v>
      </c>
      <c r="E30" s="145" t="str">
        <f>IF('P6'!E19="","",'P6'!E19)</f>
        <v>14.11.85</v>
      </c>
      <c r="F30" s="146" t="str">
        <f>IF('P6'!G19="","",'P6'!G19)</f>
        <v>Marianne Hasfjord</v>
      </c>
      <c r="G30" s="146" t="str">
        <f>IF('P6'!G20="","",'P6'!G20)</f>
        <v>AK Bjørgvin</v>
      </c>
      <c r="H30" s="147">
        <f>IF('P6'!N19="","",'P6'!N19)</f>
        <v>77</v>
      </c>
      <c r="I30" s="147">
        <f>IF('P6'!O19="","",'P6'!O19)</f>
        <v>97</v>
      </c>
      <c r="J30" s="144">
        <f>IF('P6'!S19="","",'P6'!S19)</f>
        <v>6.82</v>
      </c>
      <c r="K30" s="144">
        <f>IF('P6'!T19="","",'P6'!T19)</f>
        <v>14.35</v>
      </c>
      <c r="L30" s="144">
        <f>IF('P6'!U19="","",'P6'!U19)</f>
        <v>7.12</v>
      </c>
      <c r="M30" s="144">
        <f>IF('P6'!W20="","",'P6'!W20)</f>
        <v>655.79203919406973</v>
      </c>
      <c r="N30" s="80">
        <v>5</v>
      </c>
    </row>
    <row r="31" spans="1:14" ht="14.1">
      <c r="A31" s="143">
        <v>8</v>
      </c>
      <c r="B31" s="144">
        <f>IF('P5'!A15="","",'P5'!A15)</f>
        <v>63.51</v>
      </c>
      <c r="C31" s="144" t="str">
        <f>IF('P5'!C15="","",'P5'!C15)</f>
        <v>SK</v>
      </c>
      <c r="D31" s="144" t="str">
        <f>IF('P5'!D15="","",'P5'!D15)</f>
        <v>+18</v>
      </c>
      <c r="E31" s="145">
        <f>IF('P5'!E15="","",'P5'!E15)</f>
        <v>35388</v>
      </c>
      <c r="F31" s="146" t="str">
        <f>IF('P5'!G15="","",'P5'!G15)</f>
        <v>Emmy Kristine L. Rustad</v>
      </c>
      <c r="G31" s="146" t="str">
        <f>IF('P5'!G16="","",'P5'!G16)</f>
        <v>Grenland AK</v>
      </c>
      <c r="H31" s="147">
        <f>IF('P5'!N15="","",'P5'!N15)</f>
        <v>66</v>
      </c>
      <c r="I31" s="147">
        <f>IF('P5'!O15="","",'P5'!O15)</f>
        <v>81</v>
      </c>
      <c r="J31" s="144">
        <f>IF('P5'!S15="","",'P5'!S15)</f>
        <v>7.44</v>
      </c>
      <c r="K31" s="144">
        <f>IF('P5'!T15="","",'P5'!T15)</f>
        <v>13.25</v>
      </c>
      <c r="L31" s="144">
        <f>IF('P5'!U15="","",'P5'!U15)</f>
        <v>6.81</v>
      </c>
      <c r="M31" s="144">
        <f>IF('P5'!W16="","",'P5'!W16)</f>
        <v>648.61592151325044</v>
      </c>
      <c r="N31" s="80">
        <v>4</v>
      </c>
    </row>
    <row r="32" spans="1:14" ht="14.1">
      <c r="A32" s="143">
        <v>9</v>
      </c>
      <c r="B32" s="144">
        <f>IF('P6'!A23="","",'P6'!A23)</f>
        <v>86.88</v>
      </c>
      <c r="C32" s="144" t="str">
        <f>IF('P6'!C23="","",'P6'!C23)</f>
        <v>SK</v>
      </c>
      <c r="D32" s="144" t="str">
        <f>IF('P6'!D23="","",'P6'!D23)</f>
        <v>+18</v>
      </c>
      <c r="E32" s="145" t="str">
        <f>IF('P6'!E23="","",'P6'!E23)</f>
        <v>10.11.92</v>
      </c>
      <c r="F32" s="146" t="str">
        <f>IF('P6'!G23="","",'P6'!G23)</f>
        <v>Lone Kalland</v>
      </c>
      <c r="G32" s="146" t="str">
        <f>IF('P6'!G24="","",'P6'!G24)</f>
        <v>Tambarskjelvar IL</v>
      </c>
      <c r="H32" s="147">
        <f>IF('P6'!N23="","",'P6'!N23)</f>
        <v>73</v>
      </c>
      <c r="I32" s="147">
        <f>IF('P6'!O23="","",'P6'!O23)</f>
        <v>102</v>
      </c>
      <c r="J32" s="144">
        <f>IF('P6'!S23="","",'P6'!S23)</f>
        <v>6.74</v>
      </c>
      <c r="K32" s="144">
        <f>IF('P6'!T23="","",'P6'!T23)</f>
        <v>13.79</v>
      </c>
      <c r="L32" s="144">
        <f>IF('P6'!U23="","",'P6'!U23)</f>
        <v>7.62</v>
      </c>
      <c r="M32" s="144">
        <f>IF('P6'!W24="","",'P6'!W24)</f>
        <v>613.054688879266</v>
      </c>
      <c r="N32" s="80">
        <v>3</v>
      </c>
    </row>
    <row r="33" spans="1:14" ht="14.1">
      <c r="A33" s="143">
        <v>10</v>
      </c>
      <c r="B33" s="144">
        <f>IF('P5'!A21="","",'P5'!A21)</f>
        <v>76.319999999999993</v>
      </c>
      <c r="C33" s="144" t="str">
        <f>IF('P5'!C21="","",'P5'!C21)</f>
        <v>SK</v>
      </c>
      <c r="D33" s="144" t="str">
        <f>IF('P5'!D21="","",'P5'!D21)</f>
        <v>+18</v>
      </c>
      <c r="E33" s="145">
        <f>IF('P5'!E21="","",'P5'!E21)</f>
        <v>31888</v>
      </c>
      <c r="F33" s="146" t="str">
        <f>IF('P5'!G21="","",'P5'!G21)</f>
        <v>Elisabeth Settem</v>
      </c>
      <c r="G33" s="146" t="str">
        <f>IF('P5'!G22="","",'P5'!G22)</f>
        <v>Trondheim AK</v>
      </c>
      <c r="H33" s="147">
        <f>IF('P5'!N21="","",'P5'!N21)</f>
        <v>70</v>
      </c>
      <c r="I33" s="147">
        <f>IF('P5'!O21="","",'P5'!O21)</f>
        <v>88</v>
      </c>
      <c r="J33" s="144">
        <f>IF('P5'!S21="","",'P5'!S21)</f>
        <v>6.31</v>
      </c>
      <c r="K33" s="144">
        <f>IF('P5'!T21="","",'P5'!T21)</f>
        <v>13.37</v>
      </c>
      <c r="L33" s="144">
        <f>IF('P5'!U21="","",'P5'!U21)</f>
        <v>7.29</v>
      </c>
      <c r="M33" s="144">
        <f>IF('P5'!W22="","",'P5'!W22)</f>
        <v>605.24646004039255</v>
      </c>
      <c r="N33" s="80">
        <v>2</v>
      </c>
    </row>
    <row r="34" spans="1:14" ht="14.1">
      <c r="A34" s="143">
        <v>11</v>
      </c>
      <c r="B34" s="144">
        <f>IF('P5'!A17="","",'P5'!A17)</f>
        <v>67.98</v>
      </c>
      <c r="C34" s="144" t="str">
        <f>IF('P5'!C17="","",'P5'!C17)</f>
        <v>SK</v>
      </c>
      <c r="D34" s="144" t="str">
        <f>IF('P5'!D17="","",'P5'!D17)</f>
        <v>+18</v>
      </c>
      <c r="E34" s="145">
        <f>IF('P5'!E17="","",'P5'!E17)</f>
        <v>33491</v>
      </c>
      <c r="F34" s="146" t="str">
        <f>IF('P5'!G17="","",'P5'!G17)</f>
        <v>Iselin Hatlenes</v>
      </c>
      <c r="G34" s="146" t="str">
        <f>IF('P5'!G18="","",'P5'!G18)</f>
        <v>AK Bjørgvin</v>
      </c>
      <c r="H34" s="147">
        <f>IF('P5'!N17="","",'P5'!N17)</f>
        <v>67</v>
      </c>
      <c r="I34" s="147">
        <f>IF('P5'!O17="","",'P5'!O17)</f>
        <v>87</v>
      </c>
      <c r="J34" s="144">
        <f>IF('P5'!S17="","",'P5'!S17)</f>
        <v>6.47</v>
      </c>
      <c r="K34" s="144">
        <f>IF('P5'!T17="","",'P5'!T17)</f>
        <v>12.17</v>
      </c>
      <c r="L34" s="144">
        <f>IF('P5'!U17="","",'P5'!U17)</f>
        <v>7.37</v>
      </c>
      <c r="M34" s="144">
        <f>IF('P5'!W18="","",'P5'!W18)</f>
        <v>598.99803767801473</v>
      </c>
      <c r="N34" s="80">
        <v>1</v>
      </c>
    </row>
    <row r="35" spans="1:14" ht="14.1">
      <c r="A35" s="143">
        <v>12</v>
      </c>
      <c r="B35" s="144">
        <f>IF('P4'!A19="","",'P4'!A19)</f>
        <v>66.78</v>
      </c>
      <c r="C35" s="144" t="str">
        <f>IF('P4'!C19="","",'P4'!C19)</f>
        <v>SK</v>
      </c>
      <c r="D35" s="144" t="str">
        <f>IF('P4'!D19="","",'P4'!D19)</f>
        <v>+18</v>
      </c>
      <c r="E35" s="145">
        <f>IF('P4'!E19="","",'P4'!E19)</f>
        <v>33506</v>
      </c>
      <c r="F35" s="146" t="str">
        <f>IF('P4'!G19="","",'P4'!G19)</f>
        <v>Julie Kristine Brotangen</v>
      </c>
      <c r="G35" s="146" t="str">
        <f>IF('P4'!G20="","",'P4'!G20)</f>
        <v>Gjøvik AK</v>
      </c>
      <c r="H35" s="147">
        <f>IF('P4'!N19="","",'P4'!N19)</f>
        <v>56</v>
      </c>
      <c r="I35" s="147">
        <f>IF('P4'!O19="","",'P4'!O19)</f>
        <v>81</v>
      </c>
      <c r="J35" s="144">
        <f>IF('P4'!S19="","",'P4'!S19)</f>
        <v>6.22</v>
      </c>
      <c r="K35" s="144">
        <f>IF('P4'!T19="","",'P4'!T19)</f>
        <v>11.35</v>
      </c>
      <c r="L35" s="144">
        <f>IF('P4'!U19="","",'P4'!U19)</f>
        <v>6.97</v>
      </c>
      <c r="M35" s="144">
        <f>IF('P4'!W20="","",'P4'!W20)</f>
        <v>577.4678218860206</v>
      </c>
      <c r="N35" s="80">
        <v>1</v>
      </c>
    </row>
    <row r="36" spans="1:14" ht="14.1">
      <c r="A36" s="143">
        <v>13</v>
      </c>
      <c r="B36" s="144">
        <f>IF('P4'!A17="","",'P4'!A17)</f>
        <v>64.040000000000006</v>
      </c>
      <c r="C36" s="144" t="str">
        <f>IF('P4'!C17="","",'P4'!C17)</f>
        <v>SK</v>
      </c>
      <c r="D36" s="144" t="str">
        <f>IF('P4'!D17="","",'P4'!D17)</f>
        <v>+18</v>
      </c>
      <c r="E36" s="145">
        <f>IF('P4'!E17="","",'P4'!E17)</f>
        <v>33356</v>
      </c>
      <c r="F36" s="146" t="str">
        <f>IF('P4'!G17="","",'P4'!G17)</f>
        <v>Hanna Sletvold</v>
      </c>
      <c r="G36" s="146" t="str">
        <f>IF('P4'!G18="","",'P4'!G18)</f>
        <v>Nidelv IL</v>
      </c>
      <c r="H36" s="147">
        <f>IF('P4'!N17="","",'P4'!N17)</f>
        <v>63</v>
      </c>
      <c r="I36" s="147">
        <f>IF('P4'!O17="","",'P4'!O17)</f>
        <v>76</v>
      </c>
      <c r="J36" s="144">
        <f>IF('P4'!S17="","",'P4'!S17)</f>
        <v>6.83</v>
      </c>
      <c r="K36" s="144">
        <f>IF('P4'!T17="","",'P4'!T17)</f>
        <v>11.21</v>
      </c>
      <c r="L36" s="144">
        <f>IF('P4'!U17="","",'P4'!U17)</f>
        <v>7.44</v>
      </c>
      <c r="M36" s="144">
        <f>IF('P4'!W18="","",'P4'!W18)</f>
        <v>576.37609368687345</v>
      </c>
      <c r="N36" s="80">
        <v>1</v>
      </c>
    </row>
    <row r="37" spans="1:14" ht="14.1">
      <c r="A37" s="143">
        <v>14</v>
      </c>
      <c r="B37" s="144">
        <f>IF('P5'!A11="","",'P5'!A11)</f>
        <v>62.72</v>
      </c>
      <c r="C37" s="144" t="str">
        <f>IF('P5'!C11="","",'P5'!C11)</f>
        <v>SK</v>
      </c>
      <c r="D37" s="144" t="str">
        <f>IF('P5'!D11="","",'P5'!D11)</f>
        <v>+18</v>
      </c>
      <c r="E37" s="145">
        <f>IF('P5'!E11="","",'P5'!E11)</f>
        <v>33103</v>
      </c>
      <c r="F37" s="146" t="str">
        <f>IF('P5'!G11="","",'P5'!G11)</f>
        <v>Mari Myhrer</v>
      </c>
      <c r="G37" s="146" t="str">
        <f>IF('P5'!G12="","",'P5'!G12)</f>
        <v>Gjøvik AK</v>
      </c>
      <c r="H37" s="147">
        <f>IF('P5'!N11="","",'P5'!N11)</f>
        <v>59</v>
      </c>
      <c r="I37" s="147">
        <f>IF('P5'!O11="","",'P5'!O11)</f>
        <v>76</v>
      </c>
      <c r="J37" s="144">
        <f>IF('P5'!S11="","",'P5'!S11)</f>
        <v>6.42</v>
      </c>
      <c r="K37" s="144">
        <f>IF('P5'!T11="","",'P5'!T11)</f>
        <v>10.82</v>
      </c>
      <c r="L37" s="144">
        <f>IF('P5'!U11="","",'P5'!U11)</f>
        <v>7.23</v>
      </c>
      <c r="M37" s="144">
        <f>IF('P5'!W12="","",'P5'!W12)</f>
        <v>568.31251116663918</v>
      </c>
      <c r="N37" s="80">
        <v>1</v>
      </c>
    </row>
    <row r="38" spans="1:14" ht="14.1">
      <c r="A38" s="143">
        <v>15</v>
      </c>
      <c r="B38" s="144">
        <f>IF('P4'!A11="","",'P4'!A11)</f>
        <v>56.15</v>
      </c>
      <c r="C38" s="144" t="str">
        <f>IF('P4'!C11="","",'P4'!C11)</f>
        <v>SK</v>
      </c>
      <c r="D38" s="144" t="str">
        <f>IF('P4'!D11="","",'P4'!D11)</f>
        <v>+18</v>
      </c>
      <c r="E38" s="145">
        <f>IF('P4'!E11="","",'P4'!E11)</f>
        <v>32644</v>
      </c>
      <c r="F38" s="146" t="str">
        <f>IF('P4'!G11="","",'P4'!G11)</f>
        <v>Linda Kolobekken</v>
      </c>
      <c r="G38" s="146" t="str">
        <f>IF('P4'!G12="","",'P4'!G12)</f>
        <v>Gjøvik AK</v>
      </c>
      <c r="H38" s="147">
        <f>IF('P4'!N11="","",'P4'!N11)</f>
        <v>45</v>
      </c>
      <c r="I38" s="147">
        <f>IF('P4'!O11="","",'P4'!O11)</f>
        <v>59</v>
      </c>
      <c r="J38" s="144">
        <f>IF('P4'!S11="","",'P4'!S11)</f>
        <v>7.03</v>
      </c>
      <c r="K38" s="144">
        <f>IF('P4'!T11="","",'P4'!T11)</f>
        <v>8.08</v>
      </c>
      <c r="L38" s="144">
        <f>IF('P4'!U11="","",'P4'!U11)</f>
        <v>6.74</v>
      </c>
      <c r="M38" s="144">
        <f>IF('P4'!W12="","",'P4'!W12)</f>
        <v>533.66673303377081</v>
      </c>
      <c r="N38" s="80">
        <v>1</v>
      </c>
    </row>
    <row r="39" spans="1:14" ht="14.1">
      <c r="A39" s="143">
        <v>16</v>
      </c>
      <c r="B39" s="144">
        <f>IF('P4'!A21="","",'P4'!A21)</f>
        <v>84.71</v>
      </c>
      <c r="C39" s="144" t="str">
        <f>IF('P4'!C21="","",'P4'!C21)</f>
        <v>SK</v>
      </c>
      <c r="D39" s="144" t="str">
        <f>IF('P4'!D21="","",'P4'!D21)</f>
        <v>+18</v>
      </c>
      <c r="E39" s="145" t="str">
        <f>IF('P4'!E21="","",'P4'!E21)</f>
        <v>21.01.96</v>
      </c>
      <c r="F39" s="146" t="str">
        <f>IF('P4'!G21="","",'P4'!G21)</f>
        <v>Anette Vårvik</v>
      </c>
      <c r="G39" s="146" t="str">
        <f>IF('P4'!G22="","",'P4'!G22)</f>
        <v>Tysvær VK</v>
      </c>
      <c r="H39" s="147">
        <f>IF('P4'!N21="","",'P4'!N21)</f>
        <v>58</v>
      </c>
      <c r="I39" s="147">
        <f>IF('P4'!O21="","",'P4'!O21)</f>
        <v>72</v>
      </c>
      <c r="J39" s="144">
        <f>IF('P4'!S21="","",'P4'!S21)</f>
        <v>6.66</v>
      </c>
      <c r="K39" s="144">
        <f>IF('P4'!T21="","",'P4'!T21)</f>
        <v>11.93</v>
      </c>
      <c r="L39" s="144">
        <f>IF('P4'!U21="","",'P4'!U21)</f>
        <v>7.76</v>
      </c>
      <c r="M39" s="144">
        <f>IF('P4'!W22="","",'P4'!W22)</f>
        <v>528.435016474078</v>
      </c>
      <c r="N39" s="80">
        <v>1</v>
      </c>
    </row>
    <row r="40" spans="1:14" ht="14.1">
      <c r="A40" s="143">
        <v>17</v>
      </c>
      <c r="B40" s="144">
        <f>IF('P4'!A13="","",'P4'!A13)</f>
        <v>55.8</v>
      </c>
      <c r="C40" s="144" t="str">
        <f>IF('P4'!C13="","",'P4'!C13)</f>
        <v>SK</v>
      </c>
      <c r="D40" s="144" t="str">
        <f>IF('P4'!D13="","",'P4'!D13)</f>
        <v>+18</v>
      </c>
      <c r="E40" s="145">
        <f>IF('P4'!E13="","",'P4'!E13)</f>
        <v>34000</v>
      </c>
      <c r="F40" s="146" t="str">
        <f>IF('P4'!G13="","",'P4'!G13)</f>
        <v>Isabell Thorberg</v>
      </c>
      <c r="G40" s="146" t="str">
        <f>IF('P4'!G14="","",'P4'!G14)</f>
        <v>Tønsberg-Kam.</v>
      </c>
      <c r="H40" s="147">
        <f>IF('P4'!N13="","",'P4'!N13)</f>
        <v>45</v>
      </c>
      <c r="I40" s="147">
        <f>IF('P4'!O13="","",'P4'!O13)</f>
        <v>56</v>
      </c>
      <c r="J40" s="144">
        <f>IF('P4'!S13="","",'P4'!S13)</f>
        <v>6.55</v>
      </c>
      <c r="K40" s="144">
        <f>IF('P4'!T13="","",'P4'!T13)</f>
        <v>10.050000000000001</v>
      </c>
      <c r="L40" s="144">
        <f>IF('P4'!U13="","",'P4'!U13)</f>
        <v>7.71</v>
      </c>
      <c r="M40" s="144">
        <f>IF('P4'!W14="","",'P4'!W14)</f>
        <v>501.39124341258872</v>
      </c>
      <c r="N40" s="80">
        <v>1</v>
      </c>
    </row>
    <row r="41" spans="1:14" ht="14.1">
      <c r="A41" s="143">
        <v>18</v>
      </c>
      <c r="B41" s="144">
        <f>IF('P4'!A15="","",'P4'!A15)</f>
        <v>61.4</v>
      </c>
      <c r="C41" s="144" t="str">
        <f>IF('P4'!C15="","",'P4'!C15)</f>
        <v>SK</v>
      </c>
      <c r="D41" s="144" t="str">
        <f>IF('P4'!D15="","",'P4'!D15)</f>
        <v>+18</v>
      </c>
      <c r="E41" s="145" t="str">
        <f>IF('P4'!E15="","",'P4'!E15)</f>
        <v>13.05.94</v>
      </c>
      <c r="F41" s="146" t="str">
        <f>IF('P4'!G15="","",'P4'!G15)</f>
        <v>Ingvild Solberg Hansen</v>
      </c>
      <c r="G41" s="146" t="str">
        <f>IF('P4'!G16="","",'P4'!G16)</f>
        <v>T &amp; IL National</v>
      </c>
      <c r="H41" s="147">
        <f>IF('P4'!N15="","",'P4'!N15)</f>
        <v>45</v>
      </c>
      <c r="I41" s="147">
        <f>IF('P4'!O15="","",'P4'!O15)</f>
        <v>53</v>
      </c>
      <c r="J41" s="144">
        <f>IF('P4'!S15="","",'P4'!S15)</f>
        <v>6.6</v>
      </c>
      <c r="K41" s="144">
        <f>IF('P4'!T15="","",'P4'!T15)</f>
        <v>7</v>
      </c>
      <c r="L41" s="144">
        <f>IF('P4'!U15="","",'P4'!U15)</f>
        <v>7.25</v>
      </c>
      <c r="M41" s="144">
        <f>IF('P4'!W16="","",'P4'!W16)</f>
        <v>473.58585076206589</v>
      </c>
      <c r="N41" s="80">
        <v>1</v>
      </c>
    </row>
    <row r="42" spans="1:14" ht="14.1">
      <c r="A42" s="143"/>
      <c r="B42" s="144">
        <f>IF('P5'!A13="","",'P5'!A13)</f>
        <v>58.79</v>
      </c>
      <c r="C42" s="144" t="str">
        <f>IF('P5'!C13="","",'P5'!C13)</f>
        <v>SK</v>
      </c>
      <c r="D42" s="144" t="str">
        <f>IF('P5'!D13="","",'P5'!D13)</f>
        <v>+18</v>
      </c>
      <c r="E42" s="145">
        <f>IF('P5'!E13="","",'P5'!E13)</f>
        <v>35232</v>
      </c>
      <c r="F42" s="146" t="str">
        <f>IF('P5'!G13="","",'P5'!G13)</f>
        <v>Kamilla Storstein Grønnestad</v>
      </c>
      <c r="G42" s="146" t="str">
        <f>IF('P5'!G14="","",'P5'!G14)</f>
        <v>Tysvær VK</v>
      </c>
      <c r="H42" s="147" t="str">
        <f>IF('P5'!N13="","",'P5'!N13)</f>
        <v/>
      </c>
      <c r="I42" s="147" t="str">
        <f>IF('P5'!O13="","",'P5'!O13)</f>
        <v/>
      </c>
      <c r="J42" s="144" t="str">
        <f>IF('P5'!S13="","",'P5'!S13)</f>
        <v/>
      </c>
      <c r="K42" s="144" t="str">
        <f>IF('P5'!T13="","",'P5'!T13)</f>
        <v/>
      </c>
      <c r="L42" s="144" t="str">
        <f>IF('P5'!U13="","",'P5'!U13)</f>
        <v/>
      </c>
      <c r="M42" s="144" t="str">
        <f>IF('P5'!W14="","",'P5'!W14)</f>
        <v/>
      </c>
    </row>
    <row r="43" spans="1:14" ht="14.1">
      <c r="A43" s="143"/>
      <c r="B43" s="144">
        <f>IF('P6'!A13="","",'P6'!A13)</f>
        <v>62.64</v>
      </c>
      <c r="C43" s="144" t="str">
        <f>IF('P6'!C13="","",'P6'!C13)</f>
        <v>SK</v>
      </c>
      <c r="D43" s="144" t="str">
        <f>IF('P6'!D13="","",'P6'!D13)</f>
        <v>+18</v>
      </c>
      <c r="E43" s="145">
        <f>IF('P6'!E13="","",'P6'!E13)</f>
        <v>32986</v>
      </c>
      <c r="F43" s="146" t="str">
        <f>IF('P6'!G13="","",'P6'!G13)</f>
        <v>Zekiye C. Nyland</v>
      </c>
      <c r="G43" s="146" t="str">
        <f>IF('P6'!G14="","",'P6'!G14)</f>
        <v>Tysvær VK</v>
      </c>
      <c r="H43" s="147">
        <f>IF('P6'!N13="","",'P6'!N13)</f>
        <v>85</v>
      </c>
      <c r="I43" s="147" t="str">
        <f>IF('P6'!O13="","",'P6'!O13)</f>
        <v/>
      </c>
      <c r="J43" s="144" t="str">
        <f>IF('P6'!S13="","",'P6'!S13)</f>
        <v/>
      </c>
      <c r="K43" s="144" t="str">
        <f>IF('P6'!T13="","",'P6'!T13)</f>
        <v/>
      </c>
      <c r="L43" s="144" t="str">
        <f>IF('P6'!U13="","",'P6'!U13)</f>
        <v/>
      </c>
      <c r="M43" s="144" t="str">
        <f>IF('P6'!W14="","",'P6'!W14)</f>
        <v/>
      </c>
    </row>
    <row r="44" spans="1:14" ht="14.1">
      <c r="A44" s="143"/>
      <c r="B44" s="144">
        <f>IF('P6'!A11="","",'P6'!A11)</f>
        <v>57.6</v>
      </c>
      <c r="C44" s="144" t="str">
        <f>IF('P6'!C11="","",'P6'!C11)</f>
        <v>SK</v>
      </c>
      <c r="D44" s="144" t="str">
        <f>IF('P6'!D11="","",'P6'!D11)</f>
        <v>+18</v>
      </c>
      <c r="E44" s="145">
        <f>IF('P6'!E11="","",'P6'!E11)</f>
        <v>33830</v>
      </c>
      <c r="F44" s="146" t="str">
        <f>IF('P6'!G11="","",'P6'!G11)</f>
        <v>Sol Anette Waaler</v>
      </c>
      <c r="G44" s="146" t="str">
        <f>IF('P6'!G12="","",'P6'!G12)</f>
        <v>Trondheim AK</v>
      </c>
      <c r="H44" s="147">
        <f>IF('P6'!N11="","",'P6'!N11)</f>
        <v>83</v>
      </c>
      <c r="I44" s="147">
        <f>IF('P6'!O11="","",'P6'!O11)</f>
        <v>100</v>
      </c>
      <c r="J44" s="144" t="str">
        <f>IF('P6'!S11="","",'P6'!S11)</f>
        <v/>
      </c>
      <c r="K44" s="144" t="str">
        <f>IF('P6'!T11="","",'P6'!T11)</f>
        <v/>
      </c>
      <c r="L44" s="144" t="str">
        <f>IF('P6'!U11="","",'P6'!U11)</f>
        <v/>
      </c>
      <c r="M44" s="144" t="str">
        <f>IF('P6'!W12="","",'P6'!W12)</f>
        <v/>
      </c>
    </row>
    <row r="45" spans="1:14" ht="14.1">
      <c r="A45" s="143"/>
      <c r="B45" s="144">
        <f>IF('P6'!A21="","",'P6'!A21)</f>
        <v>70.89</v>
      </c>
      <c r="C45" s="144" t="str">
        <f>IF('P6'!C21="","",'P6'!C21)</f>
        <v>JK</v>
      </c>
      <c r="D45" s="144" t="str">
        <f>IF('P6'!D21="","",'P6'!D21)</f>
        <v>+18</v>
      </c>
      <c r="E45" s="145">
        <f>IF('P6'!E21="","",'P6'!E21)</f>
        <v>36232</v>
      </c>
      <c r="F45" s="146" t="str">
        <f>IF('P6'!G21="","",'P6'!G21)</f>
        <v>Maren Fikse</v>
      </c>
      <c r="G45" s="146" t="str">
        <f>IF('P6'!G22="","",'P6'!G22)</f>
        <v>Gjøvik AK</v>
      </c>
      <c r="H45" s="147">
        <f>IF('P6'!N21="","",'P6'!N21)</f>
        <v>77</v>
      </c>
      <c r="I45" s="147">
        <f>IF('P6'!O21="","",'P6'!O21)</f>
        <v>90</v>
      </c>
      <c r="J45" s="144" t="str">
        <f>IF('P6'!S21="","",'P6'!S21)</f>
        <v/>
      </c>
      <c r="K45" s="144" t="str">
        <f>IF('P6'!T21="","",'P6'!T21)</f>
        <v/>
      </c>
      <c r="L45" s="144" t="str">
        <f>IF('P6'!U21="","",'P6'!U21)</f>
        <v/>
      </c>
      <c r="M45" s="144" t="str">
        <f>IF('P6'!W22="","",'P6'!W22)</f>
        <v/>
      </c>
    </row>
    <row r="46" spans="1:14" ht="14.1">
      <c r="A46" s="143"/>
      <c r="B46" s="144" t="str">
        <f>IF('P2'!A31="","",'P2'!A31)</f>
        <v/>
      </c>
      <c r="C46" s="144" t="str">
        <f>IF('P2'!C31="","",'P2'!C31)</f>
        <v/>
      </c>
      <c r="D46" s="144" t="str">
        <f>IF('P2'!D31="","",'P2'!D31)</f>
        <v/>
      </c>
      <c r="E46" s="145" t="str">
        <f>IF('P2'!E31="","",'P2'!E31)</f>
        <v/>
      </c>
      <c r="F46" s="146" t="str">
        <f>IF('P2'!G31="","",'P2'!G31)</f>
        <v/>
      </c>
      <c r="G46" s="146" t="str">
        <f>IF('P2'!G32="","",'P2'!G32)</f>
        <v/>
      </c>
      <c r="H46" s="147" t="str">
        <f>IF('P2'!N31="","",'P2'!N31)</f>
        <v/>
      </c>
      <c r="I46" s="147" t="str">
        <f>IF('P2'!O31="","",'P2'!O31)</f>
        <v/>
      </c>
      <c r="J46" s="144" t="str">
        <f>IF('P2'!S31="","",'P2'!S31)</f>
        <v/>
      </c>
      <c r="K46" s="144" t="str">
        <f>IF('P2'!T31="","",'P2'!T31)</f>
        <v/>
      </c>
      <c r="L46" s="144" t="str">
        <f>IF('P2'!U31="","",'P2'!U31)</f>
        <v/>
      </c>
      <c r="M46" s="144" t="str">
        <f>IF('P2'!W32="","",'P2'!W32)</f>
        <v/>
      </c>
    </row>
    <row r="47" spans="1:14" ht="20.45" thickBot="1">
      <c r="A47" s="380" t="s">
        <v>272</v>
      </c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2"/>
    </row>
    <row r="48" spans="1:14" s="73" customFormat="1" ht="12.6">
      <c r="A48" s="141" t="s">
        <v>265</v>
      </c>
      <c r="B48" s="148" t="s">
        <v>266</v>
      </c>
      <c r="C48" s="148" t="s">
        <v>267</v>
      </c>
      <c r="D48" s="141" t="s">
        <v>268</v>
      </c>
      <c r="E48" s="141" t="s">
        <v>269</v>
      </c>
      <c r="F48" s="142" t="s">
        <v>15</v>
      </c>
      <c r="G48" s="142" t="s">
        <v>85</v>
      </c>
      <c r="H48" s="141" t="s">
        <v>17</v>
      </c>
      <c r="I48" s="141" t="s">
        <v>18</v>
      </c>
      <c r="J48" s="141" t="s">
        <v>270</v>
      </c>
      <c r="K48" s="141" t="s">
        <v>271</v>
      </c>
      <c r="L48" s="141" t="s">
        <v>77</v>
      </c>
      <c r="M48" s="141" t="s">
        <v>21</v>
      </c>
      <c r="N48" s="80"/>
    </row>
    <row r="49" spans="1:14" ht="14.1">
      <c r="A49" s="143">
        <v>1</v>
      </c>
      <c r="B49" s="144">
        <f>IF('P7'!A15="","",'P7'!A15)</f>
        <v>64.349999999999994</v>
      </c>
      <c r="C49" s="144" t="str">
        <f>IF('P7'!C15="","",'P7'!C15)</f>
        <v>UM</v>
      </c>
      <c r="D49" s="144" t="str">
        <f>IF('P7'!D15="","",'P7'!D15)</f>
        <v>13-14</v>
      </c>
      <c r="E49" s="145">
        <f>IF('P7'!E15="","",'P7'!E15)</f>
        <v>38105</v>
      </c>
      <c r="F49" s="146" t="str">
        <f>IF('P7'!G15="","",'P7'!G15)</f>
        <v>Henrik Reiakvam</v>
      </c>
      <c r="G49" s="146" t="str">
        <f>IF('P7'!G16="","",'P7'!G16)</f>
        <v>Tambarskjelvar IL</v>
      </c>
      <c r="H49" s="147">
        <f>IF('P7'!N15="","",'P7'!N15)</f>
        <v>68</v>
      </c>
      <c r="I49" s="147">
        <f>IF('P7'!O15="","",'P7'!O15)</f>
        <v>86</v>
      </c>
      <c r="J49" s="144">
        <f>IF('P7'!S15="","",'P7'!S15)</f>
        <v>7.85</v>
      </c>
      <c r="K49" s="144">
        <f>IF('P7'!T15="","",'P7'!T15)</f>
        <v>14.51</v>
      </c>
      <c r="L49" s="144">
        <f>IF('P7'!U15="","",'P7'!U15)</f>
        <v>6.76</v>
      </c>
      <c r="M49" s="144">
        <f>IF('P7'!W16="","",'P7'!W16)</f>
        <v>701.34126545948709</v>
      </c>
      <c r="N49">
        <v>12</v>
      </c>
    </row>
    <row r="50" spans="1:14" ht="14.1">
      <c r="A50" s="143">
        <v>2</v>
      </c>
      <c r="B50" s="144">
        <f>IF('P7'!A11="","",'P7'!A11)</f>
        <v>61.9</v>
      </c>
      <c r="C50" s="144" t="str">
        <f>IF('P7'!C11="","",'P7'!C11)</f>
        <v>UM</v>
      </c>
      <c r="D50" s="144" t="str">
        <f>IF('P7'!D11="","",'P7'!D11)</f>
        <v>13-14</v>
      </c>
      <c r="E50" s="145">
        <f>IF('P7'!E11="","",'P7'!E11)</f>
        <v>38055</v>
      </c>
      <c r="F50" s="146" t="str">
        <f>IF('P7'!G11="","",'P7'!G11)</f>
        <v>Joachim Offman</v>
      </c>
      <c r="G50" s="146" t="str">
        <f>IF('P7'!G12="","",'P7'!G12)</f>
        <v>Tambarskjelvar IL</v>
      </c>
      <c r="H50" s="147">
        <f>IF('P7'!N11="","",'P7'!N11)</f>
        <v>63</v>
      </c>
      <c r="I50" s="147">
        <f>IF('P7'!O11="","",'P7'!O11)</f>
        <v>77</v>
      </c>
      <c r="J50" s="144">
        <f>IF('P7'!S11="","",'P7'!S11)</f>
        <v>7.93</v>
      </c>
      <c r="K50" s="144">
        <f>IF('P7'!T11="","",'P7'!T11)</f>
        <v>15.61</v>
      </c>
      <c r="L50" s="144">
        <f>IF('P7'!U11="","",'P7'!U11)</f>
        <v>6.75</v>
      </c>
      <c r="M50" s="144">
        <f>IF('P7'!W12="","",'P7'!W12)</f>
        <v>697.83290561329818</v>
      </c>
      <c r="N50">
        <v>10</v>
      </c>
    </row>
    <row r="51" spans="1:14" ht="14.1">
      <c r="A51" s="143">
        <v>3</v>
      </c>
      <c r="B51" s="144">
        <f>IF('P7'!A13="","",'P7'!A13)</f>
        <v>66.28</v>
      </c>
      <c r="C51" s="144" t="str">
        <f>IF('P7'!C13="","",'P7'!C13)</f>
        <v>UM</v>
      </c>
      <c r="D51" s="144" t="str">
        <f>IF('P7'!D13="","",'P7'!D13)</f>
        <v>13-14</v>
      </c>
      <c r="E51" s="145">
        <f>IF('P7'!E13="","",'P7'!E13)</f>
        <v>38320</v>
      </c>
      <c r="F51" s="146" t="str">
        <f>IF('P7'!G13="","",'P7'!G13)</f>
        <v>Kristen Røyseth</v>
      </c>
      <c r="G51" s="146" t="str">
        <f>IF('P7'!G14="","",'P7'!G14)</f>
        <v>Tambarskjelvar IL</v>
      </c>
      <c r="H51" s="147">
        <f>IF('P7'!N13="","",'P7'!N13)</f>
        <v>64</v>
      </c>
      <c r="I51" s="147">
        <f>IF('P7'!O13="","",'P7'!O13)</f>
        <v>84</v>
      </c>
      <c r="J51" s="144">
        <f>IF('P7'!S13="","",'P7'!S13)</f>
        <v>7.85</v>
      </c>
      <c r="K51" s="144">
        <f>IF('P7'!T13="","",'P7'!T13)</f>
        <v>15.03</v>
      </c>
      <c r="L51" s="144">
        <f>IF('P7'!U13="","",'P7'!U13)</f>
        <v>6.94</v>
      </c>
      <c r="M51" s="144">
        <f>IF('P7'!W14="","",'P7'!W14)</f>
        <v>684.39572271673137</v>
      </c>
      <c r="N51">
        <v>9</v>
      </c>
    </row>
    <row r="52" spans="1:14" ht="14.1">
      <c r="A52" s="143">
        <v>4</v>
      </c>
      <c r="B52" s="144">
        <f>IF('P7'!A17="","",'P7'!A17)</f>
        <v>69.14</v>
      </c>
      <c r="C52" s="144" t="str">
        <f>IF('P7'!C17="","",'P7'!C17)</f>
        <v>UM</v>
      </c>
      <c r="D52" s="144" t="str">
        <f>IF('P7'!D17="","",'P7'!D17)</f>
        <v>13-14</v>
      </c>
      <c r="E52" s="145">
        <f>IF('P7'!E17="","",'P7'!E17)</f>
        <v>38286</v>
      </c>
      <c r="F52" s="146" t="str">
        <f>IF('P7'!G17="","",'P7'!G17)</f>
        <v>Daniel Ravndal</v>
      </c>
      <c r="G52" s="146" t="str">
        <f>IF('P7'!G18="","",'P7'!G18)</f>
        <v>Tambarskjelvar IL</v>
      </c>
      <c r="H52" s="147">
        <f>IF('P7'!N17="","",'P7'!N17)</f>
        <v>51</v>
      </c>
      <c r="I52" s="147">
        <f>IF('P7'!O17="","",'P7'!O17)</f>
        <v>62</v>
      </c>
      <c r="J52" s="144">
        <f>IF('P7'!S17="","",'P7'!S17)</f>
        <v>6.29</v>
      </c>
      <c r="K52" s="144">
        <f>IF('P7'!T17="","",'P7'!T17)</f>
        <v>9.65</v>
      </c>
      <c r="L52" s="144">
        <f>IF('P7'!U17="","",'P7'!U17)</f>
        <v>8.09</v>
      </c>
      <c r="M52" s="144">
        <f>IF('P7'!W18="","",'P7'!W18)</f>
        <v>487.97557808529064</v>
      </c>
      <c r="N52">
        <v>8</v>
      </c>
    </row>
    <row r="53" spans="1:14" ht="14.1">
      <c r="A53" s="143">
        <v>5</v>
      </c>
      <c r="B53" s="144">
        <f>IF('P7'!A9="","",'P7'!A9)</f>
        <v>45.47</v>
      </c>
      <c r="C53" s="144" t="str">
        <f>IF('P7'!C9="","",'P7'!C9)</f>
        <v>UM</v>
      </c>
      <c r="D53" s="144" t="str">
        <f>IF('P7'!D9="","",'P7'!D9)</f>
        <v>13-14</v>
      </c>
      <c r="E53" s="145">
        <f>IF('P7'!E9="","",'P7'!E9)</f>
        <v>38415</v>
      </c>
      <c r="F53" s="146" t="str">
        <f>IF('P7'!G9="","",'P7'!G9)</f>
        <v>Stefan Rønnevik</v>
      </c>
      <c r="G53" s="146" t="str">
        <f>IF('P7'!G10="","",'P7'!G10)</f>
        <v>Tysvær VK</v>
      </c>
      <c r="H53" s="147">
        <f>IF('P7'!N9="","",'P7'!N9)</f>
        <v>26</v>
      </c>
      <c r="I53" s="147">
        <f>IF('P7'!O9="","",'P7'!O9)</f>
        <v>35</v>
      </c>
      <c r="J53" s="144">
        <f>IF('P7'!S9="","",'P7'!S9)</f>
        <v>6.44</v>
      </c>
      <c r="K53" s="144">
        <f>IF('P7'!T9="","",'P7'!T9)</f>
        <v>7.18</v>
      </c>
      <c r="L53" s="144">
        <f>IF('P7'!U9="","",'P7'!U9)</f>
        <v>7.6</v>
      </c>
      <c r="M53" s="144">
        <f>IF('P7'!W10="","",'P7'!W10)</f>
        <v>436.58985481047046</v>
      </c>
      <c r="N53">
        <v>7</v>
      </c>
    </row>
    <row r="54" spans="1:14" ht="14.1">
      <c r="A54" s="143"/>
      <c r="B54" s="144"/>
      <c r="C54" s="144"/>
      <c r="D54" s="144"/>
      <c r="E54" s="145"/>
      <c r="F54" s="146"/>
      <c r="G54" s="146"/>
      <c r="H54" s="147"/>
      <c r="I54" s="147"/>
      <c r="J54" s="144"/>
      <c r="K54" s="144"/>
      <c r="L54" s="144"/>
      <c r="M54" s="144"/>
    </row>
    <row r="55" spans="1:14" ht="14.1">
      <c r="A55" s="143">
        <v>1</v>
      </c>
      <c r="B55" s="144">
        <f>IF('P7'!A23="","",'P7'!A23)</f>
        <v>85.24</v>
      </c>
      <c r="C55" s="144" t="str">
        <f>IF('P7'!C23="","",'P7'!C23)</f>
        <v>UM</v>
      </c>
      <c r="D55" s="144" t="str">
        <f>IF('P7'!D23="","",'P7'!D23)</f>
        <v>15-16</v>
      </c>
      <c r="E55" s="145">
        <f>IF('P7'!E23="","",'P7'!E23)</f>
        <v>37288</v>
      </c>
      <c r="F55" s="146" t="str">
        <f>IF('P7'!G23="","",'P7'!G23)</f>
        <v>Dennis Lauritsen</v>
      </c>
      <c r="G55" s="146" t="str">
        <f>IF('P7'!G24="","",'P7'!G24)</f>
        <v>Larvik AK</v>
      </c>
      <c r="H55" s="147">
        <f>IF('P7'!N23="","",'P7'!N23)</f>
        <v>95</v>
      </c>
      <c r="I55" s="147">
        <f>IF('P7'!O23="","",'P7'!O23)</f>
        <v>112</v>
      </c>
      <c r="J55" s="144">
        <f>IF('P7'!S23="","",'P7'!S23)</f>
        <v>7.17</v>
      </c>
      <c r="K55" s="144">
        <f>IF('P7'!T23="","",'P7'!T23)</f>
        <v>14.28</v>
      </c>
      <c r="L55" s="144">
        <f>IF('P7'!U23="","",'P7'!U23)</f>
        <v>7.05</v>
      </c>
      <c r="M55" s="144">
        <f>IF('P7'!W24="","",'P7'!W24)</f>
        <v>711.00815576412083</v>
      </c>
      <c r="N55">
        <v>12</v>
      </c>
    </row>
    <row r="56" spans="1:14" ht="14.1">
      <c r="A56" s="143">
        <v>2</v>
      </c>
      <c r="B56" s="144">
        <f>IF('P7'!A19="","",'P7'!A19)</f>
        <v>60.21</v>
      </c>
      <c r="C56" s="144" t="str">
        <f>IF('P7'!C19="","",'P7'!C19)</f>
        <v>UM</v>
      </c>
      <c r="D56" s="144" t="str">
        <f>IF('P7'!D19="","",'P7'!D19)</f>
        <v>15-16</v>
      </c>
      <c r="E56" s="145">
        <f>IF('P7'!E19="","",'P7'!E19)</f>
        <v>37500</v>
      </c>
      <c r="F56" s="146" t="str">
        <f>IF('P7'!G19="","",'P7'!G19)</f>
        <v>Mats Hofstad</v>
      </c>
      <c r="G56" s="146" t="str">
        <f>IF('P7'!G20="","",'P7'!G20)</f>
        <v>Trondheim AK</v>
      </c>
      <c r="H56" s="147">
        <f>IF('P7'!N19="","",'P7'!N19)</f>
        <v>65</v>
      </c>
      <c r="I56" s="147">
        <f>IF('P7'!O19="","",'P7'!O19)</f>
        <v>85</v>
      </c>
      <c r="J56" s="144">
        <f>IF('P7'!S19="","",'P7'!S19)</f>
        <v>7.83</v>
      </c>
      <c r="K56" s="144">
        <f>IF('P7'!T19="","",'P7'!T19)</f>
        <v>12.62</v>
      </c>
      <c r="L56" s="144">
        <f>IF('P7'!U19="","",'P7'!U19)</f>
        <v>6.55</v>
      </c>
      <c r="M56" s="144">
        <f>IF('P7'!W20="","",'P7'!W20)</f>
        <v>692.99846266562508</v>
      </c>
      <c r="N56">
        <v>10</v>
      </c>
    </row>
    <row r="57" spans="1:14" ht="14.1">
      <c r="A57" s="143">
        <v>3</v>
      </c>
      <c r="B57" s="144">
        <f>IF('P7'!A21="","",'P7'!A21)</f>
        <v>71.59</v>
      </c>
      <c r="C57" s="144" t="str">
        <f>IF('P7'!C21="","",'P7'!C21)</f>
        <v>UM</v>
      </c>
      <c r="D57" s="144" t="str">
        <f>IF('P7'!D21="","",'P7'!D21)</f>
        <v>15-16</v>
      </c>
      <c r="E57" s="145">
        <f>IF('P7'!E21="","",'P7'!E21)</f>
        <v>37687</v>
      </c>
      <c r="F57" s="146" t="str">
        <f>IF('P7'!G21="","",'P7'!G21)</f>
        <v>Anders Vik</v>
      </c>
      <c r="G57" s="146" t="str">
        <f>IF('P7'!G22="","",'P7'!G22)</f>
        <v>AK Bjørgvin</v>
      </c>
      <c r="H57" s="147">
        <f>IF('P7'!N21="","",'P7'!N21)</f>
        <v>55</v>
      </c>
      <c r="I57" s="147">
        <f>IF('P7'!O21="","",'P7'!O21)</f>
        <v>74</v>
      </c>
      <c r="J57" s="144">
        <f>IF('P7'!S21="","",'P7'!S21)</f>
        <v>8.23</v>
      </c>
      <c r="K57" s="144">
        <f>IF('P7'!T21="","",'P7'!T21)</f>
        <v>16.5</v>
      </c>
      <c r="L57" s="144">
        <f>IF('P7'!U21="","",'P7'!U21)</f>
        <v>6.39</v>
      </c>
      <c r="M57" s="144">
        <f>IF('P7'!W22="","",'P7'!W22)</f>
        <v>691.3872420070976</v>
      </c>
      <c r="N57">
        <v>9</v>
      </c>
    </row>
    <row r="58" spans="1:14" ht="14.1">
      <c r="A58" s="143">
        <v>4</v>
      </c>
      <c r="B58" s="144">
        <f>IF('P7'!A27="","",'P7'!A27)</f>
        <v>101.59</v>
      </c>
      <c r="C58" s="144" t="str">
        <f>IF('P7'!C27="","",'P7'!C27)</f>
        <v>UM</v>
      </c>
      <c r="D58" s="144" t="str">
        <f>IF('P7'!D27="","",'P7'!D27)</f>
        <v>15-16</v>
      </c>
      <c r="E58" s="145">
        <f>IF('P7'!E27="","",'P7'!E27)</f>
        <v>37645</v>
      </c>
      <c r="F58" s="146" t="str">
        <f>IF('P7'!G27="","",'P7'!G27)</f>
        <v>Mathias Dale</v>
      </c>
      <c r="G58" s="146" t="str">
        <f>IF('P7'!G28="","",'P7'!G28)</f>
        <v>Breimsbygda IL</v>
      </c>
      <c r="H58" s="147">
        <f>IF('P7'!N27="","",'P7'!N27)</f>
        <v>76</v>
      </c>
      <c r="I58" s="147">
        <f>IF('P7'!O27="","",'P7'!O27)</f>
        <v>85</v>
      </c>
      <c r="J58" s="144">
        <f>IF('P7'!S27="","",'P7'!S27)</f>
        <v>7.31</v>
      </c>
      <c r="K58" s="144">
        <f>IF('P7'!T27="","",'P7'!T27)</f>
        <v>13.6</v>
      </c>
      <c r="L58" s="144">
        <f>IF('P7'!U27="","",'P7'!U27)</f>
        <v>7.02</v>
      </c>
      <c r="M58" s="144">
        <f>IF('P7'!W28="","",'P7'!W28)</f>
        <v>624.81109301189304</v>
      </c>
      <c r="N58">
        <v>8</v>
      </c>
    </row>
    <row r="59" spans="1:14" ht="14.1">
      <c r="A59" s="143">
        <v>5</v>
      </c>
      <c r="B59" s="144">
        <f>IF('P7'!A25="","",'P7'!A25)</f>
        <v>92.27</v>
      </c>
      <c r="C59" s="144" t="str">
        <f>IF('P7'!C25="","",'P7'!C25)</f>
        <v>UM</v>
      </c>
      <c r="D59" s="144" t="str">
        <f>IF('P7'!D25="","",'P7'!D25)</f>
        <v>15-16</v>
      </c>
      <c r="E59" s="145">
        <f>IF('P7'!E25="","",'P7'!E25)</f>
        <v>37350</v>
      </c>
      <c r="F59" s="146" t="str">
        <f>IF('P7'!G25="","",'P7'!G25)</f>
        <v>Hans Gunnar Kvadsheim</v>
      </c>
      <c r="G59" s="146" t="str">
        <f>IF('P7'!G26="","",'P7'!G26)</f>
        <v>Vigrestad IK</v>
      </c>
      <c r="H59" s="147">
        <f>IF('P7'!N25="","",'P7'!N25)</f>
        <v>70</v>
      </c>
      <c r="I59" s="147">
        <f>IF('P7'!O25="","",'P7'!O25)</f>
        <v>82</v>
      </c>
      <c r="J59" s="144">
        <f>IF('P7'!S25="","",'P7'!S25)</f>
        <v>7.27</v>
      </c>
      <c r="K59" s="144">
        <f>IF('P7'!T25="","",'P7'!T25)</f>
        <v>14.03</v>
      </c>
      <c r="L59" s="144">
        <f>IF('P7'!U25="","",'P7'!U25)</f>
        <v>7.17</v>
      </c>
      <c r="M59" s="144">
        <f>IF('P7'!W26="","",'P7'!W26)</f>
        <v>620.49429233087665</v>
      </c>
      <c r="N59">
        <v>7</v>
      </c>
    </row>
    <row r="60" spans="1:14" ht="14.1">
      <c r="A60" s="143"/>
      <c r="B60" s="144"/>
      <c r="C60" s="144"/>
      <c r="D60" s="144"/>
      <c r="E60" s="145"/>
      <c r="F60" s="146"/>
      <c r="G60" s="146"/>
      <c r="H60" s="147"/>
      <c r="I60" s="147"/>
      <c r="J60" s="144"/>
      <c r="K60" s="144"/>
      <c r="L60" s="144"/>
      <c r="M60" s="144"/>
    </row>
    <row r="61" spans="1:14" ht="14.1">
      <c r="A61" s="143">
        <v>1</v>
      </c>
      <c r="B61" s="144">
        <f>IF('P8'!A15="","",'P8'!A15)</f>
        <v>65.39</v>
      </c>
      <c r="C61" s="144" t="str">
        <f>IF('P8'!C15="","",'P8'!C15)</f>
        <v>JM</v>
      </c>
      <c r="D61" s="144" t="str">
        <f>IF('P8'!D15="","",'P8'!D15)</f>
        <v>17-18</v>
      </c>
      <c r="E61" s="145">
        <f>IF('P8'!E15="","",'P8'!E15)</f>
        <v>36529</v>
      </c>
      <c r="F61" s="146" t="str">
        <f>IF('P8'!G15="","",'P8'!G15)</f>
        <v>Robert Andre Moldestad</v>
      </c>
      <c r="G61" s="146" t="str">
        <f>IF('P8'!G16="","",'P8'!G16)</f>
        <v>Breimsbygda IL</v>
      </c>
      <c r="H61" s="147">
        <f>IF('P8'!N15="","",'P8'!N15)</f>
        <v>88</v>
      </c>
      <c r="I61" s="147">
        <f>IF('P8'!O15="","",'P8'!O15)</f>
        <v>112</v>
      </c>
      <c r="J61" s="144">
        <f>IF('P8'!S15="","",'P8'!S15)</f>
        <v>8.76</v>
      </c>
      <c r="K61" s="144">
        <f>IF('P8'!T15="","",'P8'!T15)</f>
        <v>14.4</v>
      </c>
      <c r="L61" s="144">
        <f>IF('P8'!U15="","",'P8'!U15)</f>
        <v>5.89</v>
      </c>
      <c r="M61" s="144">
        <f>IF('P8'!W16="","",'P8'!W16)</f>
        <v>827.56027309085346</v>
      </c>
      <c r="N61">
        <v>12</v>
      </c>
    </row>
    <row r="62" spans="1:14" ht="14.1">
      <c r="A62" s="143">
        <v>2</v>
      </c>
      <c r="B62" s="144">
        <f>IF('P8'!A19="","",'P8'!A19)</f>
        <v>82.58</v>
      </c>
      <c r="C62" s="144" t="str">
        <f>IF('P8'!C19="","",'P8'!C19)</f>
        <v>UM</v>
      </c>
      <c r="D62" s="144" t="str">
        <f>IF('P8'!D19="","",'P8'!D19)</f>
        <v>17-18</v>
      </c>
      <c r="E62" s="145">
        <f>IF('P8'!E19="","",'P8'!E19)</f>
        <v>36946</v>
      </c>
      <c r="F62" s="146" t="str">
        <f>IF('P8'!G19="","",'P8'!G19)</f>
        <v>Håkon Eik Litland</v>
      </c>
      <c r="G62" s="146" t="str">
        <f>IF('P8'!G20="","",'P8'!G20)</f>
        <v>AK Bjørgvin</v>
      </c>
      <c r="H62" s="147">
        <f>IF('P8'!N19="","",'P8'!N19)</f>
        <v>102</v>
      </c>
      <c r="I62" s="147">
        <f>IF('P8'!O19="","",'P8'!O19)</f>
        <v>118</v>
      </c>
      <c r="J62" s="144">
        <f>IF('P8'!S19="","",'P8'!S19)</f>
        <v>8.14</v>
      </c>
      <c r="K62" s="144">
        <f>IF('P8'!T19="","",'P8'!T19)</f>
        <v>15.05</v>
      </c>
      <c r="L62" s="144">
        <f>IF('P8'!U19="","",'P8'!U19)</f>
        <v>6.52</v>
      </c>
      <c r="M62" s="144">
        <f>IF('P8'!W20="","",'P8'!W20)</f>
        <v>782.1956980524061</v>
      </c>
      <c r="N62">
        <v>10</v>
      </c>
    </row>
    <row r="63" spans="1:14" ht="14.1">
      <c r="A63" s="143">
        <v>3</v>
      </c>
      <c r="B63" s="144">
        <f>IF('P8'!A17="","",'P8'!A17)</f>
        <v>81.489999999999995</v>
      </c>
      <c r="C63" s="144" t="str">
        <f>IF('P8'!C17="","",'P8'!C17)</f>
        <v>JM</v>
      </c>
      <c r="D63" s="144" t="str">
        <f>IF('P8'!D17="","",'P8'!D17)</f>
        <v>17-18</v>
      </c>
      <c r="E63" s="145">
        <f>IF('P8'!E17="","",'P8'!E17)</f>
        <v>36748</v>
      </c>
      <c r="F63" s="146" t="str">
        <f>IF('P8'!G17="","",'P8'!G17)</f>
        <v>Bernt Andre Midtbø</v>
      </c>
      <c r="G63" s="146" t="str">
        <f>IF('P8'!G18="","",'P8'!G18)</f>
        <v>Breimsbygda IL</v>
      </c>
      <c r="H63" s="147">
        <f>IF('P8'!N17="","",'P8'!N17)</f>
        <v>75</v>
      </c>
      <c r="I63" s="147">
        <f>IF('P8'!O17="","",'P8'!O17)</f>
        <v>106</v>
      </c>
      <c r="J63" s="144">
        <f>IF('P8'!S17="","",'P8'!S17)</f>
        <v>8.7100000000000009</v>
      </c>
      <c r="K63" s="144">
        <f>IF('P8'!T17="","",'P8'!T17)</f>
        <v>16.95</v>
      </c>
      <c r="L63" s="144">
        <f>IF('P8'!U17="","",'P8'!U17)</f>
        <v>6.4</v>
      </c>
      <c r="M63" s="144">
        <f>IF('P8'!W18="","",'P8'!W18)</f>
        <v>767.88203070766917</v>
      </c>
      <c r="N63">
        <v>9</v>
      </c>
    </row>
    <row r="64" spans="1:14" ht="14.1">
      <c r="A64" s="143">
        <v>4</v>
      </c>
      <c r="B64" s="144">
        <f>IF('P8'!A13="","",'P8'!A13)</f>
        <v>69.23</v>
      </c>
      <c r="C64" s="144" t="str">
        <f>IF('P8'!C13="","",'P8'!C13)</f>
        <v>UM</v>
      </c>
      <c r="D64" s="144" t="str">
        <f>IF('P8'!D13="","",'P8'!D13)</f>
        <v>17-18</v>
      </c>
      <c r="E64" s="145" t="str">
        <f>IF('P8'!E13="","",'P8'!E13)</f>
        <v>25.11.01</v>
      </c>
      <c r="F64" s="146" t="str">
        <f>IF('P8'!G13="","",'P8'!G13)</f>
        <v>Aron Süssmann</v>
      </c>
      <c r="G64" s="146" t="str">
        <f>IF('P8'!G14="","",'P8'!G14)</f>
        <v>Stavanger VK</v>
      </c>
      <c r="H64" s="147">
        <f>IF('P8'!N13="","",'P8'!N13)</f>
        <v>91</v>
      </c>
      <c r="I64" s="147">
        <f>IF('P8'!O13="","",'P8'!O13)</f>
        <v>105</v>
      </c>
      <c r="J64" s="144">
        <f>IF('P8'!S13="","",'P8'!S13)</f>
        <v>7.53</v>
      </c>
      <c r="K64" s="144">
        <f>IF('P8'!T13="","",'P8'!T13)</f>
        <v>11.05</v>
      </c>
      <c r="L64" s="144">
        <f>IF('P8'!U13="","",'P8'!U13)</f>
        <v>7.12</v>
      </c>
      <c r="M64" s="144">
        <f>IF('P8'!W14="","",'P8'!W14)</f>
        <v>696.15988138434136</v>
      </c>
      <c r="N64">
        <v>8</v>
      </c>
    </row>
    <row r="65" spans="1:14" ht="14.1">
      <c r="A65" s="143">
        <v>5</v>
      </c>
      <c r="B65" s="144">
        <f>IF('P8'!A9="","",'P8'!A9)</f>
        <v>74.260000000000005</v>
      </c>
      <c r="C65" s="144" t="str">
        <f>IF('P8'!C9="","",'P8'!C9)</f>
        <v>JM</v>
      </c>
      <c r="D65" s="144" t="str">
        <f>IF('P8'!D9="","",'P8'!D9)</f>
        <v>17-18</v>
      </c>
      <c r="E65" s="145">
        <f>IF('P8'!E9="","",'P8'!E9)</f>
        <v>37160</v>
      </c>
      <c r="F65" s="146" t="str">
        <f>IF('P8'!G9="","",'P8'!G9)</f>
        <v>Remy Aune</v>
      </c>
      <c r="G65" s="146" t="str">
        <f>IF('P8'!G10="","",'P8'!G10)</f>
        <v>Hitra VK</v>
      </c>
      <c r="H65" s="147">
        <f>IF('P8'!N9="","",'P8'!N9)</f>
        <v>77</v>
      </c>
      <c r="I65" s="147">
        <f>IF('P8'!O9="","",'P8'!O9)</f>
        <v>100</v>
      </c>
      <c r="J65" s="144">
        <f>IF('P8'!S9="","",'P8'!S9)</f>
        <v>7.43</v>
      </c>
      <c r="K65" s="144">
        <f>IF('P8'!T9="","",'P8'!T9)</f>
        <v>10.85</v>
      </c>
      <c r="L65" s="144">
        <f>IF('P8'!U9="","",'P8'!U9)</f>
        <v>6.69</v>
      </c>
      <c r="M65" s="144">
        <f>IF('P8'!W10="","",'P8'!W10)</f>
        <v>670.39322941731746</v>
      </c>
      <c r="N65">
        <v>7</v>
      </c>
    </row>
    <row r="66" spans="1:14" ht="14.1">
      <c r="A66" s="143">
        <v>6</v>
      </c>
      <c r="B66" s="144">
        <f>IF('P8'!A21="","",'P8'!A21)</f>
        <v>88.96</v>
      </c>
      <c r="C66" s="144" t="str">
        <f>IF('P8'!C21="","",'P8'!C21)</f>
        <v>JM</v>
      </c>
      <c r="D66" s="144" t="str">
        <f>IF('P8'!D21="","",'P8'!D21)</f>
        <v>17-18</v>
      </c>
      <c r="E66" s="145">
        <f>IF('P8'!E21="","",'P8'!E21)</f>
        <v>36862</v>
      </c>
      <c r="F66" s="146" t="str">
        <f>IF('P8'!G21="","",'P8'!G21)</f>
        <v>Daniel Solberg</v>
      </c>
      <c r="G66" s="146" t="str">
        <f>IF('P8'!G22="","",'P8'!G22)</f>
        <v>Tønsberg-Kam.</v>
      </c>
      <c r="H66" s="147">
        <f>IF('P8'!N21="","",'P8'!N21)</f>
        <v>81</v>
      </c>
      <c r="I66" s="147">
        <f>IF('P8'!O21="","",'P8'!O21)</f>
        <v>107</v>
      </c>
      <c r="J66" s="144">
        <f>IF('P8'!S21="","",'P8'!S21)</f>
        <v>7.53</v>
      </c>
      <c r="K66" s="144">
        <f>IF('P8'!T21="","",'P8'!T21)</f>
        <v>12.95</v>
      </c>
      <c r="L66" s="144">
        <f>IF('P8'!U21="","",'P8'!U21)</f>
        <v>7.34</v>
      </c>
      <c r="M66" s="144">
        <f>IF('P8'!W22="","",'P8'!W22)</f>
        <v>659.36458279209501</v>
      </c>
      <c r="N66">
        <v>6</v>
      </c>
    </row>
    <row r="67" spans="1:14" ht="14.1">
      <c r="A67" s="143"/>
      <c r="B67" s="144">
        <f>IF('P8'!A11="","",'P8'!A11)</f>
        <v>62.12</v>
      </c>
      <c r="C67" s="144" t="str">
        <f>IF('P8'!C11="","",'P8'!C11)</f>
        <v>JM</v>
      </c>
      <c r="D67" s="144" t="str">
        <f>IF('P8'!D11="","",'P8'!D11)</f>
        <v>17-18</v>
      </c>
      <c r="E67" s="145">
        <f>IF('P8'!E11="","",'P8'!E11)</f>
        <v>36879</v>
      </c>
      <c r="F67" s="146" t="str">
        <f>IF('P8'!G11="","",'P8'!G11)</f>
        <v>Marcus Bratli</v>
      </c>
      <c r="G67" s="146" t="str">
        <f>IF('P8'!G12="","",'P8'!G12)</f>
        <v>AK Bjørgvin</v>
      </c>
      <c r="H67" s="147" t="str">
        <f>IF('P8'!N11="","",'P8'!N11)</f>
        <v/>
      </c>
      <c r="I67" s="147" t="str">
        <f>IF('P8'!O11="","",'P8'!O11)</f>
        <v/>
      </c>
      <c r="J67" s="144" t="str">
        <f>IF('P8'!S11="","",'P8'!S11)</f>
        <v/>
      </c>
      <c r="K67" s="144" t="str">
        <f>IF('P8'!T11="","",'P8'!T11)</f>
        <v/>
      </c>
      <c r="L67" s="144" t="str">
        <f>IF('P8'!U11="","",'P8'!U11)</f>
        <v/>
      </c>
      <c r="M67" s="144" t="str">
        <f>IF('P8'!W12="","",'P8'!W12)</f>
        <v/>
      </c>
    </row>
    <row r="68" spans="1:14" ht="14.1">
      <c r="A68" s="143"/>
      <c r="B68" s="144"/>
      <c r="C68" s="144"/>
      <c r="D68" s="144"/>
      <c r="E68" s="145"/>
      <c r="F68" s="146"/>
      <c r="G68" s="146"/>
      <c r="H68" s="147"/>
      <c r="I68" s="147"/>
      <c r="J68" s="144"/>
      <c r="K68" s="144"/>
      <c r="L68" s="144"/>
      <c r="M68" s="144"/>
    </row>
    <row r="69" spans="1:14" ht="14.1">
      <c r="A69" s="143">
        <v>1</v>
      </c>
      <c r="B69" s="144">
        <f>IF('P11'!A19="","",'P11'!A19)</f>
        <v>118.81</v>
      </c>
      <c r="C69" s="144" t="str">
        <f>IF('P11'!C19="","",'P11'!C19)</f>
        <v>SM</v>
      </c>
      <c r="D69" s="144" t="str">
        <f>IF('P11'!D19="","",'P11'!D19)</f>
        <v>+18</v>
      </c>
      <c r="E69" s="145">
        <f>IF('P11'!E19="","",'P11'!E19)</f>
        <v>32866</v>
      </c>
      <c r="F69" s="146" t="str">
        <f>IF('P11'!G19="","",'P11'!G19)</f>
        <v>Kim Eirik Tollefsen</v>
      </c>
      <c r="G69" s="146" t="str">
        <f>IF('P11'!G20="","",'P11'!G20)</f>
        <v>Tønsberg-Kam.</v>
      </c>
      <c r="H69" s="147">
        <f>IF('P11'!N19="","",'P11'!N19)</f>
        <v>160</v>
      </c>
      <c r="I69" s="147">
        <f>IF('P11'!O19="","",'P11'!O19)</f>
        <v>202</v>
      </c>
      <c r="J69" s="144">
        <f>IF('P11'!S19="","",'P11'!S19)</f>
        <v>9.01</v>
      </c>
      <c r="K69" s="144">
        <f>IF('P11'!T19="","",'P11'!T19)</f>
        <v>19.75</v>
      </c>
      <c r="L69" s="144">
        <f>IF('P11'!U19="","",'P11'!U19)</f>
        <v>6.97</v>
      </c>
      <c r="M69" s="144">
        <f>IF('P11'!W20="","",'P11'!W20)</f>
        <v>973.99027141641773</v>
      </c>
      <c r="N69">
        <v>12</v>
      </c>
    </row>
    <row r="70" spans="1:14" ht="14.1">
      <c r="A70" s="143">
        <v>2</v>
      </c>
      <c r="B70" s="144">
        <f>IF('P10'!A15="","",'P10'!A15)</f>
        <v>87.16</v>
      </c>
      <c r="C70" s="144" t="str">
        <f>IF('P10'!C15="","",'P10'!C15)</f>
        <v>SM</v>
      </c>
      <c r="D70" s="144" t="str">
        <f>IF('P10'!D15="","",'P10'!D15)</f>
        <v>+18</v>
      </c>
      <c r="E70" s="145" t="str">
        <f>IF('P10'!E15="","",'P10'!E15)</f>
        <v>27.12.93</v>
      </c>
      <c r="F70" s="146" t="str">
        <f>IF('P10'!G15="","",'P10'!G15)</f>
        <v>Roy Sømme Ommedal</v>
      </c>
      <c r="G70" s="146" t="str">
        <f>IF('P10'!G16="","",'P10'!G16)</f>
        <v>Vigrestad IK</v>
      </c>
      <c r="H70" s="147">
        <f>IF('P10'!N15="","",'P10'!N15)</f>
        <v>109</v>
      </c>
      <c r="I70" s="147">
        <f>IF('P10'!O15="","",'P10'!O15)</f>
        <v>150</v>
      </c>
      <c r="J70" s="144">
        <f>IF('P10'!S15="","",'P10'!S15)</f>
        <v>8.67</v>
      </c>
      <c r="K70" s="144">
        <f>IF('P10'!T15="","",'P10'!T15)</f>
        <v>16.399999999999999</v>
      </c>
      <c r="L70" s="144">
        <f>IF('P10'!U15="","",'P10'!U15)</f>
        <v>6.42</v>
      </c>
      <c r="M70" s="144">
        <f>IF('P10'!W16="","",'P10'!W16)</f>
        <v>858.52327552762608</v>
      </c>
      <c r="N70">
        <v>10</v>
      </c>
    </row>
    <row r="71" spans="1:14" ht="14.1">
      <c r="A71" s="143">
        <v>3</v>
      </c>
      <c r="B71" s="144">
        <f>IF('P10'!A17="","",'P10'!A17)</f>
        <v>75.77</v>
      </c>
      <c r="C71" s="144" t="str">
        <f>IF('P10'!C17="","",'P10'!C17)</f>
        <v>SM</v>
      </c>
      <c r="D71" s="144" t="str">
        <f>IF('P10'!D17="","",'P10'!D17)</f>
        <v>+18</v>
      </c>
      <c r="E71" s="145" t="str">
        <f>IF('P10'!E17="","",'P10'!E17)</f>
        <v>02.09.94</v>
      </c>
      <c r="F71" s="146" t="str">
        <f>IF('P10'!G17="","",'P10'!G17)</f>
        <v>Jantsen Øverås</v>
      </c>
      <c r="G71" s="146" t="str">
        <f>IF('P10'!G18="","",'P10'!G18)</f>
        <v>Tambarskjelvar IL</v>
      </c>
      <c r="H71" s="147">
        <f>IF('P10'!N17="","",'P10'!N17)</f>
        <v>115</v>
      </c>
      <c r="I71" s="147">
        <f>IF('P10'!O17="","",'P10'!O17)</f>
        <v>136</v>
      </c>
      <c r="J71" s="144">
        <f>IF('P10'!S17="","",'P10'!S17)</f>
        <v>8.7200000000000006</v>
      </c>
      <c r="K71" s="144">
        <f>IF('P10'!T17="","",'P10'!T17)</f>
        <v>15.6</v>
      </c>
      <c r="L71" s="144">
        <f>IF('P10'!U17="","",'P10'!U17)</f>
        <v>6.65</v>
      </c>
      <c r="M71" s="144">
        <f>IF('P10'!W18="","",'P10'!W18)</f>
        <v>857.24764030226333</v>
      </c>
      <c r="N71">
        <v>9</v>
      </c>
    </row>
    <row r="72" spans="1:14" ht="14.1">
      <c r="A72" s="143">
        <v>4</v>
      </c>
      <c r="B72" s="144">
        <f>IF('P11'!A9="","",'P11'!A9)</f>
        <v>84.98</v>
      </c>
      <c r="C72" s="144" t="str">
        <f>IF('P11'!C9="","",'P11'!C9)</f>
        <v>SM</v>
      </c>
      <c r="D72" s="144" t="str">
        <f>IF('P11'!D9="","",'P11'!D9)</f>
        <v>+18</v>
      </c>
      <c r="E72" s="145" t="str">
        <f>IF('P11'!E9="","",'P11'!E9)</f>
        <v>19.07.95</v>
      </c>
      <c r="F72" s="146" t="str">
        <f>IF('P11'!G9="","",'P11'!G9)</f>
        <v>Mats Olsen</v>
      </c>
      <c r="G72" s="146" t="str">
        <f>IF('P11'!G10="","",'P11'!G10)</f>
        <v>Tønsberg-Kam.</v>
      </c>
      <c r="H72" s="147">
        <f>IF('P11'!N9="","",'P11'!N9)</f>
        <v>121</v>
      </c>
      <c r="I72" s="147">
        <f>IF('P11'!O9="","",'P11'!O9)</f>
        <v>155</v>
      </c>
      <c r="J72" s="144">
        <f>IF('P11'!S9="","",'P11'!S9)</f>
        <v>9.07</v>
      </c>
      <c r="K72" s="144">
        <f>IF('P11'!T9="","",'P11'!T9)</f>
        <v>12.54</v>
      </c>
      <c r="L72" s="144">
        <f>IF('P11'!U9="","",'P11'!U9)</f>
        <v>6.89</v>
      </c>
      <c r="M72" s="144">
        <f>IF('P11'!W10="","",'P11'!W10)</f>
        <v>836.6116947733758</v>
      </c>
      <c r="N72">
        <v>8</v>
      </c>
    </row>
    <row r="73" spans="1:14" ht="14.1">
      <c r="A73" s="143">
        <v>5</v>
      </c>
      <c r="B73" s="144">
        <f>IF('P10'!A21="","",'P10'!A21)</f>
        <v>100.86</v>
      </c>
      <c r="C73" s="144" t="str">
        <f>IF('P10'!C21="","",'P10'!C21)</f>
        <v>SM</v>
      </c>
      <c r="D73" s="144" t="str">
        <f>IF('P10'!D21="","",'P10'!D21)</f>
        <v>+18</v>
      </c>
      <c r="E73" s="145">
        <f>IF('P10'!E21="","",'P10'!E21)</f>
        <v>33892</v>
      </c>
      <c r="F73" s="146" t="str">
        <f>IF('P10'!G21="","",'P10'!G21)</f>
        <v>Jørgen Kjellevand</v>
      </c>
      <c r="G73" s="146" t="str">
        <f>IF('P10'!G22="","",'P10'!G22)</f>
        <v>Spydeberg Atletene</v>
      </c>
      <c r="H73" s="147">
        <f>IF('P10'!N21="","",'P10'!N21)</f>
        <v>115</v>
      </c>
      <c r="I73" s="147">
        <f>IF('P10'!O21="","",'P10'!O21)</f>
        <v>140</v>
      </c>
      <c r="J73" s="144">
        <f>IF('P10'!S21="","",'P10'!S21)</f>
        <v>9.25</v>
      </c>
      <c r="K73" s="144">
        <f>IF('P10'!T21="","",'P10'!T21)</f>
        <v>14.65</v>
      </c>
      <c r="L73" s="144">
        <f>IF('P10'!U21="","",'P10'!U21)</f>
        <v>6.14</v>
      </c>
      <c r="M73" s="144">
        <f>IF('P10'!W22="","",'P10'!W22)</f>
        <v>836.40351179693573</v>
      </c>
      <c r="N73">
        <v>7</v>
      </c>
    </row>
    <row r="74" spans="1:14" ht="14.1">
      <c r="A74" s="143">
        <v>6</v>
      </c>
      <c r="B74" s="144">
        <f>IF('P9'!A25="","",'P9'!A25)</f>
        <v>76.3</v>
      </c>
      <c r="C74" s="144" t="str">
        <f>IF('P9'!C25="","",'P9'!C25)</f>
        <v>SM</v>
      </c>
      <c r="D74" s="144" t="str">
        <f>IF('P9'!D25="","",'P9'!D25)</f>
        <v>+18</v>
      </c>
      <c r="E74" s="145">
        <f>IF('P9'!E25="","",'P9'!E25)</f>
        <v>33260</v>
      </c>
      <c r="F74" s="146" t="str">
        <f>IF('P9'!G25="","",'P9'!G25)</f>
        <v>Bjørn Emil Evensen</v>
      </c>
      <c r="G74" s="146" t="str">
        <f>IF('P9'!G26="","",'P9'!G26)</f>
        <v>Gjøvik AK</v>
      </c>
      <c r="H74" s="147">
        <f>IF('P9'!N25="","",'P9'!N25)</f>
        <v>95</v>
      </c>
      <c r="I74" s="147">
        <f>IF('P9'!O25="","",'P9'!O25)</f>
        <v>120</v>
      </c>
      <c r="J74" s="144">
        <f>IF('P9'!S25="","",'P9'!S25)</f>
        <v>9.41</v>
      </c>
      <c r="K74" s="144">
        <f>IF('P9'!T25="","",'P9'!T25)</f>
        <v>14.36</v>
      </c>
      <c r="L74" s="144">
        <f>IF('P9'!U25="","",'P9'!U25)</f>
        <v>6</v>
      </c>
      <c r="M74" s="144">
        <f>IF('P9'!W26="","",'P9'!W26)</f>
        <v>829.77877592776781</v>
      </c>
      <c r="N74">
        <v>6</v>
      </c>
    </row>
    <row r="75" spans="1:14" ht="14.1">
      <c r="A75" s="143">
        <v>7</v>
      </c>
      <c r="B75" s="144">
        <f>IF('P10'!A13="","",'P10'!A13)</f>
        <v>104.46</v>
      </c>
      <c r="C75" s="144" t="str">
        <f>IF('P10'!C13="","",'P10'!C13)</f>
        <v>SM</v>
      </c>
      <c r="D75" s="144" t="str">
        <f>IF('P10'!D13="","",'P10'!D13)</f>
        <v>+18</v>
      </c>
      <c r="E75" s="145" t="str">
        <f>IF('P10'!E13="","",'P10'!E13)</f>
        <v>06.06.87</v>
      </c>
      <c r="F75" s="146" t="str">
        <f>IF('P10'!G13="","",'P10'!G13)</f>
        <v>John Anders Terland</v>
      </c>
      <c r="G75" s="146" t="str">
        <f>IF('P10'!G14="","",'P10'!G14)</f>
        <v>T &amp; IL National</v>
      </c>
      <c r="H75" s="147">
        <f>IF('P10'!N13="","",'P10'!N13)</f>
        <v>105</v>
      </c>
      <c r="I75" s="147">
        <f>IF('P10'!O13="","",'P10'!O13)</f>
        <v>130</v>
      </c>
      <c r="J75" s="144">
        <f>IF('P10'!S13="","",'P10'!S13)</f>
        <v>8.8699999999999992</v>
      </c>
      <c r="K75" s="144">
        <f>IF('P10'!T13="","",'P10'!T13)</f>
        <v>17.420000000000002</v>
      </c>
      <c r="L75" s="144">
        <f>IF('P10'!U13="","",'P10'!U13)</f>
        <v>6.54</v>
      </c>
      <c r="M75" s="144">
        <f>IF('P10'!W14="","",'P10'!W14)</f>
        <v>812.93709221629524</v>
      </c>
      <c r="N75">
        <v>5</v>
      </c>
    </row>
    <row r="76" spans="1:14" ht="14.1">
      <c r="A76" s="143">
        <v>8</v>
      </c>
      <c r="B76" s="144">
        <f>IF('P9'!A27="","",'P9'!A27)</f>
        <v>88.42</v>
      </c>
      <c r="C76" s="144" t="str">
        <f>IF('P9'!C27="","",'P9'!C27)</f>
        <v>JM</v>
      </c>
      <c r="D76" s="144" t="str">
        <f>IF('P9'!D27="","",'P9'!D27)</f>
        <v>+18</v>
      </c>
      <c r="E76" s="145" t="str">
        <f>IF('P9'!E27="","",'P9'!E27)</f>
        <v>12.09.99</v>
      </c>
      <c r="F76" s="146" t="str">
        <f>IF('P9'!G27="","",'P9'!G27)</f>
        <v>Vetle Andersen</v>
      </c>
      <c r="G76" s="146" t="str">
        <f>IF('P9'!G28="","",'P9'!G28)</f>
        <v>Larvik AK</v>
      </c>
      <c r="H76" s="147">
        <f>IF('P9'!N27="","",'P9'!N27)</f>
        <v>90</v>
      </c>
      <c r="I76" s="147">
        <f>IF('P9'!O27="","",'P9'!O27)</f>
        <v>114</v>
      </c>
      <c r="J76" s="144">
        <f>IF('P9'!S27="","",'P9'!S27)</f>
        <v>9.2200000000000006</v>
      </c>
      <c r="K76" s="144">
        <f>IF('P9'!T27="","",'P9'!T27)</f>
        <v>17.12</v>
      </c>
      <c r="L76" s="144">
        <f>IF('P9'!U27="","",'P9'!U27)</f>
        <v>6.15</v>
      </c>
      <c r="M76" s="144">
        <f>IF('P9'!W28="","",'P9'!W28)</f>
        <v>810.13286041243725</v>
      </c>
      <c r="N76">
        <v>4</v>
      </c>
    </row>
    <row r="77" spans="1:14" ht="14.1">
      <c r="A77" s="143">
        <v>9</v>
      </c>
      <c r="B77" s="144">
        <f>IF('P9'!A17="","",'P9'!A17)</f>
        <v>80.56</v>
      </c>
      <c r="C77" s="144" t="str">
        <f>IF('P9'!C17="","",'P9'!C17)</f>
        <v>SM</v>
      </c>
      <c r="D77" s="144" t="str">
        <f>IF('P9'!D17="","",'P9'!D17)</f>
        <v>+18</v>
      </c>
      <c r="E77" s="145">
        <f>IF('P9'!E17="","",'P9'!E17)</f>
        <v>35261</v>
      </c>
      <c r="F77" s="146" t="str">
        <f>IF('P9'!G17="","",'P9'!G17)</f>
        <v>Bjarne Bergheim</v>
      </c>
      <c r="G77" s="146" t="str">
        <f>IF('P9'!G18="","",'P9'!G18)</f>
        <v>Breimsbygda IL</v>
      </c>
      <c r="H77" s="147">
        <f>IF('P9'!N17="","",'P9'!N17)</f>
        <v>83</v>
      </c>
      <c r="I77" s="147">
        <f>IF('P9'!O17="","",'P9'!O17)</f>
        <v>111</v>
      </c>
      <c r="J77" s="144">
        <f>IF('P9'!S17="","",'P9'!S17)</f>
        <v>9.08</v>
      </c>
      <c r="K77" s="144">
        <f>IF('P9'!T17="","",'P9'!T17)</f>
        <v>16.41</v>
      </c>
      <c r="L77" s="144">
        <f>IF('P9'!U17="","",'P9'!U17)</f>
        <v>6.3</v>
      </c>
      <c r="M77" s="144">
        <f>IF('P9'!W18="","",'P9'!W18)</f>
        <v>793.88779710515507</v>
      </c>
      <c r="N77">
        <v>3</v>
      </c>
    </row>
    <row r="78" spans="1:14" ht="14.1">
      <c r="A78" s="143">
        <v>10</v>
      </c>
      <c r="B78" s="144">
        <f>IF('P9'!A9="","",'P9'!A9)</f>
        <v>69.099999999999994</v>
      </c>
      <c r="C78" s="144" t="str">
        <f>IF('P9'!C9="","",'P9'!C9)</f>
        <v>SM</v>
      </c>
      <c r="D78" s="144" t="str">
        <f>IF('P9'!D9="","",'P9'!D9)</f>
        <v>+18</v>
      </c>
      <c r="E78" s="145" t="str">
        <f>IF('P9'!E9="","",'P9'!E9)</f>
        <v>01.07.85</v>
      </c>
      <c r="F78" s="146" t="str">
        <f>IF('P9'!G9="","",'P9'!G9)</f>
        <v>Mauricio Kjeldner</v>
      </c>
      <c r="G78" s="146" t="str">
        <f>IF('P9'!G10="","",'P9'!G10)</f>
        <v>Spydeberg Atletene</v>
      </c>
      <c r="H78" s="147">
        <f>IF('P9'!N9="","",'P9'!N9)</f>
        <v>88</v>
      </c>
      <c r="I78" s="147">
        <f>IF('P9'!O9="","",'P9'!O9)</f>
        <v>114</v>
      </c>
      <c r="J78" s="144">
        <f>IF('P9'!S9="","",'P9'!S9)</f>
        <v>8.59</v>
      </c>
      <c r="K78" s="144">
        <f>IF('P9'!T9="","",'P9'!T9)</f>
        <v>14.37</v>
      </c>
      <c r="L78" s="144">
        <f>IF('P9'!U9="","",'P9'!U9)</f>
        <v>6.42</v>
      </c>
      <c r="M78" s="144">
        <f>IF('P9'!W10="","",'P9'!W10)</f>
        <v>791.7990009201792</v>
      </c>
      <c r="N78">
        <v>2</v>
      </c>
    </row>
    <row r="79" spans="1:14" ht="14.1">
      <c r="A79" s="143">
        <v>11</v>
      </c>
      <c r="B79" s="144">
        <f>IF('P9'!A23="","",'P9'!A23)</f>
        <v>68.48</v>
      </c>
      <c r="C79" s="144" t="str">
        <f>IF('P9'!C23="","",'P9'!C23)</f>
        <v>SM</v>
      </c>
      <c r="D79" s="144" t="str">
        <f>IF('P9'!D23="","",'P9'!D23)</f>
        <v>+18</v>
      </c>
      <c r="E79" s="145" t="str">
        <f>IF('P9'!E23="","",'P9'!E23)</f>
        <v>09.11.96</v>
      </c>
      <c r="F79" s="146" t="str">
        <f>IF('P9'!G23="","",'P9'!G23)</f>
        <v>Runar Klungrvik</v>
      </c>
      <c r="G79" s="146" t="str">
        <f>IF('P9'!G24="","",'P9'!G24)</f>
        <v>Hitra VK</v>
      </c>
      <c r="H79" s="147">
        <f>IF('P9'!N23="","",'P9'!N23)</f>
        <v>95</v>
      </c>
      <c r="I79" s="147">
        <f>IF('P9'!O23="","",'P9'!O23)</f>
        <v>110</v>
      </c>
      <c r="J79" s="144">
        <f>IF('P9'!S23="","",'P9'!S23)</f>
        <v>8</v>
      </c>
      <c r="K79" s="144">
        <f>IF('P9'!T23="","",'P9'!T23)</f>
        <v>13.19</v>
      </c>
      <c r="L79" s="144">
        <f>IF('P9'!U23="","",'P9'!U23)</f>
        <v>6.52</v>
      </c>
      <c r="M79" s="144">
        <f>IF('P9'!W24="","",'P9'!W24)</f>
        <v>769.60647164938268</v>
      </c>
      <c r="N79">
        <v>1</v>
      </c>
    </row>
    <row r="80" spans="1:14" ht="14.1">
      <c r="A80" s="143">
        <v>12</v>
      </c>
      <c r="B80" s="144">
        <f>IF('P10'!A11="","",'P10'!A11)</f>
        <v>90.96</v>
      </c>
      <c r="C80" s="144" t="str">
        <f>IF('P10'!C11="","",'P10'!C11)</f>
        <v>SM</v>
      </c>
      <c r="D80" s="144" t="str">
        <f>IF('P10'!D11="","",'P10'!D11)</f>
        <v>+18</v>
      </c>
      <c r="E80" s="145" t="str">
        <f>IF('P10'!E11="","",'P10'!E11)</f>
        <v>21.06.84</v>
      </c>
      <c r="F80" s="146" t="str">
        <f>IF('P10'!G11="","",'P10'!G11)</f>
        <v>Kenneth Friberg</v>
      </c>
      <c r="G80" s="146" t="str">
        <f>IF('P10'!G12="","",'P10'!G12)</f>
        <v>Oslo AK</v>
      </c>
      <c r="H80" s="147">
        <f>IF('P10'!N11="","",'P10'!N11)</f>
        <v>106</v>
      </c>
      <c r="I80" s="147">
        <f>IF('P10'!O11="","",'P10'!O11)</f>
        <v>127</v>
      </c>
      <c r="J80" s="144">
        <f>IF('P10'!S11="","",'P10'!S11)</f>
        <v>7.26</v>
      </c>
      <c r="K80" s="144">
        <f>IF('P10'!T11="","",'P10'!T11)</f>
        <v>15.64</v>
      </c>
      <c r="L80" s="144">
        <f>IF('P10'!U11="","",'P10'!U11)</f>
        <v>6.73</v>
      </c>
      <c r="M80" s="144">
        <f>IF('P10'!W12="","",'P10'!W12)</f>
        <v>767.20258900440422</v>
      </c>
      <c r="N80">
        <v>1</v>
      </c>
    </row>
    <row r="81" spans="1:14" ht="14.1">
      <c r="A81" s="143">
        <v>13</v>
      </c>
      <c r="B81" s="144">
        <f>IF('P11'!A17="","",'P11'!A17)</f>
        <v>115.93</v>
      </c>
      <c r="C81" s="144" t="str">
        <f>IF('P11'!C17="","",'P11'!C17)</f>
        <v>SM</v>
      </c>
      <c r="D81" s="144" t="str">
        <f>IF('P11'!D17="","",'P11'!D17)</f>
        <v>+18</v>
      </c>
      <c r="E81" s="145" t="str">
        <f>IF('P11'!E17="","",'P11'!E17)</f>
        <v>17.11.91</v>
      </c>
      <c r="F81" s="146" t="str">
        <f>IF('P11'!G17="","",'P11'!G17)</f>
        <v>Tord Gravdal</v>
      </c>
      <c r="G81" s="146" t="str">
        <f>IF('P11'!G18="","",'P11'!G18)</f>
        <v>Vigrestad IK</v>
      </c>
      <c r="H81" s="147">
        <f>IF('P11'!N17="","",'P11'!N17)</f>
        <v>125</v>
      </c>
      <c r="I81" s="147">
        <f>IF('P11'!O17="","",'P11'!O17)</f>
        <v>156</v>
      </c>
      <c r="J81" s="144">
        <f>IF('P11'!S17="","",'P11'!S17)</f>
        <v>7.88</v>
      </c>
      <c r="K81" s="144">
        <f>IF('P11'!T17="","",'P11'!T17)</f>
        <v>13.78</v>
      </c>
      <c r="L81" s="144">
        <f>IF('P11'!U17="","",'P11'!U17)</f>
        <v>7.71</v>
      </c>
      <c r="M81" s="144">
        <f>IF('P11'!W18="","",'P11'!W18)</f>
        <v>753.85934082836752</v>
      </c>
      <c r="N81">
        <v>1</v>
      </c>
    </row>
    <row r="82" spans="1:14" ht="14.1">
      <c r="A82" s="143">
        <v>14</v>
      </c>
      <c r="B82" s="144">
        <f>IF('P9'!A11="","",'P9'!A11)</f>
        <v>73.78</v>
      </c>
      <c r="C82" s="144" t="str">
        <f>IF('P9'!C11="","",'P9'!C11)</f>
        <v>SM</v>
      </c>
      <c r="D82" s="144" t="str">
        <f>IF('P9'!D11="","",'P9'!D11)</f>
        <v>+18</v>
      </c>
      <c r="E82" s="145" t="str">
        <f>IF('P9'!E11="","",'P9'!E11)</f>
        <v>03.09.91</v>
      </c>
      <c r="F82" s="146" t="str">
        <f>IF('P9'!G11="","",'P9'!G11)</f>
        <v>Trygve Stenrud Nilsen</v>
      </c>
      <c r="G82" s="146" t="str">
        <f>IF('P9'!G12="","",'P9'!G12)</f>
        <v>Oslo AK</v>
      </c>
      <c r="H82" s="147">
        <f>IF('P9'!N11="","",'P9'!N11)</f>
        <v>85</v>
      </c>
      <c r="I82" s="147">
        <f>IF('P9'!O11="","",'P9'!O11)</f>
        <v>110</v>
      </c>
      <c r="J82" s="144">
        <f>IF('P9'!S11="","",'P9'!S11)</f>
        <v>8.48</v>
      </c>
      <c r="K82" s="144">
        <f>IF('P9'!T11="","",'P9'!T11)</f>
        <v>13</v>
      </c>
      <c r="L82" s="144">
        <f>IF('P9'!U11="","",'P9'!U11)</f>
        <v>6.69</v>
      </c>
      <c r="M82" s="144">
        <f>IF('P9'!W12="","",'P9'!W12)</f>
        <v>743.6374087356661</v>
      </c>
      <c r="N82">
        <v>1</v>
      </c>
    </row>
    <row r="83" spans="1:14" ht="14.1">
      <c r="A83" s="143">
        <v>15</v>
      </c>
      <c r="B83" s="144">
        <f>IF('P9'!A19="","",'P9'!A19)</f>
        <v>91.55</v>
      </c>
      <c r="C83" s="144" t="str">
        <f>IF('P9'!C19="","",'P9'!C19)</f>
        <v>SM</v>
      </c>
      <c r="D83" s="144" t="str">
        <f>IF('P9'!D19="","",'P9'!D19)</f>
        <v>+18</v>
      </c>
      <c r="E83" s="145">
        <f>IF('P9'!E19="","",'P9'!E19)</f>
        <v>32027</v>
      </c>
      <c r="F83" s="146" t="str">
        <f>IF('P9'!G19="","",'P9'!G19)</f>
        <v>Åsmund Rykhus</v>
      </c>
      <c r="G83" s="146" t="str">
        <f>IF('P9'!G20="","",'P9'!G20)</f>
        <v>Gjøvik AK</v>
      </c>
      <c r="H83" s="147">
        <f>IF('P9'!N19="","",'P9'!N19)</f>
        <v>91</v>
      </c>
      <c r="I83" s="147">
        <f>IF('P9'!O19="","",'P9'!O19)</f>
        <v>114</v>
      </c>
      <c r="J83" s="144">
        <f>IF('P9'!S19="","",'P9'!S19)</f>
        <v>8.0500000000000007</v>
      </c>
      <c r="K83" s="144">
        <f>IF('P9'!T19="","",'P9'!T19)</f>
        <v>13.63</v>
      </c>
      <c r="L83" s="144">
        <f>IF('P9'!U19="","",'P9'!U19)</f>
        <v>6.71</v>
      </c>
      <c r="M83" s="144">
        <f>IF('P9'!W20="","",'P9'!W20)</f>
        <v>721.42053772904865</v>
      </c>
      <c r="N83">
        <v>1</v>
      </c>
    </row>
    <row r="84" spans="1:14" ht="14.1">
      <c r="A84" s="143">
        <v>16</v>
      </c>
      <c r="B84" s="144">
        <f>IF('P10'!A9="","",'P10'!A9)</f>
        <v>96.27</v>
      </c>
      <c r="C84" s="144" t="str">
        <f>IF('P10'!C9="","",'P10'!C9)</f>
        <v>JM</v>
      </c>
      <c r="D84" s="144" t="str">
        <f>IF('P10'!D9="","",'P10'!D9)</f>
        <v>+18</v>
      </c>
      <c r="E84" s="145">
        <f>IF('P10'!E9="","",'P10'!E9)</f>
        <v>36029</v>
      </c>
      <c r="F84" s="146" t="str">
        <f>IF('P10'!G9="","",'P10'!G9)</f>
        <v>Ole-Kristoffer Sørland</v>
      </c>
      <c r="G84" s="146" t="str">
        <f>IF('P10'!G10="","",'P10'!G10)</f>
        <v>Breimsbygda IL</v>
      </c>
      <c r="H84" s="147">
        <f>IF('P10'!N9="","",'P10'!N9)</f>
        <v>90</v>
      </c>
      <c r="I84" s="147">
        <f>IF('P10'!O9="","",'P10'!O9)</f>
        <v>105</v>
      </c>
      <c r="J84" s="144">
        <f>IF('P10'!S9="","",'P10'!S9)</f>
        <v>7.77</v>
      </c>
      <c r="K84" s="144">
        <f>IF('P10'!T9="","",'P10'!T9)</f>
        <v>14.01</v>
      </c>
      <c r="L84" s="144">
        <f>IF('P10'!U9="","",'P10'!U9)</f>
        <v>7.05</v>
      </c>
      <c r="M84" s="144">
        <f>IF('P10'!W10="","",'P10'!W10)</f>
        <v>688.75671700361886</v>
      </c>
      <c r="N84">
        <v>1</v>
      </c>
    </row>
    <row r="85" spans="1:14" ht="14.1">
      <c r="A85" s="143">
        <v>17</v>
      </c>
      <c r="B85" s="144">
        <f>IF('P9'!A15="","",'P9'!A15)</f>
        <v>82.59</v>
      </c>
      <c r="C85" s="144" t="str">
        <f>IF('P9'!C15="","",'P9'!C15)</f>
        <v>SM</v>
      </c>
      <c r="D85" s="144" t="str">
        <f>IF('P9'!D15="","",'P9'!D15)</f>
        <v>+18</v>
      </c>
      <c r="E85" s="145" t="str">
        <f>IF('P9'!E15="","",'P9'!E15)</f>
        <v>12.05.92</v>
      </c>
      <c r="F85" s="146" t="str">
        <f>IF('P9'!G15="","",'P9'!G15)</f>
        <v>Johnny Stokke</v>
      </c>
      <c r="G85" s="146" t="str">
        <f>IF('P9'!G16="","",'P9'!G16)</f>
        <v>Lørenskog AK</v>
      </c>
      <c r="H85" s="147">
        <f>IF('P9'!N15="","",'P9'!N15)</f>
        <v>88</v>
      </c>
      <c r="I85" s="147">
        <f>IF('P9'!O15="","",'P9'!O15)</f>
        <v>105</v>
      </c>
      <c r="J85" s="144">
        <f>IF('P9'!S15="","",'P9'!S15)</f>
        <v>7.39</v>
      </c>
      <c r="K85" s="144">
        <f>IF('P9'!T15="","",'P9'!T15)</f>
        <v>12.32</v>
      </c>
      <c r="L85" s="144">
        <f>IF('P9'!U15="","",'P9'!U15)</f>
        <v>6.83</v>
      </c>
      <c r="M85" s="144">
        <f>IF('P9'!W16="","",'P9'!W16)</f>
        <v>686.14073874840471</v>
      </c>
      <c r="N85">
        <v>1</v>
      </c>
    </row>
    <row r="86" spans="1:14" ht="14.1">
      <c r="A86" s="143">
        <v>18</v>
      </c>
      <c r="B86" s="144">
        <f>IF('P9'!A13="","",'P9'!A13)</f>
        <v>84.48</v>
      </c>
      <c r="C86" s="144" t="str">
        <f>IF('P9'!C13="","",'P9'!C13)</f>
        <v>SM</v>
      </c>
      <c r="D86" s="144" t="str">
        <f>IF('P9'!D13="","",'P9'!D13)</f>
        <v>+18</v>
      </c>
      <c r="E86" s="145" t="str">
        <f>IF('P9'!E13="","",'P9'!E13)</f>
        <v>25.10.92</v>
      </c>
      <c r="F86" s="146" t="str">
        <f>IF('P9'!G13="","",'P9'!G13)</f>
        <v>Andreas Viken</v>
      </c>
      <c r="G86" s="146" t="str">
        <f>IF('P9'!G14="","",'P9'!G14)</f>
        <v>Stavanger VK</v>
      </c>
      <c r="H86" s="147">
        <f>IF('P9'!N13="","",'P9'!N13)</f>
        <v>70</v>
      </c>
      <c r="I86" s="147">
        <f>IF('P9'!O13="","",'P9'!O13)</f>
        <v>100</v>
      </c>
      <c r="J86" s="144">
        <f>IF('P9'!S13="","",'P9'!S13)</f>
        <v>7.62</v>
      </c>
      <c r="K86" s="144">
        <f>IF('P9'!T13="","",'P9'!T13)</f>
        <v>8.7799999999999994</v>
      </c>
      <c r="L86" s="144">
        <f>IF('P9'!U13="","",'P9'!U13)</f>
        <v>6.69</v>
      </c>
      <c r="M86" s="144">
        <f>IF('P9'!W14="","",'P9'!W14)</f>
        <v>623.89339572792494</v>
      </c>
      <c r="N86">
        <v>1</v>
      </c>
    </row>
    <row r="87" spans="1:14" ht="14.1">
      <c r="A87" s="143">
        <v>19</v>
      </c>
      <c r="B87" s="144">
        <f>IF('P9'!A21="","",'P9'!A21)</f>
        <v>100.95</v>
      </c>
      <c r="C87" s="144" t="str">
        <f>IF('P9'!C21="","",'P9'!C21)</f>
        <v>SM</v>
      </c>
      <c r="D87" s="144" t="str">
        <f>IF('P9'!D21="","",'P9'!D21)</f>
        <v>+18</v>
      </c>
      <c r="E87" s="145">
        <f>IF('P9'!E21="","",'P9'!E21)</f>
        <v>32064</v>
      </c>
      <c r="F87" s="146" t="str">
        <f>IF('P9'!G21="","",'P9'!G21)</f>
        <v>Kristoffer Solheimsnes</v>
      </c>
      <c r="G87" s="146" t="str">
        <f>IF('P9'!G22="","",'P9'!G22)</f>
        <v>Gjøvik AK</v>
      </c>
      <c r="H87" s="147">
        <f>IF('P9'!N21="","",'P9'!N21)</f>
        <v>81</v>
      </c>
      <c r="I87" s="147">
        <f>IF('P9'!O21="","",'P9'!O21)</f>
        <v>102</v>
      </c>
      <c r="J87" s="144">
        <f>IF('P9'!S21="","",'P9'!S21)</f>
        <v>5.72</v>
      </c>
      <c r="K87" s="144">
        <f>IF('P9'!T21="","",'P9'!T21)</f>
        <v>9.18</v>
      </c>
      <c r="L87" s="144">
        <f>IF('P9'!U21="","",'P9'!U21)</f>
        <v>8.9</v>
      </c>
      <c r="M87" s="144">
        <f>IF('P9'!W22="","",'P9'!W22)</f>
        <v>502.04837871450684</v>
      </c>
      <c r="N87">
        <v>1</v>
      </c>
    </row>
    <row r="88" spans="1:14" ht="14.1">
      <c r="A88" s="143">
        <v>20</v>
      </c>
      <c r="B88" s="144">
        <f>IF('P10'!A19="","",'P10'!A19)</f>
        <v>88.13</v>
      </c>
      <c r="C88" s="144" t="str">
        <f>IF('P10'!C19="","",'P10'!C19)</f>
        <v>SM</v>
      </c>
      <c r="D88" s="144" t="str">
        <f>IF('P10'!D19="","",'P10'!D19)</f>
        <v>+18</v>
      </c>
      <c r="E88" s="145">
        <f>IF('P10'!E19="","",'P10'!E19)</f>
        <v>35434</v>
      </c>
      <c r="F88" s="146" t="str">
        <f>IF('P10'!G19="","",'P10'!G19)</f>
        <v>Ole Magnus Strand</v>
      </c>
      <c r="G88" s="146" t="str">
        <f>IF('P10'!G20="","",'P10'!G20)</f>
        <v>Hitra VK</v>
      </c>
      <c r="H88" s="147">
        <f>IF('P10'!N19="","",'P10'!N19)</f>
        <v>103</v>
      </c>
      <c r="I88" s="147">
        <f>IF('P10'!O19="","",'P10'!O19)</f>
        <v>130</v>
      </c>
      <c r="J88" s="144" t="str">
        <f>IF('P10'!S19="","",'P10'!S19)</f>
        <v/>
      </c>
      <c r="K88" s="144" t="str">
        <f>IF('P10'!T19="","",'P10'!T19)</f>
        <v/>
      </c>
      <c r="L88" s="144" t="str">
        <f>IF('P10'!U19="","",'P10'!U19)</f>
        <v/>
      </c>
      <c r="M88" s="144" t="str">
        <f>IF('P10'!W20="","",'P10'!W20)</f>
        <v/>
      </c>
    </row>
    <row r="89" spans="1:14" ht="14.1">
      <c r="A89" s="143">
        <v>21</v>
      </c>
      <c r="B89" s="144">
        <f>IF('P10'!A23="","",'P10'!A23)</f>
        <v>107.82</v>
      </c>
      <c r="C89" s="144" t="str">
        <f>IF('P10'!C23="","",'P10'!C23)</f>
        <v>SM</v>
      </c>
      <c r="D89" s="144" t="str">
        <f>IF('P10'!D23="","",'P10'!D23)</f>
        <v>+18</v>
      </c>
      <c r="E89" s="145">
        <f>IF('P10'!E23="","",'P10'!E23)</f>
        <v>32405</v>
      </c>
      <c r="F89" s="146" t="str">
        <f>IF('P10'!G23="","",'P10'!G23)</f>
        <v>Lars Joachim Nilsen</v>
      </c>
      <c r="G89" s="146" t="str">
        <f>IF('P10'!G24="","",'P10'!G24)</f>
        <v>T &amp; IL National</v>
      </c>
      <c r="H89" s="147" t="str">
        <f>IF('P10'!N23="","",'P10'!N23)</f>
        <v/>
      </c>
      <c r="I89" s="147" t="str">
        <f>IF('P10'!O23="","",'P10'!O23)</f>
        <v/>
      </c>
      <c r="J89" s="144">
        <f>IF('P10'!S23="","",'P10'!S23)</f>
        <v>8.1199999999999992</v>
      </c>
      <c r="K89" s="144">
        <f>IF('P10'!T23="","",'P10'!T23)</f>
        <v>17.260000000000002</v>
      </c>
      <c r="L89" s="144">
        <f>IF('P10'!U23="","",'P10'!U23)</f>
        <v>6.65</v>
      </c>
      <c r="M89" s="144" t="str">
        <f>IF('P10'!W24="","",'P10'!W24)</f>
        <v/>
      </c>
    </row>
    <row r="90" spans="1:14" ht="14.1">
      <c r="A90" s="143">
        <v>22</v>
      </c>
      <c r="B90" s="144">
        <f>IF('P11'!A11="","",'P11'!A11)</f>
        <v>76.59</v>
      </c>
      <c r="C90" s="144" t="str">
        <f>IF('P11'!C11="","",'P11'!C11)</f>
        <v>SM</v>
      </c>
      <c r="D90" s="144" t="str">
        <f>IF('P11'!D11="","",'P11'!D11)</f>
        <v>+18</v>
      </c>
      <c r="E90" s="145" t="str">
        <f>IF('P11'!E11="","",'P11'!E11)</f>
        <v>05.01.95</v>
      </c>
      <c r="F90" s="146" t="str">
        <f>IF('P11'!G11="","",'P11'!G11)</f>
        <v>Roger B. Myrholt</v>
      </c>
      <c r="G90" s="146" t="str">
        <f>IF('P11'!G12="","",'P11'!G12)</f>
        <v>Tønsberg-Kam.</v>
      </c>
      <c r="H90" s="147">
        <f>IF('P11'!N11="","",'P11'!N11)</f>
        <v>133</v>
      </c>
      <c r="I90" s="147">
        <f>IF('P11'!O11="","",'P11'!O11)</f>
        <v>169</v>
      </c>
      <c r="J90" s="144" t="str">
        <f>IF('P11'!S11="","",'P11'!S11)</f>
        <v/>
      </c>
      <c r="K90" s="144" t="str">
        <f>IF('P11'!T11="","",'P11'!T11)</f>
        <v/>
      </c>
      <c r="L90" s="144" t="str">
        <f>IF('P11'!U11="","",'P11'!U11)</f>
        <v/>
      </c>
      <c r="M90" s="144" t="str">
        <f>IF('P11'!W12="","",'P11'!W12)</f>
        <v/>
      </c>
    </row>
    <row r="91" spans="1:14" ht="14.1">
      <c r="A91" s="143">
        <v>23</v>
      </c>
      <c r="B91" s="144">
        <f>IF('P11'!A15="","",'P11'!A15)</f>
        <v>94.15</v>
      </c>
      <c r="C91" s="144" t="str">
        <f>IF('P11'!C15="","",'P11'!C15)</f>
        <v>SM</v>
      </c>
      <c r="D91" s="144" t="str">
        <f>IF('P11'!D15="","",'P11'!D15)</f>
        <v>+18</v>
      </c>
      <c r="E91" s="145">
        <f>IF('P11'!E15="","",'P11'!E15)</f>
        <v>32393</v>
      </c>
      <c r="F91" s="146" t="str">
        <f>IF('P11'!G15="","",'P11'!G15)</f>
        <v>Håvard Grostad</v>
      </c>
      <c r="G91" s="146" t="str">
        <f>IF('P11'!G16="","",'P11'!G16)</f>
        <v>Nidelv IL</v>
      </c>
      <c r="H91" s="147">
        <f>IF('P11'!N15="","",'P11'!N15)</f>
        <v>136</v>
      </c>
      <c r="I91" s="147">
        <f>IF('P11'!O15="","",'P11'!O15)</f>
        <v>164</v>
      </c>
      <c r="J91" s="144" t="str">
        <f>IF('P11'!S15="","",'P11'!S15)</f>
        <v/>
      </c>
      <c r="K91" s="144" t="str">
        <f>IF('P11'!T15="","",'P11'!T15)</f>
        <v/>
      </c>
      <c r="L91" s="144" t="str">
        <f>IF('P11'!U15="","",'P11'!U15)</f>
        <v/>
      </c>
      <c r="M91" s="144" t="str">
        <f>IF('P11'!W16="","",'P11'!W16)</f>
        <v/>
      </c>
    </row>
    <row r="92" spans="1:14" ht="14.1">
      <c r="A92" s="143">
        <v>24</v>
      </c>
      <c r="B92" s="144">
        <f>IF('P11'!A13="","",'P11'!A13)</f>
        <v>89.13</v>
      </c>
      <c r="C92" s="144" t="str">
        <f>IF('P11'!C13="","",'P11'!C13)</f>
        <v>SM</v>
      </c>
      <c r="D92" s="144" t="str">
        <f>IF('P11'!D13="","",'P11'!D13)</f>
        <v>+18</v>
      </c>
      <c r="E92" s="145" t="str">
        <f>IF('P11'!E13="","",'P11'!E13)</f>
        <v>11.01.89</v>
      </c>
      <c r="F92" s="146" t="str">
        <f>IF('P11'!G13="","",'P11'!G13)</f>
        <v>Leik Simon Aas</v>
      </c>
      <c r="G92" s="146" t="str">
        <f>IF('P11'!G14="","",'P11'!G14)</f>
        <v>T &amp; IL National</v>
      </c>
      <c r="H92" s="147">
        <f>IF('P11'!N13="","",'P11'!N13)</f>
        <v>115</v>
      </c>
      <c r="I92" s="147">
        <f>IF('P11'!O13="","",'P11'!O13)</f>
        <v>150</v>
      </c>
      <c r="J92" s="144" t="str">
        <f>IF('P11'!S13="","",'P11'!S13)</f>
        <v/>
      </c>
      <c r="K92" s="144" t="str">
        <f>IF('P11'!T13="","",'P11'!T13)</f>
        <v/>
      </c>
      <c r="L92" s="144" t="str">
        <f>IF('P11'!U13="","",'P11'!U13)</f>
        <v/>
      </c>
      <c r="M92" s="144" t="str">
        <f>IF('P11'!W14="","",'P11'!W14)</f>
        <v/>
      </c>
    </row>
    <row r="93" spans="1:14" ht="14.1">
      <c r="A93" s="143"/>
      <c r="B93" s="144" t="str">
        <f>IF('P11'!A31="","",'P11'!A31)</f>
        <v/>
      </c>
      <c r="C93" s="144" t="str">
        <f>IF('P11'!C31="","",'P11'!C31)</f>
        <v/>
      </c>
      <c r="D93" s="144" t="str">
        <f>IF('P11'!D31="","",'P11'!D31)</f>
        <v/>
      </c>
      <c r="E93" s="145" t="str">
        <f>IF('P11'!E31="","",'P11'!E31)</f>
        <v/>
      </c>
      <c r="F93" s="146" t="str">
        <f>IF('P11'!G31="","",'P11'!G31)</f>
        <v/>
      </c>
      <c r="G93" s="146" t="str">
        <f>IF('P11'!G32="","",'P11'!G32)</f>
        <v/>
      </c>
      <c r="H93" s="147" t="str">
        <f>IF('P11'!N31="","",'P11'!N31)</f>
        <v/>
      </c>
      <c r="I93" s="147" t="str">
        <f>IF('P11'!O31="","",'P11'!O31)</f>
        <v/>
      </c>
      <c r="J93" s="144" t="str">
        <f>IF('P11'!S31="","",'P11'!S31)</f>
        <v/>
      </c>
      <c r="K93" s="144" t="str">
        <f>IF('P11'!T31="","",'P11'!T31)</f>
        <v/>
      </c>
      <c r="L93" s="144" t="str">
        <f>IF('P11'!U31="","",'P11'!U31)</f>
        <v/>
      </c>
      <c r="M93" s="144" t="str">
        <f>IF('P11'!W32="","",'P11'!W32)</f>
        <v/>
      </c>
      <c r="N93">
        <f>SUM(N5:N92)</f>
        <v>430</v>
      </c>
    </row>
    <row r="94" spans="1:14" ht="18">
      <c r="A94" s="143"/>
      <c r="E94" s="376" t="s">
        <v>273</v>
      </c>
      <c r="F94" s="376"/>
      <c r="G94" s="376"/>
      <c r="N94" s="80"/>
    </row>
    <row r="95" spans="1:14" ht="18">
      <c r="A95" s="143"/>
      <c r="E95" s="292">
        <v>1</v>
      </c>
      <c r="F95" s="293" t="s">
        <v>103</v>
      </c>
      <c r="G95" s="294">
        <f>SUM(N7,N25,N32,N49,N50,N51,N52,N71)</f>
        <v>70</v>
      </c>
      <c r="N95" s="80"/>
    </row>
    <row r="96" spans="1:14" ht="18">
      <c r="A96" s="143"/>
      <c r="E96" s="292">
        <v>2</v>
      </c>
      <c r="F96" s="293" t="s">
        <v>124</v>
      </c>
      <c r="G96" s="294">
        <f>SUM(N17,N24,N29,N30,N34,N57,N62)</f>
        <v>55</v>
      </c>
      <c r="N96" s="80"/>
    </row>
    <row r="97" spans="1:14" ht="18">
      <c r="A97" s="143"/>
      <c r="E97" s="292">
        <v>3</v>
      </c>
      <c r="F97" s="293" t="s">
        <v>108</v>
      </c>
      <c r="G97" s="294">
        <f>SUM(N11,N58,N61,N63,N77,N84)</f>
        <v>45</v>
      </c>
      <c r="N97" s="80"/>
    </row>
    <row r="98" spans="1:14" ht="18">
      <c r="A98" s="143"/>
      <c r="E98" s="292">
        <v>4</v>
      </c>
      <c r="F98" s="293" t="s">
        <v>5</v>
      </c>
      <c r="G98" s="294">
        <f>SUM(N8,N18,N27,N55,N76)</f>
        <v>42</v>
      </c>
      <c r="N98" s="80"/>
    </row>
    <row r="99" spans="1:14" ht="18">
      <c r="A99" s="143"/>
      <c r="E99" s="292">
        <v>5</v>
      </c>
      <c r="F99" s="293" t="s">
        <v>111</v>
      </c>
      <c r="G99" s="294">
        <f>SUM(N12,N13,N59,N70,N81)</f>
        <v>37</v>
      </c>
      <c r="N99" s="80"/>
    </row>
    <row r="100" spans="1:14" ht="18">
      <c r="A100" s="143"/>
      <c r="E100" s="292">
        <v>6</v>
      </c>
      <c r="F100" s="293" t="s">
        <v>274</v>
      </c>
      <c r="G100" s="294">
        <f>SUM(N28,N40,N66,N69,N72)</f>
        <v>34</v>
      </c>
      <c r="N100" s="80"/>
    </row>
    <row r="101" spans="1:14" ht="18">
      <c r="A101" s="143"/>
      <c r="E101" s="292">
        <v>7</v>
      </c>
      <c r="F101" s="293" t="s">
        <v>97</v>
      </c>
      <c r="G101" s="294">
        <f>SUM(N5,N6,N65,N79)</f>
        <v>30</v>
      </c>
      <c r="N101" s="80"/>
    </row>
    <row r="102" spans="1:14" ht="18">
      <c r="A102" s="143"/>
      <c r="E102" s="292">
        <v>8</v>
      </c>
      <c r="F102" s="293" t="s">
        <v>94</v>
      </c>
      <c r="G102" s="294">
        <f>SUM(N9,N14,N35,N37,N38,N74,N83,N87)</f>
        <v>26</v>
      </c>
      <c r="N102" s="80"/>
    </row>
    <row r="103" spans="1:14" ht="18">
      <c r="A103" s="143"/>
      <c r="E103" s="292">
        <v>8</v>
      </c>
      <c r="F103" s="293" t="s">
        <v>131</v>
      </c>
      <c r="G103" s="294">
        <f>SUM(N20,N22,N33,N56)</f>
        <v>26</v>
      </c>
      <c r="N103" s="80"/>
    </row>
    <row r="104" spans="1:14" ht="18">
      <c r="A104" s="143"/>
      <c r="E104" s="292">
        <v>10</v>
      </c>
      <c r="F104" s="293" t="s">
        <v>127</v>
      </c>
      <c r="G104" s="294">
        <f>SUM(N19,N21,N39,N53)</f>
        <v>24</v>
      </c>
      <c r="N104" s="80"/>
    </row>
    <row r="105" spans="1:14" ht="18">
      <c r="A105" s="143"/>
      <c r="E105" s="292">
        <v>11</v>
      </c>
      <c r="F105" s="293" t="s">
        <v>34</v>
      </c>
      <c r="G105" s="294">
        <f>SUM(N26,N73,N78)</f>
        <v>18</v>
      </c>
      <c r="N105" s="80"/>
    </row>
    <row r="106" spans="1:14" ht="18">
      <c r="A106" s="143"/>
      <c r="E106" s="292">
        <v>12</v>
      </c>
      <c r="F106" s="293" t="s">
        <v>202</v>
      </c>
      <c r="G106" s="294">
        <f>SUM(N64,N86)</f>
        <v>9</v>
      </c>
      <c r="N106" s="80"/>
    </row>
    <row r="107" spans="1:14" ht="18">
      <c r="A107" s="143"/>
      <c r="E107" s="292">
        <v>13</v>
      </c>
      <c r="F107" s="293" t="s">
        <v>144</v>
      </c>
      <c r="G107" s="294">
        <f>SUM(N41,N75)</f>
        <v>6</v>
      </c>
      <c r="N107" s="80"/>
    </row>
    <row r="108" spans="1:14" ht="18">
      <c r="A108" s="143"/>
      <c r="E108" s="292">
        <v>14</v>
      </c>
      <c r="F108" s="293" t="s">
        <v>41</v>
      </c>
      <c r="G108" s="294">
        <f>SUM(N31)</f>
        <v>4</v>
      </c>
      <c r="N108" s="80"/>
    </row>
    <row r="109" spans="1:14" ht="18">
      <c r="A109" s="143"/>
      <c r="E109" s="292">
        <v>15</v>
      </c>
      <c r="F109" s="293" t="s">
        <v>215</v>
      </c>
      <c r="G109" s="294">
        <f>SUM(N80,N82)</f>
        <v>2</v>
      </c>
      <c r="N109" s="80"/>
    </row>
    <row r="110" spans="1:14" ht="18">
      <c r="A110" s="143"/>
      <c r="E110" s="292">
        <v>16</v>
      </c>
      <c r="F110" s="293" t="s">
        <v>45</v>
      </c>
      <c r="G110" s="294">
        <f>SUM(N36)</f>
        <v>1</v>
      </c>
      <c r="N110" s="80"/>
    </row>
    <row r="111" spans="1:14" ht="18">
      <c r="A111" s="143"/>
      <c r="E111" s="292">
        <v>16</v>
      </c>
      <c r="F111" s="293" t="s">
        <v>220</v>
      </c>
      <c r="G111" s="294">
        <f>SUM(N85)</f>
        <v>1</v>
      </c>
      <c r="N111" s="80"/>
    </row>
    <row r="112" spans="1:14">
      <c r="G112" s="295">
        <f>SUM(G95:G111)</f>
        <v>430</v>
      </c>
    </row>
  </sheetData>
  <sortState xmlns:xlrd2="http://schemas.microsoft.com/office/spreadsheetml/2017/richdata2" ref="A26:M41">
    <sortCondition descending="1" ref="M26:M41"/>
  </sortState>
  <mergeCells count="7">
    <mergeCell ref="E94:G94"/>
    <mergeCell ref="A3:M3"/>
    <mergeCell ref="A47:M47"/>
    <mergeCell ref="A1:M1"/>
    <mergeCell ref="A2:E2"/>
    <mergeCell ref="F2:I2"/>
    <mergeCell ref="J2:M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fitToHeight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87"/>
  <sheetViews>
    <sheetView topLeftCell="A37" zoomScale="120" zoomScaleNormal="120" zoomScalePageLayoutView="120" workbookViewId="0">
      <selection activeCell="A8" sqref="A8"/>
    </sheetView>
  </sheetViews>
  <sheetFormatPr defaultColWidth="8.85546875" defaultRowHeight="12.95"/>
  <cols>
    <col min="1" max="1" width="5.42578125" customWidth="1"/>
    <col min="2" max="3" width="7.5703125" customWidth="1"/>
    <col min="4" max="4" width="7.140625" customWidth="1"/>
    <col min="5" max="5" width="10.42578125" customWidth="1"/>
    <col min="6" max="6" width="27.5703125" customWidth="1"/>
    <col min="7" max="7" width="20.5703125" customWidth="1"/>
    <col min="8" max="9" width="6.85546875" customWidth="1"/>
    <col min="10" max="11" width="8.5703125" customWidth="1"/>
    <col min="12" max="12" width="9.5703125" customWidth="1"/>
    <col min="13" max="13" width="9.42578125" bestFit="1" customWidth="1"/>
  </cols>
  <sheetData>
    <row r="1" spans="1:13" ht="30.6" thickBot="1">
      <c r="A1" s="383" t="s">
        <v>275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3" s="149" customFormat="1" ht="21" customHeight="1" thickBot="1">
      <c r="A2" s="386" t="str">
        <f>IF('P2'!J5&gt;0,'P2'!J5,"")</f>
        <v>Larvik AK</v>
      </c>
      <c r="B2" s="387"/>
      <c r="C2" s="387"/>
      <c r="D2" s="387"/>
      <c r="E2" s="387"/>
      <c r="F2" s="388" t="str">
        <f>IF('P2'!P5&gt;0,'P2'!P5,"")</f>
        <v>Stavernhallen</v>
      </c>
      <c r="G2" s="387"/>
      <c r="H2" s="387"/>
      <c r="I2" s="387"/>
      <c r="J2" s="389">
        <f>IF('P2'!U5&gt;0,'P2'!U5,"")</f>
        <v>43358</v>
      </c>
      <c r="K2" s="389"/>
      <c r="L2" s="389"/>
      <c r="M2" s="390"/>
    </row>
    <row r="3" spans="1:13" ht="20.45" thickBot="1">
      <c r="A3" s="377" t="s">
        <v>264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9"/>
    </row>
    <row r="4" spans="1:13" s="73" customFormat="1" ht="12.6">
      <c r="A4" s="141" t="s">
        <v>265</v>
      </c>
      <c r="B4" s="148" t="s">
        <v>266</v>
      </c>
      <c r="C4" s="148" t="s">
        <v>267</v>
      </c>
      <c r="D4" s="141" t="s">
        <v>268</v>
      </c>
      <c r="E4" s="141" t="s">
        <v>269</v>
      </c>
      <c r="F4" s="142" t="s">
        <v>15</v>
      </c>
      <c r="G4" s="142" t="s">
        <v>85</v>
      </c>
      <c r="H4" s="141" t="s">
        <v>17</v>
      </c>
      <c r="I4" s="141" t="s">
        <v>18</v>
      </c>
      <c r="J4" s="141" t="s">
        <v>270</v>
      </c>
      <c r="K4" s="141" t="s">
        <v>271</v>
      </c>
      <c r="L4" s="141" t="s">
        <v>77</v>
      </c>
      <c r="M4" s="141" t="s">
        <v>21</v>
      </c>
    </row>
    <row r="5" spans="1:13" ht="14.1">
      <c r="A5" s="143">
        <v>1</v>
      </c>
      <c r="B5" s="144">
        <f>IF('P6'!A9="","",'P6'!A9)</f>
        <v>52.66</v>
      </c>
      <c r="C5" s="144" t="str">
        <f>IF('P6'!C9="","",'P6'!C9)</f>
        <v>SK</v>
      </c>
      <c r="D5" s="144" t="str">
        <f>IF('P6'!D9="","",'P6'!D9)</f>
        <v>+18</v>
      </c>
      <c r="E5" s="145">
        <f>IF('P6'!E9="","",'P6'!E9)</f>
        <v>34413</v>
      </c>
      <c r="F5" s="146" t="str">
        <f>IF('P6'!G9="","",'P6'!G9)</f>
        <v>Sarah Hovden Øvsthus</v>
      </c>
      <c r="G5" s="146" t="str">
        <f>IF('P6'!G10="","",'P6'!G10)</f>
        <v>AK Bjørgvin</v>
      </c>
      <c r="H5" s="147">
        <f>IF('P6'!N9="","",'P6'!N9)</f>
        <v>73</v>
      </c>
      <c r="I5" s="147">
        <f>IF('P6'!O9="","",'P6'!O9)</f>
        <v>98</v>
      </c>
      <c r="J5" s="144">
        <f>IF('P6'!S9="","",'P6'!S9)</f>
        <v>7.68</v>
      </c>
      <c r="K5" s="144">
        <f>IF('P6'!T9="","",'P6'!T9)</f>
        <v>15.55</v>
      </c>
      <c r="L5" s="144">
        <f>IF('P6'!U9="","",'P6'!U9)</f>
        <v>6.63</v>
      </c>
      <c r="M5" s="144">
        <f>IF('P6'!W10="","",'P6'!W10)</f>
        <v>759.78569430567359</v>
      </c>
    </row>
    <row r="6" spans="1:13" ht="14.1">
      <c r="A6" s="143">
        <v>2</v>
      </c>
      <c r="B6" s="144">
        <f>IF('P6'!A17="","",'P6'!A17)</f>
        <v>64.81</v>
      </c>
      <c r="C6" s="144" t="str">
        <f>IF('P6'!C17="","",'P6'!C17)</f>
        <v>SK</v>
      </c>
      <c r="D6" s="144" t="str">
        <f>IF('P6'!D17="","",'P6'!D17)</f>
        <v>+18</v>
      </c>
      <c r="E6" s="145">
        <f>IF('P6'!E17="","",'P6'!E17)</f>
        <v>33735</v>
      </c>
      <c r="F6" s="146" t="str">
        <f>IF('P6'!G17="","",'P6'!G17)</f>
        <v>Marit Årdalsbakke</v>
      </c>
      <c r="G6" s="146" t="str">
        <f>IF('P6'!G18="","",'P6'!G18)</f>
        <v>Tambarskjelvar IL</v>
      </c>
      <c r="H6" s="147">
        <f>IF('P6'!N17="","",'P6'!N17)</f>
        <v>87</v>
      </c>
      <c r="I6" s="147">
        <f>IF('P6'!O17="","",'P6'!O17)</f>
        <v>102</v>
      </c>
      <c r="J6" s="144">
        <f>IF('P6'!S17="","",'P6'!S17)</f>
        <v>7.63</v>
      </c>
      <c r="K6" s="144">
        <f>IF('P6'!T17="","",'P6'!T17)</f>
        <v>15.37</v>
      </c>
      <c r="L6" s="144">
        <f>IF('P6'!U17="","",'P6'!U17)</f>
        <v>6.73</v>
      </c>
      <c r="M6" s="144">
        <f>IF('P6'!W18="","",'P6'!W18)</f>
        <v>741.9279778274099</v>
      </c>
    </row>
    <row r="7" spans="1:13" ht="14.1">
      <c r="A7" s="143">
        <v>3</v>
      </c>
      <c r="B7" s="144">
        <f>IF('P6'!A15="","",'P6'!A15)</f>
        <v>64.42</v>
      </c>
      <c r="C7" s="144" t="str">
        <f>IF('P6'!C15="","",'P6'!C15)</f>
        <v>SK</v>
      </c>
      <c r="D7" s="144" t="str">
        <f>IF('P6'!D15="","",'P6'!D15)</f>
        <v>+18</v>
      </c>
      <c r="E7" s="145" t="str">
        <f>IF('P6'!E15="","",'P6'!E15)</f>
        <v>02.02.84</v>
      </c>
      <c r="F7" s="146" t="str">
        <f>IF('P6'!G15="","",'P6'!G15)</f>
        <v>Marie Mossige Grythe</v>
      </c>
      <c r="G7" s="146" t="str">
        <f>IF('P6'!G16="","",'P6'!G16)</f>
        <v>Spydeberg Atletene</v>
      </c>
      <c r="H7" s="147">
        <f>IF('P6'!N15="","",'P6'!N15)</f>
        <v>80</v>
      </c>
      <c r="I7" s="147">
        <f>IF('P6'!O15="","",'P6'!O15)</f>
        <v>100</v>
      </c>
      <c r="J7" s="144">
        <f>IF('P6'!S15="","",'P6'!S15)</f>
        <v>7.46</v>
      </c>
      <c r="K7" s="144">
        <f>IF('P6'!T15="","",'P6'!T15)</f>
        <v>12.33</v>
      </c>
      <c r="L7" s="144">
        <f>IF('P6'!U15="","",'P6'!U15)</f>
        <v>6.58</v>
      </c>
      <c r="M7" s="144">
        <f>IF('P6'!W16="","",'P6'!W16)</f>
        <v>700.16310248901834</v>
      </c>
    </row>
    <row r="8" spans="1:13" ht="14.1">
      <c r="A8" s="143">
        <v>4</v>
      </c>
      <c r="B8" s="144">
        <f>IF('P5'!A9="","",'P5'!A9)</f>
        <v>55.01</v>
      </c>
      <c r="C8" s="144" t="str">
        <f>IF('P5'!C9="","",'P5'!C9)</f>
        <v>SK</v>
      </c>
      <c r="D8" s="144" t="str">
        <f>IF('P5'!D9="","",'P5'!D9)</f>
        <v>+18</v>
      </c>
      <c r="E8" s="145" t="str">
        <f>IF('P5'!E9="","",'P5'!E9)</f>
        <v>12.09.96</v>
      </c>
      <c r="F8" s="146" t="str">
        <f>IF('P5'!G9="","",'P5'!G9)</f>
        <v>Rebekka Tao Jacobsen</v>
      </c>
      <c r="G8" s="146" t="str">
        <f>IF('P5'!G10="","",'P5'!G10)</f>
        <v>Larvik AK</v>
      </c>
      <c r="H8" s="147">
        <f>IF('P5'!N9="","",'P5'!N9)</f>
        <v>73</v>
      </c>
      <c r="I8" s="147">
        <f>IF('P5'!O9="","",'P5'!O9)</f>
        <v>95</v>
      </c>
      <c r="J8" s="144">
        <f>IF('P5'!S9="","",'P5'!S9)</f>
        <v>6.92</v>
      </c>
      <c r="K8" s="144">
        <f>IF('P5'!T9="","",'P5'!T9)</f>
        <v>10.56</v>
      </c>
      <c r="L8" s="144">
        <f>IF('P5'!U9="","",'P5'!U9)</f>
        <v>6.75</v>
      </c>
      <c r="M8" s="144">
        <f>IF('P5'!W10="","",'P5'!W10)</f>
        <v>671.23829997354926</v>
      </c>
    </row>
    <row r="9" spans="1:13" ht="14.1">
      <c r="A9" s="143">
        <v>5</v>
      </c>
      <c r="B9" s="144">
        <f>IF('P3'!A9="","",'P3'!A9)</f>
        <v>51.1</v>
      </c>
      <c r="C9" s="144" t="str">
        <f>IF('P3'!C9="","",'P3'!C9)</f>
        <v>JK</v>
      </c>
      <c r="D9" s="144" t="str">
        <f>IF('P3'!D9="","",'P3'!D9)</f>
        <v>17-18</v>
      </c>
      <c r="E9" s="145">
        <f>IF('P3'!E9="","",'P3'!E9)</f>
        <v>36561</v>
      </c>
      <c r="F9" s="146" t="str">
        <f>IF('P3'!G9="","",'P3'!G9)</f>
        <v>Tiril Boge</v>
      </c>
      <c r="G9" s="146" t="str">
        <f>IF('P3'!G10="","",'P3'!G10)</f>
        <v>AK Bjørgvin</v>
      </c>
      <c r="H9" s="147">
        <f>IF('P3'!N9="","",'P3'!N9)</f>
        <v>61</v>
      </c>
      <c r="I9" s="147">
        <f>IF('P3'!O9="","",'P3'!O9)</f>
        <v>75</v>
      </c>
      <c r="J9" s="144">
        <f>IF('P3'!S9="","",'P3'!S9)</f>
        <v>7.87</v>
      </c>
      <c r="K9" s="144">
        <f>IF('P3'!T9="","",'P3'!T9)</f>
        <v>12.94</v>
      </c>
      <c r="L9" s="144">
        <f>IF('P3'!U9="","",'P3'!U9)</f>
        <v>6.93</v>
      </c>
      <c r="M9" s="144">
        <f>IF('P3'!W10="","",'P3'!W10)</f>
        <v>666.24800611421574</v>
      </c>
    </row>
    <row r="10" spans="1:13" ht="14.1">
      <c r="A10" s="143">
        <v>6</v>
      </c>
      <c r="B10" s="144">
        <f>IF('P4'!A9="","",'P4'!A9)</f>
        <v>52.74</v>
      </c>
      <c r="C10" s="144" t="str">
        <f>IF('P4'!C9="","",'P4'!C9)</f>
        <v>SK</v>
      </c>
      <c r="D10" s="144" t="str">
        <f>IF('P4'!D9="","",'P4'!D9)</f>
        <v>+18</v>
      </c>
      <c r="E10" s="145">
        <f>IF('P4'!E9="","",'P4'!E9)</f>
        <v>31750</v>
      </c>
      <c r="F10" s="146" t="str">
        <f>IF('P4'!G9="","",'P4'!G9)</f>
        <v>Vibeke Carlsen</v>
      </c>
      <c r="G10" s="146" t="str">
        <f>IF('P4'!G10="","",'P4'!G10)</f>
        <v>Tønsberg-Kam.</v>
      </c>
      <c r="H10" s="147">
        <f>IF('P4'!N9="","",'P4'!N9)</f>
        <v>60</v>
      </c>
      <c r="I10" s="147">
        <f>IF('P4'!O9="","",'P4'!O9)</f>
        <v>73</v>
      </c>
      <c r="J10" s="144">
        <f>IF('P4'!S9="","",'P4'!S9)</f>
        <v>7.53</v>
      </c>
      <c r="K10" s="144">
        <f>IF('P4'!T9="","",'P4'!T9)</f>
        <v>13.5</v>
      </c>
      <c r="L10" s="144">
        <f>IF('P4'!U9="","",'P4'!U9)</f>
        <v>6.79</v>
      </c>
      <c r="M10" s="144">
        <f>IF('P4'!W10="","",'P4'!W10)</f>
        <v>662.61170763538553</v>
      </c>
    </row>
    <row r="11" spans="1:13" ht="14.1">
      <c r="A11" s="143">
        <v>7</v>
      </c>
      <c r="B11" s="144">
        <f>IF('P5'!A19="","",'P5'!A19)</f>
        <v>63.33</v>
      </c>
      <c r="C11" s="144" t="str">
        <f>IF('P5'!C19="","",'P5'!C19)</f>
        <v>SK</v>
      </c>
      <c r="D11" s="144" t="str">
        <f>IF('P5'!D19="","",'P5'!D19)</f>
        <v>+18</v>
      </c>
      <c r="E11" s="145">
        <f>IF('P5'!E19="","",'P5'!E19)</f>
        <v>35431</v>
      </c>
      <c r="F11" s="146" t="str">
        <f>IF('P5'!G19="","",'P5'!G19)</f>
        <v>Emma Hald</v>
      </c>
      <c r="G11" s="146" t="str">
        <f>IF('P5'!G20="","",'P5'!G20)</f>
        <v>AK Bjørgvin</v>
      </c>
      <c r="H11" s="147">
        <f>IF('P5'!N19="","",'P5'!N19)</f>
        <v>76</v>
      </c>
      <c r="I11" s="147">
        <f>IF('P5'!O19="","",'P5'!O19)</f>
        <v>90</v>
      </c>
      <c r="J11" s="144">
        <f>IF('P5'!S19="","",'P5'!S19)</f>
        <v>7.06</v>
      </c>
      <c r="K11" s="144">
        <f>IF('P5'!T19="","",'P5'!T19)</f>
        <v>13.49</v>
      </c>
      <c r="L11" s="144">
        <f>IF('P5'!U19="","",'P5'!U19)</f>
        <v>7.2</v>
      </c>
      <c r="M11" s="144">
        <f>IF('P5'!W20="","",'P5'!W20)</f>
        <v>661.83678263144225</v>
      </c>
    </row>
    <row r="12" spans="1:13" ht="14.1">
      <c r="A12" s="143">
        <v>8</v>
      </c>
      <c r="B12" s="144">
        <f>IF('P6'!A19="","",'P6'!A19)</f>
        <v>74.510000000000005</v>
      </c>
      <c r="C12" s="144" t="str">
        <f>IF('P6'!C19="","",'P6'!C19)</f>
        <v>SK</v>
      </c>
      <c r="D12" s="144" t="str">
        <f>IF('P6'!D19="","",'P6'!D19)</f>
        <v>+18</v>
      </c>
      <c r="E12" s="145" t="str">
        <f>IF('P6'!E19="","",'P6'!E19)</f>
        <v>14.11.85</v>
      </c>
      <c r="F12" s="146" t="str">
        <f>IF('P6'!G19="","",'P6'!G19)</f>
        <v>Marianne Hasfjord</v>
      </c>
      <c r="G12" s="146" t="str">
        <f>IF('P6'!G20="","",'P6'!G20)</f>
        <v>AK Bjørgvin</v>
      </c>
      <c r="H12" s="147">
        <f>IF('P6'!N19="","",'P6'!N19)</f>
        <v>77</v>
      </c>
      <c r="I12" s="147">
        <f>IF('P6'!O19="","",'P6'!O19)</f>
        <v>97</v>
      </c>
      <c r="J12" s="144">
        <f>IF('P6'!S19="","",'P6'!S19)</f>
        <v>6.82</v>
      </c>
      <c r="K12" s="144">
        <f>IF('P6'!T19="","",'P6'!T19)</f>
        <v>14.35</v>
      </c>
      <c r="L12" s="144">
        <f>IF('P6'!U19="","",'P6'!U19)</f>
        <v>7.12</v>
      </c>
      <c r="M12" s="144">
        <f>IF('P6'!W20="","",'P6'!W20)</f>
        <v>655.79203919406973</v>
      </c>
    </row>
    <row r="13" spans="1:13" ht="14.1">
      <c r="A13" s="143">
        <v>9</v>
      </c>
      <c r="B13" s="144">
        <f>IF('P5'!A15="","",'P5'!A15)</f>
        <v>63.51</v>
      </c>
      <c r="C13" s="144" t="str">
        <f>IF('P5'!C15="","",'P5'!C15)</f>
        <v>SK</v>
      </c>
      <c r="D13" s="144" t="str">
        <f>IF('P5'!D15="","",'P5'!D15)</f>
        <v>+18</v>
      </c>
      <c r="E13" s="145">
        <f>IF('P5'!E15="","",'P5'!E15)</f>
        <v>35388</v>
      </c>
      <c r="F13" s="146" t="str">
        <f>IF('P5'!G15="","",'P5'!G15)</f>
        <v>Emmy Kristine L. Rustad</v>
      </c>
      <c r="G13" s="146" t="str">
        <f>IF('P5'!G16="","",'P5'!G16)</f>
        <v>Grenland AK</v>
      </c>
      <c r="H13" s="147">
        <f>IF('P5'!N15="","",'P5'!N15)</f>
        <v>66</v>
      </c>
      <c r="I13" s="147">
        <f>IF('P5'!O15="","",'P5'!O15)</f>
        <v>81</v>
      </c>
      <c r="J13" s="144">
        <f>IF('P5'!S15="","",'P5'!S15)</f>
        <v>7.44</v>
      </c>
      <c r="K13" s="144">
        <f>IF('P5'!T15="","",'P5'!T15)</f>
        <v>13.25</v>
      </c>
      <c r="L13" s="144">
        <f>IF('P5'!U15="","",'P5'!U15)</f>
        <v>6.81</v>
      </c>
      <c r="M13" s="144">
        <f>IF('P5'!W16="","",'P5'!W16)</f>
        <v>648.61592151325044</v>
      </c>
    </row>
    <row r="14" spans="1:13" ht="14.1">
      <c r="A14" s="143">
        <v>10</v>
      </c>
      <c r="B14" s="144">
        <f>IF('P2'!A21="","",'P2'!A21)</f>
        <v>57.19</v>
      </c>
      <c r="C14" s="144" t="str">
        <f>IF('P2'!C21="","",'P2'!C21)</f>
        <v>UK</v>
      </c>
      <c r="D14" s="144" t="str">
        <f>IF('P2'!D21="","",'P2'!D21)</f>
        <v>15-16</v>
      </c>
      <c r="E14" s="145">
        <f>IF('P2'!E21="","",'P2'!E21)</f>
        <v>37315</v>
      </c>
      <c r="F14" s="146" t="str">
        <f>IF('P2'!G21="","",'P2'!G21)</f>
        <v>Julia Jordanger Loen</v>
      </c>
      <c r="G14" s="146" t="str">
        <f>IF('P2'!G22="","",'P2'!G22)</f>
        <v>Breimsbygda IL</v>
      </c>
      <c r="H14" s="147">
        <f>IF('P2'!N21="","",'P2'!N21)</f>
        <v>54</v>
      </c>
      <c r="I14" s="147">
        <f>IF('P2'!O21="","",'P2'!O21)</f>
        <v>73</v>
      </c>
      <c r="J14" s="144">
        <f>IF('P2'!S21="","",'P2'!S21)</f>
        <v>7.17</v>
      </c>
      <c r="K14" s="144">
        <f>IF('P2'!T21="","",'P2'!T21)</f>
        <v>13.86</v>
      </c>
      <c r="L14" s="144">
        <f>IF('P2'!U21="","",'P2'!U21)</f>
        <v>6.64</v>
      </c>
      <c r="M14" s="144">
        <f>IF('P2'!W22="","",'P2'!W22)</f>
        <v>640.34730887138755</v>
      </c>
    </row>
    <row r="15" spans="1:13" ht="14.1">
      <c r="A15" s="143">
        <v>11</v>
      </c>
      <c r="B15" s="144">
        <f>IF('P6'!A23="","",'P6'!A23)</f>
        <v>86.88</v>
      </c>
      <c r="C15" s="144" t="str">
        <f>IF('P6'!C23="","",'P6'!C23)</f>
        <v>SK</v>
      </c>
      <c r="D15" s="144" t="str">
        <f>IF('P6'!D23="","",'P6'!D23)</f>
        <v>+18</v>
      </c>
      <c r="E15" s="145" t="str">
        <f>IF('P6'!E23="","",'P6'!E23)</f>
        <v>10.11.92</v>
      </c>
      <c r="F15" s="146" t="str">
        <f>IF('P6'!G23="","",'P6'!G23)</f>
        <v>Lone Kalland</v>
      </c>
      <c r="G15" s="146" t="str">
        <f>IF('P6'!G24="","",'P6'!G24)</f>
        <v>Tambarskjelvar IL</v>
      </c>
      <c r="H15" s="147">
        <f>IF('P6'!N23="","",'P6'!N23)</f>
        <v>73</v>
      </c>
      <c r="I15" s="147">
        <f>IF('P6'!O23="","",'P6'!O23)</f>
        <v>102</v>
      </c>
      <c r="J15" s="144">
        <f>IF('P6'!S23="","",'P6'!S23)</f>
        <v>6.74</v>
      </c>
      <c r="K15" s="144">
        <f>IF('P6'!T23="","",'P6'!T23)</f>
        <v>13.79</v>
      </c>
      <c r="L15" s="144">
        <f>IF('P6'!U23="","",'P6'!U23)</f>
        <v>7.62</v>
      </c>
      <c r="M15" s="144">
        <f>IF('P6'!W24="","",'P6'!W24)</f>
        <v>613.054688879266</v>
      </c>
    </row>
    <row r="16" spans="1:13" ht="14.1">
      <c r="A16" s="143">
        <v>12</v>
      </c>
      <c r="B16" s="144">
        <f>IF('P5'!A21="","",'P5'!A21)</f>
        <v>76.319999999999993</v>
      </c>
      <c r="C16" s="144" t="str">
        <f>IF('P5'!C21="","",'P5'!C21)</f>
        <v>SK</v>
      </c>
      <c r="D16" s="144" t="str">
        <f>IF('P5'!D21="","",'P5'!D21)</f>
        <v>+18</v>
      </c>
      <c r="E16" s="145">
        <f>IF('P5'!E21="","",'P5'!E21)</f>
        <v>31888</v>
      </c>
      <c r="F16" s="146" t="str">
        <f>IF('P5'!G21="","",'P5'!G21)</f>
        <v>Elisabeth Settem</v>
      </c>
      <c r="G16" s="146" t="str">
        <f>IF('P5'!G22="","",'P5'!G22)</f>
        <v>Trondheim AK</v>
      </c>
      <c r="H16" s="147">
        <f>IF('P5'!N21="","",'P5'!N21)</f>
        <v>70</v>
      </c>
      <c r="I16" s="147">
        <f>IF('P5'!O21="","",'P5'!O21)</f>
        <v>88</v>
      </c>
      <c r="J16" s="144">
        <f>IF('P5'!S21="","",'P5'!S21)</f>
        <v>6.31</v>
      </c>
      <c r="K16" s="144">
        <f>IF('P5'!T21="","",'P5'!T21)</f>
        <v>13.37</v>
      </c>
      <c r="L16" s="144">
        <f>IF('P5'!U21="","",'P5'!U21)</f>
        <v>7.29</v>
      </c>
      <c r="M16" s="144">
        <f>IF('P5'!W22="","",'P5'!W22)</f>
        <v>605.24646004039255</v>
      </c>
    </row>
    <row r="17" spans="1:13" ht="14.1">
      <c r="A17" s="143">
        <v>13</v>
      </c>
      <c r="B17" s="144">
        <f>IF('P5'!A17="","",'P5'!A17)</f>
        <v>67.98</v>
      </c>
      <c r="C17" s="144" t="str">
        <f>IF('P5'!C17="","",'P5'!C17)</f>
        <v>SK</v>
      </c>
      <c r="D17" s="144" t="str">
        <f>IF('P5'!D17="","",'P5'!D17)</f>
        <v>+18</v>
      </c>
      <c r="E17" s="145">
        <f>IF('P5'!E17="","",'P5'!E17)</f>
        <v>33491</v>
      </c>
      <c r="F17" s="146" t="str">
        <f>IF('P5'!G17="","",'P5'!G17)</f>
        <v>Iselin Hatlenes</v>
      </c>
      <c r="G17" s="146" t="str">
        <f>IF('P5'!G18="","",'P5'!G18)</f>
        <v>AK Bjørgvin</v>
      </c>
      <c r="H17" s="147">
        <f>IF('P5'!N17="","",'P5'!N17)</f>
        <v>67</v>
      </c>
      <c r="I17" s="147">
        <f>IF('P5'!O17="","",'P5'!O17)</f>
        <v>87</v>
      </c>
      <c r="J17" s="144">
        <f>IF('P5'!S17="","",'P5'!S17)</f>
        <v>6.47</v>
      </c>
      <c r="K17" s="144">
        <f>IF('P5'!T17="","",'P5'!T17)</f>
        <v>12.17</v>
      </c>
      <c r="L17" s="144">
        <f>IF('P5'!U17="","",'P5'!U17)</f>
        <v>7.37</v>
      </c>
      <c r="M17" s="144">
        <f>IF('P5'!W18="","",'P5'!W18)</f>
        <v>598.99803767801473</v>
      </c>
    </row>
    <row r="18" spans="1:13" ht="14.1">
      <c r="A18" s="143">
        <v>14</v>
      </c>
      <c r="B18" s="144">
        <f>IF('P3'!A11="","",'P3'!A11)</f>
        <v>56.38</v>
      </c>
      <c r="C18" s="144" t="str">
        <f>IF('P3'!C11="","",'P3'!C11)</f>
        <v>UK</v>
      </c>
      <c r="D18" s="144" t="str">
        <f>IF('P3'!D11="","",'P3'!D11)</f>
        <v>17-18</v>
      </c>
      <c r="E18" s="145">
        <f>IF('P3'!E11="","",'P3'!E11)</f>
        <v>36902</v>
      </c>
      <c r="F18" s="146" t="str">
        <f>IF('P3'!G11="","",'P3'!G11)</f>
        <v>Helene Skuggedal</v>
      </c>
      <c r="G18" s="146" t="str">
        <f>IF('P3'!G12="","",'P3'!G12)</f>
        <v>Larvik AK</v>
      </c>
      <c r="H18" s="147">
        <f>IF('P3'!N11="","",'P3'!N11)</f>
        <v>55</v>
      </c>
      <c r="I18" s="147">
        <f>IF('P3'!O11="","",'P3'!O11)</f>
        <v>70</v>
      </c>
      <c r="J18" s="144">
        <f>IF('P3'!S11="","",'P3'!S11)</f>
        <v>7.14</v>
      </c>
      <c r="K18" s="144">
        <f>IF('P3'!T11="","",'P3'!T11)</f>
        <v>10.5</v>
      </c>
      <c r="L18" s="144">
        <f>IF('P3'!U11="","",'P3'!U11)</f>
        <v>7.29</v>
      </c>
      <c r="M18" s="144">
        <f>IF('P3'!W12="","",'P3'!W12)</f>
        <v>577.47188964215582</v>
      </c>
    </row>
    <row r="19" spans="1:13" ht="14.1">
      <c r="A19" s="143">
        <v>15</v>
      </c>
      <c r="B19" s="144">
        <f>IF('P4'!A19="","",'P4'!A19)</f>
        <v>66.78</v>
      </c>
      <c r="C19" s="144" t="str">
        <f>IF('P4'!C19="","",'P4'!C19)</f>
        <v>SK</v>
      </c>
      <c r="D19" s="144" t="str">
        <f>IF('P4'!D19="","",'P4'!D19)</f>
        <v>+18</v>
      </c>
      <c r="E19" s="145">
        <f>IF('P4'!E19="","",'P4'!E19)</f>
        <v>33506</v>
      </c>
      <c r="F19" s="146" t="str">
        <f>IF('P4'!G19="","",'P4'!G19)</f>
        <v>Julie Kristine Brotangen</v>
      </c>
      <c r="G19" s="146" t="str">
        <f>IF('P4'!G20="","",'P4'!G20)</f>
        <v>Gjøvik AK</v>
      </c>
      <c r="H19" s="147">
        <f>IF('P4'!N19="","",'P4'!N19)</f>
        <v>56</v>
      </c>
      <c r="I19" s="147">
        <f>IF('P4'!O19="","",'P4'!O19)</f>
        <v>81</v>
      </c>
      <c r="J19" s="144">
        <f>IF('P4'!S19="","",'P4'!S19)</f>
        <v>6.22</v>
      </c>
      <c r="K19" s="144">
        <f>IF('P4'!T19="","",'P4'!T19)</f>
        <v>11.35</v>
      </c>
      <c r="L19" s="144">
        <f>IF('P4'!U19="","",'P4'!U19)</f>
        <v>6.97</v>
      </c>
      <c r="M19" s="144">
        <f>IF('P4'!W20="","",'P4'!W20)</f>
        <v>577.4678218860206</v>
      </c>
    </row>
    <row r="20" spans="1:13" ht="14.1">
      <c r="A20" s="143">
        <v>16</v>
      </c>
      <c r="B20" s="144">
        <f>IF('P4'!A17="","",'P4'!A17)</f>
        <v>64.040000000000006</v>
      </c>
      <c r="C20" s="144" t="str">
        <f>IF('P4'!C17="","",'P4'!C17)</f>
        <v>SK</v>
      </c>
      <c r="D20" s="144" t="str">
        <f>IF('P4'!D17="","",'P4'!D17)</f>
        <v>+18</v>
      </c>
      <c r="E20" s="145">
        <f>IF('P4'!E17="","",'P4'!E17)</f>
        <v>33356</v>
      </c>
      <c r="F20" s="146" t="str">
        <f>IF('P4'!G17="","",'P4'!G17)</f>
        <v>Hanna Sletvold</v>
      </c>
      <c r="G20" s="146" t="str">
        <f>IF('P4'!G18="","",'P4'!G18)</f>
        <v>Nidelv IL</v>
      </c>
      <c r="H20" s="147">
        <f>IF('P4'!N17="","",'P4'!N17)</f>
        <v>63</v>
      </c>
      <c r="I20" s="147">
        <f>IF('P4'!O17="","",'P4'!O17)</f>
        <v>76</v>
      </c>
      <c r="J20" s="144">
        <f>IF('P4'!S17="","",'P4'!S17)</f>
        <v>6.83</v>
      </c>
      <c r="K20" s="144">
        <f>IF('P4'!T17="","",'P4'!T17)</f>
        <v>11.21</v>
      </c>
      <c r="L20" s="144">
        <f>IF('P4'!U17="","",'P4'!U17)</f>
        <v>7.44</v>
      </c>
      <c r="M20" s="144">
        <f>IF('P4'!W18="","",'P4'!W18)</f>
        <v>576.37609368687345</v>
      </c>
    </row>
    <row r="21" spans="1:13" ht="14.1">
      <c r="A21" s="143">
        <v>17</v>
      </c>
      <c r="B21" s="144">
        <f>IF('P5'!A11="","",'P5'!A11)</f>
        <v>62.72</v>
      </c>
      <c r="C21" s="144" t="str">
        <f>IF('P5'!C11="","",'P5'!C11)</f>
        <v>SK</v>
      </c>
      <c r="D21" s="144" t="str">
        <f>IF('P5'!D11="","",'P5'!D11)</f>
        <v>+18</v>
      </c>
      <c r="E21" s="145">
        <f>IF('P5'!E11="","",'P5'!E11)</f>
        <v>33103</v>
      </c>
      <c r="F21" s="146" t="str">
        <f>IF('P5'!G11="","",'P5'!G11)</f>
        <v>Mari Myhrer</v>
      </c>
      <c r="G21" s="146" t="str">
        <f>IF('P5'!G12="","",'P5'!G12)</f>
        <v>Gjøvik AK</v>
      </c>
      <c r="H21" s="147">
        <f>IF('P5'!N11="","",'P5'!N11)</f>
        <v>59</v>
      </c>
      <c r="I21" s="147">
        <f>IF('P5'!O11="","",'P5'!O11)</f>
        <v>76</v>
      </c>
      <c r="J21" s="144">
        <f>IF('P5'!S11="","",'P5'!S11)</f>
        <v>6.42</v>
      </c>
      <c r="K21" s="144">
        <f>IF('P5'!T11="","",'P5'!T11)</f>
        <v>10.82</v>
      </c>
      <c r="L21" s="144">
        <f>IF('P5'!U11="","",'P5'!U11)</f>
        <v>7.23</v>
      </c>
      <c r="M21" s="144">
        <f>IF('P5'!W12="","",'P5'!W12)</f>
        <v>568.31251116663918</v>
      </c>
    </row>
    <row r="22" spans="1:13" ht="14.1">
      <c r="A22" s="143">
        <v>18</v>
      </c>
      <c r="B22" s="144">
        <f>IF('P2'!A13="","",'P2'!A13)</f>
        <v>52.62</v>
      </c>
      <c r="C22" s="144" t="str">
        <f>IF('P2'!C13="","",'P2'!C13)</f>
        <v>UK</v>
      </c>
      <c r="D22" s="144" t="str">
        <f>IF('P2'!D13="","",'P2'!D13)</f>
        <v>13-14</v>
      </c>
      <c r="E22" s="145">
        <f>IF('P2'!E13="","",'P2'!E13)</f>
        <v>38256</v>
      </c>
      <c r="F22" s="146" t="str">
        <f>IF('P2'!G13="","",'P2'!G13)</f>
        <v>Åse Johanne Berge</v>
      </c>
      <c r="G22" s="146" t="str">
        <f>IF('P2'!G14="","",'P2'!G14)</f>
        <v>Hitra VK</v>
      </c>
      <c r="H22" s="147">
        <f>IF('P2'!N13="","",'P2'!N13)</f>
        <v>44</v>
      </c>
      <c r="I22" s="147">
        <f>IF('P2'!O13="","",'P2'!O13)</f>
        <v>58</v>
      </c>
      <c r="J22" s="144">
        <f>IF('P2'!S13="","",'P2'!S13)</f>
        <v>6.44</v>
      </c>
      <c r="K22" s="144">
        <f>IF('P2'!T13="","",'P2'!T13)</f>
        <v>11.56</v>
      </c>
      <c r="L22" s="144">
        <f>IF('P2'!U13="","",'P2'!U13)</f>
        <v>7.24</v>
      </c>
      <c r="M22" s="144">
        <f>IF('P2'!W14="","",'P2'!W14)</f>
        <v>544.8779765575332</v>
      </c>
    </row>
    <row r="23" spans="1:13" s="73" customFormat="1" ht="14.1">
      <c r="A23" s="143">
        <v>19</v>
      </c>
      <c r="B23" s="144">
        <f>IF('P3'!A13="","",'P3'!A13)</f>
        <v>60.39</v>
      </c>
      <c r="C23" s="144" t="str">
        <f>IF('P3'!C13="","",'P3'!C13)</f>
        <v>JK</v>
      </c>
      <c r="D23" s="144" t="str">
        <f>IF('P3'!D13="","",'P3'!D13)</f>
        <v>17-18</v>
      </c>
      <c r="E23" s="145">
        <f>IF('P3'!E13="","",'P3'!E13)</f>
        <v>36794</v>
      </c>
      <c r="F23" s="146" t="str">
        <f>IF('P3'!G13="","",'P3'!G13)</f>
        <v>Ida Vaka</v>
      </c>
      <c r="G23" s="146" t="str">
        <f>IF('P3'!G14="","",'P3'!G14)</f>
        <v>Tysvær VK</v>
      </c>
      <c r="H23" s="147">
        <f>IF('P3'!N13="","",'P3'!N13)</f>
        <v>50</v>
      </c>
      <c r="I23" s="147">
        <f>IF('P3'!O13="","",'P3'!O13)</f>
        <v>63</v>
      </c>
      <c r="J23" s="144">
        <f>IF('P3'!S13="","",'P3'!S13)</f>
        <v>6.8</v>
      </c>
      <c r="K23" s="144">
        <f>IF('P3'!T13="","",'P3'!T13)</f>
        <v>9.76</v>
      </c>
      <c r="L23" s="144">
        <f>IF('P3'!U13="","",'P3'!U13)</f>
        <v>7.14</v>
      </c>
      <c r="M23" s="144">
        <f>IF('P3'!W14="","",'P3'!W14)</f>
        <v>537.80933021804037</v>
      </c>
    </row>
    <row r="24" spans="1:13" s="73" customFormat="1" ht="14.1">
      <c r="A24" s="143">
        <v>20</v>
      </c>
      <c r="B24" s="144">
        <f>IF('P4'!A11="","",'P4'!A11)</f>
        <v>56.15</v>
      </c>
      <c r="C24" s="144" t="str">
        <f>IF('P4'!C11="","",'P4'!C11)</f>
        <v>SK</v>
      </c>
      <c r="D24" s="144" t="str">
        <f>IF('P4'!D11="","",'P4'!D11)</f>
        <v>+18</v>
      </c>
      <c r="E24" s="145">
        <f>IF('P4'!E11="","",'P4'!E11)</f>
        <v>32644</v>
      </c>
      <c r="F24" s="146" t="str">
        <f>IF('P4'!G11="","",'P4'!G11)</f>
        <v>Linda Kolobekken</v>
      </c>
      <c r="G24" s="146" t="str">
        <f>IF('P4'!G12="","",'P4'!G12)</f>
        <v>Gjøvik AK</v>
      </c>
      <c r="H24" s="147">
        <f>IF('P4'!N11="","",'P4'!N11)</f>
        <v>45</v>
      </c>
      <c r="I24" s="147">
        <f>IF('P4'!O11="","",'P4'!O11)</f>
        <v>59</v>
      </c>
      <c r="J24" s="144">
        <f>IF('P4'!S11="","",'P4'!S11)</f>
        <v>7.03</v>
      </c>
      <c r="K24" s="144">
        <f>IF('P4'!T11="","",'P4'!T11)</f>
        <v>8.08</v>
      </c>
      <c r="L24" s="144">
        <f>IF('P4'!U11="","",'P4'!U11)</f>
        <v>6.74</v>
      </c>
      <c r="M24" s="144">
        <f>IF('P4'!W12="","",'P4'!W12)</f>
        <v>533.66673303377081</v>
      </c>
    </row>
    <row r="25" spans="1:13" s="73" customFormat="1" ht="14.1">
      <c r="A25" s="143">
        <v>21</v>
      </c>
      <c r="B25" s="144">
        <f>IF('P2'!A11="","",'P2'!A11)</f>
        <v>50.38</v>
      </c>
      <c r="C25" s="144" t="str">
        <f>IF('P2'!C11="","",'P2'!C11)</f>
        <v>UK</v>
      </c>
      <c r="D25" s="144" t="str">
        <f>IF('P2'!D11="","",'P2'!D11)</f>
        <v>13-14</v>
      </c>
      <c r="E25" s="145">
        <f>IF('P2'!E11="","",'P2'!E11)</f>
        <v>38084</v>
      </c>
      <c r="F25" s="146" t="str">
        <f>IF('P2'!G11="","",'P2'!G11)</f>
        <v>Ronja Lenvik</v>
      </c>
      <c r="G25" s="146" t="str">
        <f>IF('P2'!G12="","",'P2'!G12)</f>
        <v>Hitra VK</v>
      </c>
      <c r="H25" s="147">
        <f>IF('P2'!N11="","",'P2'!N11)</f>
        <v>47</v>
      </c>
      <c r="I25" s="147">
        <f>IF('P2'!O11="","",'P2'!O11)</f>
        <v>52</v>
      </c>
      <c r="J25" s="144">
        <f>IF('P2'!S11="","",'P2'!S11)</f>
        <v>6.47</v>
      </c>
      <c r="K25" s="144">
        <f>IF('P2'!T11="","",'P2'!T11)</f>
        <v>10.119999999999999</v>
      </c>
      <c r="L25" s="144">
        <f>IF('P2'!U11="","",'P2'!U11)</f>
        <v>7.27</v>
      </c>
      <c r="M25" s="144">
        <f>IF('P2'!W12="","",'P2'!W12)</f>
        <v>530.09370391288144</v>
      </c>
    </row>
    <row r="26" spans="1:13" s="73" customFormat="1" ht="14.1">
      <c r="A26" s="143">
        <v>22</v>
      </c>
      <c r="B26" s="144">
        <f>IF('P4'!A21="","",'P4'!A21)</f>
        <v>84.71</v>
      </c>
      <c r="C26" s="144" t="str">
        <f>IF('P4'!C21="","",'P4'!C21)</f>
        <v>SK</v>
      </c>
      <c r="D26" s="144" t="str">
        <f>IF('P4'!D21="","",'P4'!D21)</f>
        <v>+18</v>
      </c>
      <c r="E26" s="145" t="str">
        <f>IF('P4'!E21="","",'P4'!E21)</f>
        <v>21.01.96</v>
      </c>
      <c r="F26" s="146" t="str">
        <f>IF('P4'!G21="","",'P4'!G21)</f>
        <v>Anette Vårvik</v>
      </c>
      <c r="G26" s="146" t="str">
        <f>IF('P4'!G22="","",'P4'!G22)</f>
        <v>Tysvær VK</v>
      </c>
      <c r="H26" s="147">
        <f>IF('P4'!N21="","",'P4'!N21)</f>
        <v>58</v>
      </c>
      <c r="I26" s="147">
        <f>IF('P4'!O21="","",'P4'!O21)</f>
        <v>72</v>
      </c>
      <c r="J26" s="144">
        <f>IF('P4'!S21="","",'P4'!S21)</f>
        <v>6.66</v>
      </c>
      <c r="K26" s="144">
        <f>IF('P4'!T21="","",'P4'!T21)</f>
        <v>11.93</v>
      </c>
      <c r="L26" s="144">
        <f>IF('P4'!U21="","",'P4'!U21)</f>
        <v>7.76</v>
      </c>
      <c r="M26" s="144">
        <f>IF('P4'!W22="","",'P4'!W22)</f>
        <v>528.435016474078</v>
      </c>
    </row>
    <row r="27" spans="1:13" s="73" customFormat="1" ht="14.1">
      <c r="A27" s="143">
        <v>23</v>
      </c>
      <c r="B27" s="144">
        <f>IF('P4'!A13="","",'P4'!A13)</f>
        <v>55.8</v>
      </c>
      <c r="C27" s="144" t="str">
        <f>IF('P4'!C13="","",'P4'!C13)</f>
        <v>SK</v>
      </c>
      <c r="D27" s="144" t="str">
        <f>IF('P4'!D13="","",'P4'!D13)</f>
        <v>+18</v>
      </c>
      <c r="E27" s="145">
        <f>IF('P4'!E13="","",'P4'!E13)</f>
        <v>34000</v>
      </c>
      <c r="F27" s="146" t="str">
        <f>IF('P4'!G13="","",'P4'!G13)</f>
        <v>Isabell Thorberg</v>
      </c>
      <c r="G27" s="146" t="str">
        <f>IF('P4'!G14="","",'P4'!G14)</f>
        <v>Tønsberg-Kam.</v>
      </c>
      <c r="H27" s="147">
        <f>IF('P4'!N13="","",'P4'!N13)</f>
        <v>45</v>
      </c>
      <c r="I27" s="147">
        <f>IF('P4'!O13="","",'P4'!O13)</f>
        <v>56</v>
      </c>
      <c r="J27" s="144">
        <f>IF('P4'!S13="","",'P4'!S13)</f>
        <v>6.55</v>
      </c>
      <c r="K27" s="144">
        <f>IF('P4'!T13="","",'P4'!T13)</f>
        <v>10.050000000000001</v>
      </c>
      <c r="L27" s="144">
        <f>IF('P4'!U13="","",'P4'!U13)</f>
        <v>7.71</v>
      </c>
      <c r="M27" s="144">
        <f>IF('P4'!W14="","",'P4'!W14)</f>
        <v>501.39124341258872</v>
      </c>
    </row>
    <row r="28" spans="1:13" s="73" customFormat="1" ht="14.1">
      <c r="A28" s="143">
        <v>24</v>
      </c>
      <c r="B28" s="144">
        <f>IF('P3'!A17="","",'P3'!A17)</f>
        <v>65.45</v>
      </c>
      <c r="C28" s="144" t="str">
        <f>IF('P3'!C17="","",'P3'!C17)</f>
        <v>UK</v>
      </c>
      <c r="D28" s="144" t="str">
        <f>IF('P3'!D17="","",'P3'!D17)</f>
        <v>17-18</v>
      </c>
      <c r="E28" s="145">
        <f>IF('P3'!E17="","",'P3'!E17)</f>
        <v>36909</v>
      </c>
      <c r="F28" s="146" t="str">
        <f>IF('P3'!G17="","",'P3'!G17)</f>
        <v>Hannah Økland</v>
      </c>
      <c r="G28" s="146" t="str">
        <f>IF('P3'!G18="","",'P3'!G18)</f>
        <v>Trondheim AK</v>
      </c>
      <c r="H28" s="147">
        <f>IF('P3'!N17="","",'P3'!N17)</f>
        <v>47</v>
      </c>
      <c r="I28" s="147">
        <f>IF('P3'!O17="","",'P3'!O17)</f>
        <v>60</v>
      </c>
      <c r="J28" s="144">
        <f>IF('P3'!S17="","",'P3'!S17)</f>
        <v>6.12</v>
      </c>
      <c r="K28" s="144">
        <f>IF('P3'!T17="","",'P3'!T17)</f>
        <v>11.75</v>
      </c>
      <c r="L28" s="144">
        <f>IF('P3'!U17="","",'P3'!U17)</f>
        <v>7.83</v>
      </c>
      <c r="M28" s="144">
        <f>IF('P3'!W18="","",'P3'!W18)</f>
        <v>500.16121047202057</v>
      </c>
    </row>
    <row r="29" spans="1:13" s="73" customFormat="1" ht="14.1">
      <c r="A29" s="143">
        <v>25</v>
      </c>
      <c r="B29" s="144">
        <f>IF('P3'!A15="","",'P3'!A15)</f>
        <v>65.099999999999994</v>
      </c>
      <c r="C29" s="144" t="str">
        <f>IF('P3'!C15="","",'P3'!C15)</f>
        <v>JK</v>
      </c>
      <c r="D29" s="144" t="str">
        <f>IF('P3'!D15="","",'P3'!D15)</f>
        <v>17-18</v>
      </c>
      <c r="E29" s="145">
        <f>IF('P3'!E15="","",'P3'!E15)</f>
        <v>36628</v>
      </c>
      <c r="F29" s="146" t="str">
        <f>IF('P3'!G15="","",'P3'!G15)</f>
        <v>Marthe Knutsen</v>
      </c>
      <c r="G29" s="146" t="str">
        <f>IF('P3'!G16="","",'P3'!G16)</f>
        <v>Tysvær VK</v>
      </c>
      <c r="H29" s="147">
        <f>IF('P3'!N15="","",'P3'!N15)</f>
        <v>48</v>
      </c>
      <c r="I29" s="147">
        <f>IF('P3'!O15="","",'P3'!O15)</f>
        <v>66</v>
      </c>
      <c r="J29" s="144">
        <f>IF('P3'!S15="","",'P3'!S15)</f>
        <v>6.15</v>
      </c>
      <c r="K29" s="144">
        <f>IF('P3'!T15="","",'P3'!T15)</f>
        <v>8.85</v>
      </c>
      <c r="L29" s="144">
        <f>IF('P3'!U15="","",'P3'!U15)</f>
        <v>7.54</v>
      </c>
      <c r="M29" s="144">
        <f>IF('P3'!W16="","",'P3'!W16)</f>
        <v>492.17202415309805</v>
      </c>
    </row>
    <row r="30" spans="1:13" ht="14.1">
      <c r="A30" s="143">
        <v>26</v>
      </c>
      <c r="B30" s="144">
        <f>IF('P4'!A15="","",'P4'!A15)</f>
        <v>61.4</v>
      </c>
      <c r="C30" s="144" t="str">
        <f>IF('P4'!C15="","",'P4'!C15)</f>
        <v>SK</v>
      </c>
      <c r="D30" s="144" t="str">
        <f>IF('P4'!D15="","",'P4'!D15)</f>
        <v>+18</v>
      </c>
      <c r="E30" s="145" t="str">
        <f>IF('P4'!E15="","",'P4'!E15)</f>
        <v>13.05.94</v>
      </c>
      <c r="F30" s="146" t="str">
        <f>IF('P4'!G15="","",'P4'!G15)</f>
        <v>Ingvild Solberg Hansen</v>
      </c>
      <c r="G30" s="146" t="str">
        <f>IF('P4'!G16="","",'P4'!G16)</f>
        <v>T &amp; IL National</v>
      </c>
      <c r="H30" s="147">
        <f>IF('P4'!N15="","",'P4'!N15)</f>
        <v>45</v>
      </c>
      <c r="I30" s="147">
        <f>IF('P4'!O15="","",'P4'!O15)</f>
        <v>53</v>
      </c>
      <c r="J30" s="144">
        <f>IF('P4'!S15="","",'P4'!S15)</f>
        <v>6.6</v>
      </c>
      <c r="K30" s="144">
        <f>IF('P4'!T15="","",'P4'!T15)</f>
        <v>7</v>
      </c>
      <c r="L30" s="144">
        <f>IF('P4'!U15="","",'P4'!U15)</f>
        <v>7.25</v>
      </c>
      <c r="M30" s="144">
        <f>IF('P4'!W16="","",'P4'!W16)</f>
        <v>473.58585076206589</v>
      </c>
    </row>
    <row r="31" spans="1:13" ht="14.1">
      <c r="A31" s="143">
        <v>27</v>
      </c>
      <c r="B31" s="144">
        <f>IF('P3'!A19="","",'P3'!A19)</f>
        <v>71.37</v>
      </c>
      <c r="C31" s="144" t="str">
        <f>IF('P3'!C19="","",'P3'!C19)</f>
        <v>UK</v>
      </c>
      <c r="D31" s="144" t="str">
        <f>IF('P3'!D19="","",'P3'!D19)</f>
        <v>17-18</v>
      </c>
      <c r="E31" s="145">
        <f>IF('P3'!E19="","",'P3'!E19)</f>
        <v>37227</v>
      </c>
      <c r="F31" s="146" t="str">
        <f>IF('P3'!G19="","",'P3'!G19)</f>
        <v>Amalie Straume</v>
      </c>
      <c r="G31" s="146" t="str">
        <f>IF('P3'!G20="","",'P3'!G20)</f>
        <v>Trondheim AK</v>
      </c>
      <c r="H31" s="147">
        <f>IF('P3'!N19="","",'P3'!N19)</f>
        <v>47</v>
      </c>
      <c r="I31" s="147">
        <f>IF('P3'!O19="","",'P3'!O19)</f>
        <v>56</v>
      </c>
      <c r="J31" s="144">
        <f>IF('P3'!S19="","",'P3'!S19)</f>
        <v>6.19</v>
      </c>
      <c r="K31" s="144">
        <f>IF('P3'!T19="","",'P3'!T19)</f>
        <v>10.49</v>
      </c>
      <c r="L31" s="144">
        <f>IF('P3'!U19="","",'P3'!U19)</f>
        <v>8.09</v>
      </c>
      <c r="M31" s="144">
        <f>IF('P3'!W20="","",'P3'!W20)</f>
        <v>466.1687756981205</v>
      </c>
    </row>
    <row r="32" spans="1:13" ht="14.1">
      <c r="A32" s="143">
        <v>28</v>
      </c>
      <c r="B32" s="144">
        <f>IF('P2'!A17="","",'P2'!A17)</f>
        <v>86.31</v>
      </c>
      <c r="C32" s="144" t="str">
        <f>IF('P2'!C17="","",'P2'!C17)</f>
        <v>UK</v>
      </c>
      <c r="D32" s="144" t="str">
        <f>IF('P2'!D17="","",'P2'!D17)</f>
        <v>13-14</v>
      </c>
      <c r="E32" s="145">
        <f>IF('P2'!E17="","",'P2'!E17)</f>
        <v>38134</v>
      </c>
      <c r="F32" s="146" t="str">
        <f>IF('P2'!G17="","",'P2'!G17)</f>
        <v>Carmen Grimseth</v>
      </c>
      <c r="G32" s="146" t="str">
        <f>IF('P2'!G18="","",'P2'!G18)</f>
        <v>Tambarskjelvar IL</v>
      </c>
      <c r="H32" s="147">
        <f>IF('P2'!N17="","",'P2'!N17)</f>
        <v>48</v>
      </c>
      <c r="I32" s="147">
        <f>IF('P2'!O17="","",'P2'!O17)</f>
        <v>62</v>
      </c>
      <c r="J32" s="144">
        <f>IF('P2'!S17="","",'P2'!S17)</f>
        <v>5.18</v>
      </c>
      <c r="K32" s="144">
        <f>IF('P2'!T17="","",'P2'!T17)</f>
        <v>10.28</v>
      </c>
      <c r="L32" s="144">
        <f>IF('P2'!U17="","",'P2'!U17)</f>
        <v>8.6999999999999993</v>
      </c>
      <c r="M32" s="144">
        <f>IF('P2'!W18="","",'P2'!W18)</f>
        <v>416.4999100540366</v>
      </c>
    </row>
    <row r="33" spans="1:13" ht="14.1">
      <c r="A33" s="143">
        <v>29</v>
      </c>
      <c r="B33" s="144">
        <f>IF('P2'!A27="","",'P2'!A27)</f>
        <v>86.73</v>
      </c>
      <c r="C33" s="144" t="str">
        <f>IF('P2'!C27="","",'P2'!C27)</f>
        <v>UK</v>
      </c>
      <c r="D33" s="144" t="str">
        <f>IF('P2'!D27="","",'P2'!D27)</f>
        <v>15-16</v>
      </c>
      <c r="E33" s="145">
        <f>IF('P2'!E27="","",'P2'!E27)</f>
        <v>37272</v>
      </c>
      <c r="F33" s="146" t="str">
        <f>IF('P2'!G27="","",'P2'!G27)</f>
        <v>Erika Jellestad</v>
      </c>
      <c r="G33" s="146" t="str">
        <f>IF('P2'!G28="","",'P2'!G28)</f>
        <v>Vigrestad IK</v>
      </c>
      <c r="H33" s="147">
        <f>IF('P2'!N27="","",'P2'!N27)</f>
        <v>42</v>
      </c>
      <c r="I33" s="147">
        <f>IF('P2'!O27="","",'P2'!O27)</f>
        <v>50</v>
      </c>
      <c r="J33" s="144">
        <f>IF('P2'!S27="","",'P2'!S27)</f>
        <v>5.41</v>
      </c>
      <c r="K33" s="144">
        <f>IF('P2'!T27="","",'P2'!T27)</f>
        <v>9.85</v>
      </c>
      <c r="L33" s="144">
        <f>IF('P2'!U27="","",'P2'!U27)</f>
        <v>8.6</v>
      </c>
      <c r="M33" s="144">
        <f>IF('P2'!W28="","",'P2'!W28)</f>
        <v>395.94684553433683</v>
      </c>
    </row>
    <row r="34" spans="1:13" ht="14.1">
      <c r="A34" s="143">
        <v>30</v>
      </c>
      <c r="B34" s="144">
        <f>IF('P2'!A23="","",'P2'!A23)</f>
        <v>60.07</v>
      </c>
      <c r="C34" s="144" t="str">
        <f>IF('P2'!C23="","",'P2'!C23)</f>
        <v>UK</v>
      </c>
      <c r="D34" s="144" t="str">
        <f>IF('P2'!D23="","",'P2'!D23)</f>
        <v>15-16</v>
      </c>
      <c r="E34" s="145">
        <f>IF('P2'!E23="","",'P2'!E23)</f>
        <v>37547</v>
      </c>
      <c r="F34" s="146" t="str">
        <f>IF('P2'!G23="","",'P2'!G23)</f>
        <v>Iselin Mehl Brekkhus</v>
      </c>
      <c r="G34" s="146" t="str">
        <f>IF('P2'!G24="","",'P2'!G24)</f>
        <v>Vigrestad IK</v>
      </c>
      <c r="H34" s="147">
        <f>IF('P2'!N23="","",'P2'!N23)</f>
        <v>32</v>
      </c>
      <c r="I34" s="147">
        <f>IF('P2'!O23="","",'P2'!O23)</f>
        <v>42</v>
      </c>
      <c r="J34" s="144">
        <f>IF('P2'!S23="","",'P2'!S23)</f>
        <v>5.54</v>
      </c>
      <c r="K34" s="144">
        <f>IF('P2'!T23="","",'P2'!T23)</f>
        <v>8.83</v>
      </c>
      <c r="L34" s="144">
        <f>IF('P2'!U23="","",'P2'!U23)</f>
        <v>8.27</v>
      </c>
      <c r="M34" s="144">
        <f>IF('P2'!W24="","",'P2'!W24)</f>
        <v>395.81536635285897</v>
      </c>
    </row>
    <row r="35" spans="1:13" ht="14.1">
      <c r="A35" s="143">
        <v>31</v>
      </c>
      <c r="B35" s="144">
        <f>IF('P2'!A15="","",'P2'!A15)</f>
        <v>53.8</v>
      </c>
      <c r="C35" s="144" t="str">
        <f>IF('P2'!C15="","",'P2'!C15)</f>
        <v>UK</v>
      </c>
      <c r="D35" s="144" t="str">
        <f>IF('P2'!D15="","",'P2'!D15)</f>
        <v>13-14</v>
      </c>
      <c r="E35" s="145">
        <f>IF('P2'!E15="","",'P2'!E15)</f>
        <v>38645</v>
      </c>
      <c r="F35" s="146" t="str">
        <f>IF('P2'!G15="","",'P2'!G15)</f>
        <v>Thea Andersen Larsen</v>
      </c>
      <c r="G35" s="146" t="str">
        <f>IF('P2'!G16="","",'P2'!G16)</f>
        <v>Larvik AK</v>
      </c>
      <c r="H35" s="147">
        <f>IF('P2'!N15="","",'P2'!N15)</f>
        <v>33</v>
      </c>
      <c r="I35" s="147">
        <f>IF('P2'!O15="","",'P2'!O15)</f>
        <v>41</v>
      </c>
      <c r="J35" s="144">
        <f>IF('P2'!S15="","",'P2'!S15)</f>
        <v>5.33</v>
      </c>
      <c r="K35" s="144">
        <f>IF('P2'!T15="","",'P2'!T15)</f>
        <v>6.54</v>
      </c>
      <c r="L35" s="144">
        <f>IF('P2'!U15="","",'P2'!U15)</f>
        <v>8.43</v>
      </c>
      <c r="M35" s="144">
        <f>IF('P2'!W16="","",'P2'!W16)</f>
        <v>367.7101035495491</v>
      </c>
    </row>
    <row r="36" spans="1:13" ht="14.1">
      <c r="A36" s="143">
        <v>32</v>
      </c>
      <c r="B36" s="144">
        <f>IF('P2'!A19="","",'P2'!A19)</f>
        <v>51.66</v>
      </c>
      <c r="C36" s="144" t="str">
        <f>IF('P2'!C19="","",'P2'!C19)</f>
        <v>UK</v>
      </c>
      <c r="D36" s="144" t="str">
        <f>IF('P2'!D19="","",'P2'!D19)</f>
        <v>15.16</v>
      </c>
      <c r="E36" s="145">
        <f>IF('P2'!E19="","",'P2'!E19)</f>
        <v>37977</v>
      </c>
      <c r="F36" s="146" t="str">
        <f>IF('P2'!G19="","",'P2'!G19)</f>
        <v>Louisa Hjelmås</v>
      </c>
      <c r="G36" s="146" t="str">
        <f>IF('P2'!G20="","",'P2'!G20)</f>
        <v>Gjøvik AK</v>
      </c>
      <c r="H36" s="147">
        <f>IF('P2'!N19="","",'P2'!N19)</f>
        <v>22</v>
      </c>
      <c r="I36" s="147">
        <f>IF('P2'!O19="","",'P2'!O19)</f>
        <v>24</v>
      </c>
      <c r="J36" s="144">
        <f>IF('P2'!S19="","",'P2'!S19)</f>
        <v>5.79</v>
      </c>
      <c r="K36" s="144">
        <f>IF('P2'!T19="","",'P2'!T19)</f>
        <v>5.15</v>
      </c>
      <c r="L36" s="144">
        <f>IF('P2'!U19="","",'P2'!U19)</f>
        <v>8.34</v>
      </c>
      <c r="M36" s="144">
        <f>IF('P2'!W20="","",'P2'!W20)</f>
        <v>319.15296309160937</v>
      </c>
    </row>
    <row r="37" spans="1:13" ht="14.1">
      <c r="A37" s="143">
        <v>33</v>
      </c>
      <c r="B37" s="144">
        <f>IF('P2'!A9="","",'P2'!A9)</f>
        <v>47.7</v>
      </c>
      <c r="C37" s="144" t="str">
        <f>IF('P2'!C9="","",'P2'!C9)</f>
        <v>UK</v>
      </c>
      <c r="D37" s="144" t="str">
        <f>IF('P2'!D9="","",'P2'!D9)</f>
        <v>13-14</v>
      </c>
      <c r="E37" s="145">
        <f>IF('P2'!E9="","",'P2'!E9)</f>
        <v>38239</v>
      </c>
      <c r="F37" s="146" t="str">
        <f>IF('P2'!G9="","",'P2'!G9)</f>
        <v>Iben Karete Karlsen</v>
      </c>
      <c r="G37" s="146" t="str">
        <f>IF('P2'!G10="","",'P2'!G10)</f>
        <v>Gjøvik AK</v>
      </c>
      <c r="H37" s="147">
        <f>IF('P2'!N9="","",'P2'!N9)</f>
        <v>18</v>
      </c>
      <c r="I37" s="147">
        <f>IF('P2'!O9="","",'P2'!O9)</f>
        <v>24</v>
      </c>
      <c r="J37" s="144">
        <f>IF('P2'!S9="","",'P2'!S9)</f>
        <v>3.89</v>
      </c>
      <c r="K37" s="144">
        <f>IF('P2'!T9="","",'P2'!T9)</f>
        <v>5.9</v>
      </c>
      <c r="L37" s="144">
        <f>IF('P2'!U9="","",'P2'!U9)</f>
        <v>10.15</v>
      </c>
      <c r="M37" s="144">
        <f>IF('P2'!W10="","",'P2'!W10)</f>
        <v>222.9870631012964</v>
      </c>
    </row>
    <row r="38" spans="1:13" ht="14.1">
      <c r="A38" s="143"/>
      <c r="B38" s="144">
        <f>IF('P5'!A13="","",'P5'!A13)</f>
        <v>58.79</v>
      </c>
      <c r="C38" s="144" t="str">
        <f>IF('P5'!C13="","",'P5'!C13)</f>
        <v>SK</v>
      </c>
      <c r="D38" s="144" t="str">
        <f>IF('P5'!D13="","",'P5'!D13)</f>
        <v>+18</v>
      </c>
      <c r="E38" s="145">
        <f>IF('P5'!E13="","",'P5'!E13)</f>
        <v>35232</v>
      </c>
      <c r="F38" s="146" t="str">
        <f>IF('P5'!G13="","",'P5'!G13)</f>
        <v>Kamilla Storstein Grønnestad</v>
      </c>
      <c r="G38" s="146" t="str">
        <f>IF('P5'!G14="","",'P5'!G14)</f>
        <v>Tysvær VK</v>
      </c>
      <c r="H38" s="147" t="str">
        <f>IF('P5'!N13="","",'P5'!N13)</f>
        <v/>
      </c>
      <c r="I38" s="147" t="str">
        <f>IF('P5'!O13="","",'P5'!O13)</f>
        <v/>
      </c>
      <c r="J38" s="144" t="str">
        <f>IF('P5'!S13="","",'P5'!S13)</f>
        <v/>
      </c>
      <c r="K38" s="144" t="str">
        <f>IF('P5'!T13="","",'P5'!T13)</f>
        <v/>
      </c>
      <c r="L38" s="144" t="str">
        <f>IF('P5'!U13="","",'P5'!U13)</f>
        <v/>
      </c>
      <c r="M38" s="144" t="str">
        <f>IF('P5'!W14="","",'P5'!W14)</f>
        <v/>
      </c>
    </row>
    <row r="39" spans="1:13" ht="14.1">
      <c r="A39" s="143"/>
      <c r="B39" s="144">
        <f>IF('P2'!A25="","",'P2'!A25)</f>
        <v>70.959999999999994</v>
      </c>
      <c r="C39" s="144" t="str">
        <f>IF('P2'!C25="","",'P2'!C25)</f>
        <v>UK</v>
      </c>
      <c r="D39" s="144" t="str">
        <f>IF('P2'!D25="","",'P2'!D25)</f>
        <v>15-16</v>
      </c>
      <c r="E39" s="145">
        <f>IF('P2'!E25="","",'P2'!E25)</f>
        <v>37889</v>
      </c>
      <c r="F39" s="146" t="str">
        <f>IF('P2'!G25="","",'P2'!G25)</f>
        <v>Camilla Strand</v>
      </c>
      <c r="G39" s="146" t="str">
        <f>IF('P2'!G26="","",'P2'!G26)</f>
        <v>Larvik AK</v>
      </c>
      <c r="H39" s="147">
        <f>IF('P2'!N25="","",'P2'!N25)</f>
        <v>36</v>
      </c>
      <c r="I39" s="147" t="str">
        <f>IF('P2'!O25="","",'P2'!O25)</f>
        <v/>
      </c>
      <c r="J39" s="144">
        <f>IF('P2'!S25="","",'P2'!S25)</f>
        <v>5.74</v>
      </c>
      <c r="K39" s="144">
        <f>IF('P2'!T25="","",'P2'!T25)</f>
        <v>6.96</v>
      </c>
      <c r="L39" s="144">
        <f>IF('P2'!U25="","",'P2'!U25)</f>
        <v>8.6300000000000008</v>
      </c>
      <c r="M39" s="144" t="str">
        <f>IF('P2'!W26="","",'P2'!W26)</f>
        <v/>
      </c>
    </row>
    <row r="40" spans="1:13" ht="14.1">
      <c r="A40" s="143"/>
      <c r="B40" s="144">
        <f>IF('P6'!A13="","",'P6'!A13)</f>
        <v>62.64</v>
      </c>
      <c r="C40" s="144" t="str">
        <f>IF('P6'!C13="","",'P6'!C13)</f>
        <v>SK</v>
      </c>
      <c r="D40" s="144" t="str">
        <f>IF('P6'!D13="","",'P6'!D13)</f>
        <v>+18</v>
      </c>
      <c r="E40" s="145">
        <f>IF('P6'!E13="","",'P6'!E13)</f>
        <v>32986</v>
      </c>
      <c r="F40" s="146" t="str">
        <f>IF('P6'!G13="","",'P6'!G13)</f>
        <v>Zekiye C. Nyland</v>
      </c>
      <c r="G40" s="146" t="str">
        <f>IF('P6'!G14="","",'P6'!G14)</f>
        <v>Tysvær VK</v>
      </c>
      <c r="H40" s="147">
        <f>IF('P6'!N13="","",'P6'!N13)</f>
        <v>85</v>
      </c>
      <c r="I40" s="147" t="str">
        <f>IF('P6'!O13="","",'P6'!O13)</f>
        <v/>
      </c>
      <c r="J40" s="144" t="str">
        <f>IF('P6'!S13="","",'P6'!S13)</f>
        <v/>
      </c>
      <c r="K40" s="144" t="str">
        <f>IF('P6'!T13="","",'P6'!T13)</f>
        <v/>
      </c>
      <c r="L40" s="144" t="str">
        <f>IF('P6'!U13="","",'P6'!U13)</f>
        <v/>
      </c>
      <c r="M40" s="144" t="str">
        <f>IF('P6'!W14="","",'P6'!W14)</f>
        <v/>
      </c>
    </row>
    <row r="41" spans="1:13" ht="14.1">
      <c r="A41" s="143"/>
      <c r="B41" s="144">
        <f>IF('P6'!A11="","",'P6'!A11)</f>
        <v>57.6</v>
      </c>
      <c r="C41" s="144" t="str">
        <f>IF('P6'!C11="","",'P6'!C11)</f>
        <v>SK</v>
      </c>
      <c r="D41" s="144" t="str">
        <f>IF('P6'!D11="","",'P6'!D11)</f>
        <v>+18</v>
      </c>
      <c r="E41" s="145">
        <f>IF('P6'!E11="","",'P6'!E11)</f>
        <v>33830</v>
      </c>
      <c r="F41" s="146" t="str">
        <f>IF('P6'!G11="","",'P6'!G11)</f>
        <v>Sol Anette Waaler</v>
      </c>
      <c r="G41" s="146" t="str">
        <f>IF('P6'!G12="","",'P6'!G12)</f>
        <v>Trondheim AK</v>
      </c>
      <c r="H41" s="147">
        <f>IF('P6'!N11="","",'P6'!N11)</f>
        <v>83</v>
      </c>
      <c r="I41" s="147">
        <f>IF('P6'!O11="","",'P6'!O11)</f>
        <v>100</v>
      </c>
      <c r="J41" s="144" t="str">
        <f>IF('P6'!S11="","",'P6'!S11)</f>
        <v/>
      </c>
      <c r="K41" s="144" t="str">
        <f>IF('P6'!T11="","",'P6'!T11)</f>
        <v/>
      </c>
      <c r="L41" s="144" t="str">
        <f>IF('P6'!U11="","",'P6'!U11)</f>
        <v/>
      </c>
      <c r="M41" s="144" t="str">
        <f>IF('P6'!W12="","",'P6'!W12)</f>
        <v/>
      </c>
    </row>
    <row r="42" spans="1:13" ht="14.1">
      <c r="A42" s="143"/>
      <c r="B42" s="144">
        <f>IF('P6'!A21="","",'P6'!A21)</f>
        <v>70.89</v>
      </c>
      <c r="C42" s="144" t="str">
        <f>IF('P6'!C21="","",'P6'!C21)</f>
        <v>JK</v>
      </c>
      <c r="D42" s="144" t="str">
        <f>IF('P6'!D21="","",'P6'!D21)</f>
        <v>+18</v>
      </c>
      <c r="E42" s="145">
        <f>IF('P6'!E21="","",'P6'!E21)</f>
        <v>36232</v>
      </c>
      <c r="F42" s="146" t="str">
        <f>IF('P6'!G21="","",'P6'!G21)</f>
        <v>Maren Fikse</v>
      </c>
      <c r="G42" s="146" t="str">
        <f>IF('P6'!G22="","",'P6'!G22)</f>
        <v>Gjøvik AK</v>
      </c>
      <c r="H42" s="147">
        <f>IF('P6'!N21="","",'P6'!N21)</f>
        <v>77</v>
      </c>
      <c r="I42" s="147">
        <f>IF('P6'!O21="","",'P6'!O21)</f>
        <v>90</v>
      </c>
      <c r="J42" s="144" t="str">
        <f>IF('P6'!S21="","",'P6'!S21)</f>
        <v/>
      </c>
      <c r="K42" s="144" t="str">
        <f>IF('P6'!T21="","",'P6'!T21)</f>
        <v/>
      </c>
      <c r="L42" s="144" t="str">
        <f>IF('P6'!U21="","",'P6'!U21)</f>
        <v/>
      </c>
      <c r="M42" s="144" t="str">
        <f>IF('P6'!W22="","",'P6'!W22)</f>
        <v/>
      </c>
    </row>
    <row r="43" spans="1:13" ht="14.1">
      <c r="A43" s="143"/>
      <c r="B43" s="144" t="str">
        <f>IF('P2'!A31="","",'P2'!A31)</f>
        <v/>
      </c>
      <c r="C43" s="144" t="str">
        <f>IF('P2'!C31="","",'P2'!C31)</f>
        <v/>
      </c>
      <c r="D43" s="144" t="str">
        <f>IF('P2'!D31="","",'P2'!D31)</f>
        <v/>
      </c>
      <c r="E43" s="145" t="str">
        <f>IF('P2'!E31="","",'P2'!E31)</f>
        <v/>
      </c>
      <c r="F43" s="146" t="str">
        <f>IF('P2'!G31="","",'P2'!G31)</f>
        <v/>
      </c>
      <c r="G43" s="146" t="str">
        <f>IF('P2'!G32="","",'P2'!G32)</f>
        <v/>
      </c>
      <c r="H43" s="147" t="str">
        <f>IF('P2'!N31="","",'P2'!N31)</f>
        <v/>
      </c>
      <c r="I43" s="147" t="str">
        <f>IF('P2'!O31="","",'P2'!O31)</f>
        <v/>
      </c>
      <c r="J43" s="144" t="str">
        <f>IF('P2'!S31="","",'P2'!S31)</f>
        <v/>
      </c>
      <c r="K43" s="144" t="str">
        <f>IF('P2'!T31="","",'P2'!T31)</f>
        <v/>
      </c>
      <c r="L43" s="144" t="str">
        <f>IF('P2'!U31="","",'P2'!U31)</f>
        <v/>
      </c>
      <c r="M43" s="144" t="str">
        <f>IF('P2'!W32="","",'P2'!W32)</f>
        <v/>
      </c>
    </row>
    <row r="44" spans="1:13" ht="20.45" thickBot="1">
      <c r="A44" s="380" t="s">
        <v>272</v>
      </c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2"/>
    </row>
    <row r="45" spans="1:13" s="73" customFormat="1" ht="12.6">
      <c r="A45" s="141" t="s">
        <v>265</v>
      </c>
      <c r="B45" s="148" t="s">
        <v>266</v>
      </c>
      <c r="C45" s="148" t="s">
        <v>267</v>
      </c>
      <c r="D45" s="141" t="s">
        <v>268</v>
      </c>
      <c r="E45" s="141" t="s">
        <v>269</v>
      </c>
      <c r="F45" s="142" t="s">
        <v>15</v>
      </c>
      <c r="G45" s="142" t="s">
        <v>85</v>
      </c>
      <c r="H45" s="141" t="s">
        <v>17</v>
      </c>
      <c r="I45" s="141" t="s">
        <v>18</v>
      </c>
      <c r="J45" s="141" t="s">
        <v>270</v>
      </c>
      <c r="K45" s="141" t="s">
        <v>271</v>
      </c>
      <c r="L45" s="141" t="s">
        <v>77</v>
      </c>
      <c r="M45" s="141" t="s">
        <v>21</v>
      </c>
    </row>
    <row r="46" spans="1:13" ht="14.1">
      <c r="A46" s="143">
        <v>1</v>
      </c>
      <c r="B46" s="144">
        <f>IF('P11'!A19="","",'P11'!A19)</f>
        <v>118.81</v>
      </c>
      <c r="C46" s="144" t="str">
        <f>IF('P11'!C19="","",'P11'!C19)</f>
        <v>SM</v>
      </c>
      <c r="D46" s="144" t="str">
        <f>IF('P11'!D19="","",'P11'!D19)</f>
        <v>+18</v>
      </c>
      <c r="E46" s="145">
        <f>IF('P11'!E19="","",'P11'!E19)</f>
        <v>32866</v>
      </c>
      <c r="F46" s="146" t="str">
        <f>IF('P11'!G19="","",'P11'!G19)</f>
        <v>Kim Eirik Tollefsen</v>
      </c>
      <c r="G46" s="146" t="str">
        <f>IF('P11'!G20="","",'P11'!G20)</f>
        <v>Tønsberg-Kam.</v>
      </c>
      <c r="H46" s="147">
        <f>IF('P11'!N19="","",'P11'!N19)</f>
        <v>160</v>
      </c>
      <c r="I46" s="147">
        <f>IF('P11'!O19="","",'P11'!O19)</f>
        <v>202</v>
      </c>
      <c r="J46" s="144">
        <f>IF('P11'!S19="","",'P11'!S19)</f>
        <v>9.01</v>
      </c>
      <c r="K46" s="144">
        <f>IF('P11'!T19="","",'P11'!T19)</f>
        <v>19.75</v>
      </c>
      <c r="L46" s="144">
        <f>IF('P11'!U19="","",'P11'!U19)</f>
        <v>6.97</v>
      </c>
      <c r="M46" s="144">
        <f>IF('P11'!W20="","",'P11'!W20)</f>
        <v>973.99027141641773</v>
      </c>
    </row>
    <row r="47" spans="1:13" ht="14.1">
      <c r="A47" s="143">
        <v>2</v>
      </c>
      <c r="B47" s="144">
        <f>IF('P10'!A15="","",'P10'!A15)</f>
        <v>87.16</v>
      </c>
      <c r="C47" s="144" t="str">
        <f>IF('P10'!C15="","",'P10'!C15)</f>
        <v>SM</v>
      </c>
      <c r="D47" s="144" t="str">
        <f>IF('P10'!D15="","",'P10'!D15)</f>
        <v>+18</v>
      </c>
      <c r="E47" s="145" t="str">
        <f>IF('P10'!E15="","",'P10'!E15)</f>
        <v>27.12.93</v>
      </c>
      <c r="F47" s="146" t="str">
        <f>IF('P10'!G15="","",'P10'!G15)</f>
        <v>Roy Sømme Ommedal</v>
      </c>
      <c r="G47" s="146" t="str">
        <f>IF('P10'!G16="","",'P10'!G16)</f>
        <v>Vigrestad IK</v>
      </c>
      <c r="H47" s="147">
        <f>IF('P10'!N15="","",'P10'!N15)</f>
        <v>109</v>
      </c>
      <c r="I47" s="147">
        <f>IF('P10'!O15="","",'P10'!O15)</f>
        <v>150</v>
      </c>
      <c r="J47" s="144">
        <f>IF('P10'!S15="","",'P10'!S15)</f>
        <v>8.67</v>
      </c>
      <c r="K47" s="144">
        <f>IF('P10'!T15="","",'P10'!T15)</f>
        <v>16.399999999999999</v>
      </c>
      <c r="L47" s="144">
        <f>IF('P10'!U15="","",'P10'!U15)</f>
        <v>6.42</v>
      </c>
      <c r="M47" s="144">
        <f>IF('P10'!W16="","",'P10'!W16)</f>
        <v>858.52327552762608</v>
      </c>
    </row>
    <row r="48" spans="1:13" ht="14.1">
      <c r="A48" s="143">
        <v>3</v>
      </c>
      <c r="B48" s="144">
        <f>IF('P10'!A17="","",'P10'!A17)</f>
        <v>75.77</v>
      </c>
      <c r="C48" s="144" t="str">
        <f>IF('P10'!C17="","",'P10'!C17)</f>
        <v>SM</v>
      </c>
      <c r="D48" s="144" t="str">
        <f>IF('P10'!D17="","",'P10'!D17)</f>
        <v>+18</v>
      </c>
      <c r="E48" s="145" t="str">
        <f>IF('P10'!E17="","",'P10'!E17)</f>
        <v>02.09.94</v>
      </c>
      <c r="F48" s="146" t="str">
        <f>IF('P10'!G17="","",'P10'!G17)</f>
        <v>Jantsen Øverås</v>
      </c>
      <c r="G48" s="146" t="str">
        <f>IF('P10'!G18="","",'P10'!G18)</f>
        <v>Tambarskjelvar IL</v>
      </c>
      <c r="H48" s="147">
        <f>IF('P10'!N17="","",'P10'!N17)</f>
        <v>115</v>
      </c>
      <c r="I48" s="147">
        <f>IF('P10'!O17="","",'P10'!O17)</f>
        <v>136</v>
      </c>
      <c r="J48" s="144">
        <f>IF('P10'!S17="","",'P10'!S17)</f>
        <v>8.7200000000000006</v>
      </c>
      <c r="K48" s="144">
        <f>IF('P10'!T17="","",'P10'!T17)</f>
        <v>15.6</v>
      </c>
      <c r="L48" s="144">
        <f>IF('P10'!U17="","",'P10'!U17)</f>
        <v>6.65</v>
      </c>
      <c r="M48" s="144">
        <f>IF('P10'!W18="","",'P10'!W18)</f>
        <v>857.24764030226333</v>
      </c>
    </row>
    <row r="49" spans="1:13" ht="14.1">
      <c r="A49" s="143">
        <v>4</v>
      </c>
      <c r="B49" s="144">
        <f>IF('P11'!A9="","",'P11'!A9)</f>
        <v>84.98</v>
      </c>
      <c r="C49" s="144" t="str">
        <f>IF('P11'!C9="","",'P11'!C9)</f>
        <v>SM</v>
      </c>
      <c r="D49" s="144" t="str">
        <f>IF('P11'!D9="","",'P11'!D9)</f>
        <v>+18</v>
      </c>
      <c r="E49" s="145" t="str">
        <f>IF('P11'!E9="","",'P11'!E9)</f>
        <v>19.07.95</v>
      </c>
      <c r="F49" s="146" t="str">
        <f>IF('P11'!G9="","",'P11'!G9)</f>
        <v>Mats Olsen</v>
      </c>
      <c r="G49" s="146" t="str">
        <f>IF('P11'!G10="","",'P11'!G10)</f>
        <v>Tønsberg-Kam.</v>
      </c>
      <c r="H49" s="147">
        <f>IF('P11'!N9="","",'P11'!N9)</f>
        <v>121</v>
      </c>
      <c r="I49" s="147">
        <f>IF('P11'!O9="","",'P11'!O9)</f>
        <v>155</v>
      </c>
      <c r="J49" s="144">
        <f>IF('P11'!S9="","",'P11'!S9)</f>
        <v>9.07</v>
      </c>
      <c r="K49" s="144">
        <f>IF('P11'!T9="","",'P11'!T9)</f>
        <v>12.54</v>
      </c>
      <c r="L49" s="144">
        <f>IF('P11'!U9="","",'P11'!U9)</f>
        <v>6.89</v>
      </c>
      <c r="M49" s="144">
        <f>IF('P11'!W10="","",'P11'!W10)</f>
        <v>836.6116947733758</v>
      </c>
    </row>
    <row r="50" spans="1:13" ht="14.1">
      <c r="A50" s="143">
        <v>5</v>
      </c>
      <c r="B50" s="144">
        <f>IF('P10'!A21="","",'P10'!A21)</f>
        <v>100.86</v>
      </c>
      <c r="C50" s="144" t="str">
        <f>IF('P10'!C21="","",'P10'!C21)</f>
        <v>SM</v>
      </c>
      <c r="D50" s="144" t="str">
        <f>IF('P10'!D21="","",'P10'!D21)</f>
        <v>+18</v>
      </c>
      <c r="E50" s="145">
        <f>IF('P10'!E21="","",'P10'!E21)</f>
        <v>33892</v>
      </c>
      <c r="F50" s="146" t="str">
        <f>IF('P10'!G21="","",'P10'!G21)</f>
        <v>Jørgen Kjellevand</v>
      </c>
      <c r="G50" s="146" t="str">
        <f>IF('P10'!G22="","",'P10'!G22)</f>
        <v>Spydeberg Atletene</v>
      </c>
      <c r="H50" s="147">
        <f>IF('P10'!N21="","",'P10'!N21)</f>
        <v>115</v>
      </c>
      <c r="I50" s="147">
        <f>IF('P10'!O21="","",'P10'!O21)</f>
        <v>140</v>
      </c>
      <c r="J50" s="144">
        <f>IF('P10'!S21="","",'P10'!S21)</f>
        <v>9.25</v>
      </c>
      <c r="K50" s="144">
        <f>IF('P10'!T21="","",'P10'!T21)</f>
        <v>14.65</v>
      </c>
      <c r="L50" s="144">
        <f>IF('P10'!U21="","",'P10'!U21)</f>
        <v>6.14</v>
      </c>
      <c r="M50" s="144">
        <f>IF('P10'!W22="","",'P10'!W22)</f>
        <v>836.40351179693573</v>
      </c>
    </row>
    <row r="51" spans="1:13" ht="14.1">
      <c r="A51" s="143">
        <v>6</v>
      </c>
      <c r="B51" s="144">
        <f>IF('P9'!A25="","",'P9'!A25)</f>
        <v>76.3</v>
      </c>
      <c r="C51" s="144" t="str">
        <f>IF('P9'!C25="","",'P9'!C25)</f>
        <v>SM</v>
      </c>
      <c r="D51" s="144" t="str">
        <f>IF('P9'!D25="","",'P9'!D25)</f>
        <v>+18</v>
      </c>
      <c r="E51" s="145">
        <f>IF('P9'!E25="","",'P9'!E25)</f>
        <v>33260</v>
      </c>
      <c r="F51" s="146" t="str">
        <f>IF('P9'!G25="","",'P9'!G25)</f>
        <v>Bjørn Emil Evensen</v>
      </c>
      <c r="G51" s="146" t="str">
        <f>IF('P9'!G26="","",'P9'!G26)</f>
        <v>Gjøvik AK</v>
      </c>
      <c r="H51" s="147">
        <f>IF('P9'!N25="","",'P9'!N25)</f>
        <v>95</v>
      </c>
      <c r="I51" s="147">
        <f>IF('P9'!O25="","",'P9'!O25)</f>
        <v>120</v>
      </c>
      <c r="J51" s="144">
        <f>IF('P9'!S25="","",'P9'!S25)</f>
        <v>9.41</v>
      </c>
      <c r="K51" s="144">
        <f>IF('P9'!T25="","",'P9'!T25)</f>
        <v>14.36</v>
      </c>
      <c r="L51" s="144">
        <f>IF('P9'!U25="","",'P9'!U25)</f>
        <v>6</v>
      </c>
      <c r="M51" s="144">
        <f>IF('P9'!W26="","",'P9'!W26)</f>
        <v>829.77877592776781</v>
      </c>
    </row>
    <row r="52" spans="1:13" ht="14.1">
      <c r="A52" s="143">
        <v>7</v>
      </c>
      <c r="B52" s="144">
        <f>IF('P8'!A15="","",'P8'!A15)</f>
        <v>65.39</v>
      </c>
      <c r="C52" s="144" t="str">
        <f>IF('P8'!C15="","",'P8'!C15)</f>
        <v>JM</v>
      </c>
      <c r="D52" s="144" t="str">
        <f>IF('P8'!D15="","",'P8'!D15)</f>
        <v>17-18</v>
      </c>
      <c r="E52" s="145">
        <f>IF('P8'!E15="","",'P8'!E15)</f>
        <v>36529</v>
      </c>
      <c r="F52" s="146" t="str">
        <f>IF('P8'!G15="","",'P8'!G15)</f>
        <v>Robert Andre Moldestad</v>
      </c>
      <c r="G52" s="146" t="str">
        <f>IF('P8'!G16="","",'P8'!G16)</f>
        <v>Breimsbygda IL</v>
      </c>
      <c r="H52" s="147">
        <f>IF('P8'!N15="","",'P8'!N15)</f>
        <v>88</v>
      </c>
      <c r="I52" s="147">
        <f>IF('P8'!O15="","",'P8'!O15)</f>
        <v>112</v>
      </c>
      <c r="J52" s="144">
        <f>IF('P8'!S15="","",'P8'!S15)</f>
        <v>8.76</v>
      </c>
      <c r="K52" s="144">
        <f>IF('P8'!T15="","",'P8'!T15)</f>
        <v>14.4</v>
      </c>
      <c r="L52" s="144">
        <f>IF('P8'!U15="","",'P8'!U15)</f>
        <v>5.89</v>
      </c>
      <c r="M52" s="144">
        <f>IF('P8'!W16="","",'P8'!W16)</f>
        <v>827.56027309085346</v>
      </c>
    </row>
    <row r="53" spans="1:13" ht="14.1">
      <c r="A53" s="143">
        <v>8</v>
      </c>
      <c r="B53" s="144">
        <f>IF('P10'!A13="","",'P10'!A13)</f>
        <v>104.46</v>
      </c>
      <c r="C53" s="144" t="str">
        <f>IF('P10'!C13="","",'P10'!C13)</f>
        <v>SM</v>
      </c>
      <c r="D53" s="144" t="str">
        <f>IF('P10'!D13="","",'P10'!D13)</f>
        <v>+18</v>
      </c>
      <c r="E53" s="145" t="str">
        <f>IF('P10'!E13="","",'P10'!E13)</f>
        <v>06.06.87</v>
      </c>
      <c r="F53" s="146" t="str">
        <f>IF('P10'!G13="","",'P10'!G13)</f>
        <v>John Anders Terland</v>
      </c>
      <c r="G53" s="146" t="str">
        <f>IF('P10'!G14="","",'P10'!G14)</f>
        <v>T &amp; IL National</v>
      </c>
      <c r="H53" s="147">
        <f>IF('P10'!N13="","",'P10'!N13)</f>
        <v>105</v>
      </c>
      <c r="I53" s="147">
        <f>IF('P10'!O13="","",'P10'!O13)</f>
        <v>130</v>
      </c>
      <c r="J53" s="144">
        <f>IF('P10'!S13="","",'P10'!S13)</f>
        <v>8.8699999999999992</v>
      </c>
      <c r="K53" s="144">
        <f>IF('P10'!T13="","",'P10'!T13)</f>
        <v>17.420000000000002</v>
      </c>
      <c r="L53" s="144">
        <f>IF('P10'!U13="","",'P10'!U13)</f>
        <v>6.54</v>
      </c>
      <c r="M53" s="144">
        <f>IF('P10'!W14="","",'P10'!W14)</f>
        <v>812.93709221629524</v>
      </c>
    </row>
    <row r="54" spans="1:13" ht="14.1">
      <c r="A54" s="143">
        <v>9</v>
      </c>
      <c r="B54" s="144">
        <f>IF('P9'!A27="","",'P9'!A27)</f>
        <v>88.42</v>
      </c>
      <c r="C54" s="144" t="str">
        <f>IF('P9'!C27="","",'P9'!C27)</f>
        <v>JM</v>
      </c>
      <c r="D54" s="144" t="str">
        <f>IF('P9'!D27="","",'P9'!D27)</f>
        <v>+18</v>
      </c>
      <c r="E54" s="145" t="str">
        <f>IF('P9'!E27="","",'P9'!E27)</f>
        <v>12.09.99</v>
      </c>
      <c r="F54" s="146" t="str">
        <f>IF('P9'!G27="","",'P9'!G27)</f>
        <v>Vetle Andersen</v>
      </c>
      <c r="G54" s="146" t="str">
        <f>IF('P9'!G28="","",'P9'!G28)</f>
        <v>Larvik AK</v>
      </c>
      <c r="H54" s="147">
        <f>IF('P9'!N27="","",'P9'!N27)</f>
        <v>90</v>
      </c>
      <c r="I54" s="147">
        <f>IF('P9'!O27="","",'P9'!O27)</f>
        <v>114</v>
      </c>
      <c r="J54" s="144">
        <f>IF('P9'!S27="","",'P9'!S27)</f>
        <v>9.2200000000000006</v>
      </c>
      <c r="K54" s="144">
        <f>IF('P9'!T27="","",'P9'!T27)</f>
        <v>17.12</v>
      </c>
      <c r="L54" s="144">
        <f>IF('P9'!U27="","",'P9'!U27)</f>
        <v>6.15</v>
      </c>
      <c r="M54" s="144">
        <f>IF('P9'!W28="","",'P9'!W28)</f>
        <v>810.13286041243725</v>
      </c>
    </row>
    <row r="55" spans="1:13" ht="14.1">
      <c r="A55" s="143">
        <v>10</v>
      </c>
      <c r="B55" s="144">
        <f>IF('P9'!A17="","",'P9'!A17)</f>
        <v>80.56</v>
      </c>
      <c r="C55" s="144" t="str">
        <f>IF('P9'!C17="","",'P9'!C17)</f>
        <v>SM</v>
      </c>
      <c r="D55" s="144" t="str">
        <f>IF('P9'!D17="","",'P9'!D17)</f>
        <v>+18</v>
      </c>
      <c r="E55" s="145">
        <f>IF('P9'!E17="","",'P9'!E17)</f>
        <v>35261</v>
      </c>
      <c r="F55" s="146" t="str">
        <f>IF('P9'!G17="","",'P9'!G17)</f>
        <v>Bjarne Bergheim</v>
      </c>
      <c r="G55" s="146" t="str">
        <f>IF('P9'!G18="","",'P9'!G18)</f>
        <v>Breimsbygda IL</v>
      </c>
      <c r="H55" s="147">
        <f>IF('P9'!N17="","",'P9'!N17)</f>
        <v>83</v>
      </c>
      <c r="I55" s="147">
        <f>IF('P9'!O17="","",'P9'!O17)</f>
        <v>111</v>
      </c>
      <c r="J55" s="144">
        <f>IF('P9'!S17="","",'P9'!S17)</f>
        <v>9.08</v>
      </c>
      <c r="K55" s="144">
        <f>IF('P9'!T17="","",'P9'!T17)</f>
        <v>16.41</v>
      </c>
      <c r="L55" s="144">
        <f>IF('P9'!U17="","",'P9'!U17)</f>
        <v>6.3</v>
      </c>
      <c r="M55" s="144">
        <f>IF('P9'!W18="","",'P9'!W18)</f>
        <v>793.88779710515507</v>
      </c>
    </row>
    <row r="56" spans="1:13" ht="14.1">
      <c r="A56" s="143">
        <v>11</v>
      </c>
      <c r="B56" s="144">
        <f>IF('P9'!A9="","",'P9'!A9)</f>
        <v>69.099999999999994</v>
      </c>
      <c r="C56" s="144" t="str">
        <f>IF('P9'!C9="","",'P9'!C9)</f>
        <v>SM</v>
      </c>
      <c r="D56" s="144" t="str">
        <f>IF('P9'!D9="","",'P9'!D9)</f>
        <v>+18</v>
      </c>
      <c r="E56" s="145" t="str">
        <f>IF('P9'!E9="","",'P9'!E9)</f>
        <v>01.07.85</v>
      </c>
      <c r="F56" s="146" t="str">
        <f>IF('P9'!G9="","",'P9'!G9)</f>
        <v>Mauricio Kjeldner</v>
      </c>
      <c r="G56" s="146" t="str">
        <f>IF('P9'!G10="","",'P9'!G10)</f>
        <v>Spydeberg Atletene</v>
      </c>
      <c r="H56" s="147">
        <f>IF('P9'!N9="","",'P9'!N9)</f>
        <v>88</v>
      </c>
      <c r="I56" s="147">
        <f>IF('P9'!O9="","",'P9'!O9)</f>
        <v>114</v>
      </c>
      <c r="J56" s="144">
        <f>IF('P9'!S9="","",'P9'!S9)</f>
        <v>8.59</v>
      </c>
      <c r="K56" s="144">
        <f>IF('P9'!T9="","",'P9'!T9)</f>
        <v>14.37</v>
      </c>
      <c r="L56" s="144">
        <f>IF('P9'!U9="","",'P9'!U9)</f>
        <v>6.42</v>
      </c>
      <c r="M56" s="144">
        <f>IF('P9'!W10="","",'P9'!W10)</f>
        <v>791.7990009201792</v>
      </c>
    </row>
    <row r="57" spans="1:13" ht="14.1">
      <c r="A57" s="143">
        <v>12</v>
      </c>
      <c r="B57" s="144">
        <f>IF('P8'!A19="","",'P8'!A19)</f>
        <v>82.58</v>
      </c>
      <c r="C57" s="144" t="str">
        <f>IF('P8'!C19="","",'P8'!C19)</f>
        <v>UM</v>
      </c>
      <c r="D57" s="144" t="str">
        <f>IF('P8'!D19="","",'P8'!D19)</f>
        <v>17-18</v>
      </c>
      <c r="E57" s="145">
        <f>IF('P8'!E19="","",'P8'!E19)</f>
        <v>36946</v>
      </c>
      <c r="F57" s="146" t="str">
        <f>IF('P8'!G19="","",'P8'!G19)</f>
        <v>Håkon Eik Litland</v>
      </c>
      <c r="G57" s="146" t="str">
        <f>IF('P8'!G20="","",'P8'!G20)</f>
        <v>AK Bjørgvin</v>
      </c>
      <c r="H57" s="147">
        <f>IF('P8'!N19="","",'P8'!N19)</f>
        <v>102</v>
      </c>
      <c r="I57" s="147">
        <f>IF('P8'!O19="","",'P8'!O19)</f>
        <v>118</v>
      </c>
      <c r="J57" s="144">
        <f>IF('P8'!S19="","",'P8'!S19)</f>
        <v>8.14</v>
      </c>
      <c r="K57" s="144">
        <f>IF('P8'!T19="","",'P8'!T19)</f>
        <v>15.05</v>
      </c>
      <c r="L57" s="144">
        <f>IF('P8'!U19="","",'P8'!U19)</f>
        <v>6.52</v>
      </c>
      <c r="M57" s="144">
        <f>IF('P8'!W20="","",'P8'!W20)</f>
        <v>782.1956980524061</v>
      </c>
    </row>
    <row r="58" spans="1:13" ht="14.1">
      <c r="A58" s="143">
        <v>13</v>
      </c>
      <c r="B58" s="144">
        <f>IF('P9'!A23="","",'P9'!A23)</f>
        <v>68.48</v>
      </c>
      <c r="C58" s="144" t="str">
        <f>IF('P9'!C23="","",'P9'!C23)</f>
        <v>SM</v>
      </c>
      <c r="D58" s="144" t="str">
        <f>IF('P9'!D23="","",'P9'!D23)</f>
        <v>+18</v>
      </c>
      <c r="E58" s="145" t="str">
        <f>IF('P9'!E23="","",'P9'!E23)</f>
        <v>09.11.96</v>
      </c>
      <c r="F58" s="146" t="str">
        <f>IF('P9'!G23="","",'P9'!G23)</f>
        <v>Runar Klungrvik</v>
      </c>
      <c r="G58" s="146" t="str">
        <f>IF('P9'!G24="","",'P9'!G24)</f>
        <v>Hitra VK</v>
      </c>
      <c r="H58" s="147">
        <f>IF('P9'!N23="","",'P9'!N23)</f>
        <v>95</v>
      </c>
      <c r="I58" s="147">
        <f>IF('P9'!O23="","",'P9'!O23)</f>
        <v>110</v>
      </c>
      <c r="J58" s="144">
        <f>IF('P9'!S23="","",'P9'!S23)</f>
        <v>8</v>
      </c>
      <c r="K58" s="144">
        <f>IF('P9'!T23="","",'P9'!T23)</f>
        <v>13.19</v>
      </c>
      <c r="L58" s="144">
        <f>IF('P9'!U23="","",'P9'!U23)</f>
        <v>6.52</v>
      </c>
      <c r="M58" s="144">
        <f>IF('P9'!W24="","",'P9'!W24)</f>
        <v>769.60647164938268</v>
      </c>
    </row>
    <row r="59" spans="1:13" ht="14.1">
      <c r="A59" s="143">
        <v>14</v>
      </c>
      <c r="B59" s="144">
        <f>IF('P8'!A17="","",'P8'!A17)</f>
        <v>81.489999999999995</v>
      </c>
      <c r="C59" s="144" t="str">
        <f>IF('P8'!C17="","",'P8'!C17)</f>
        <v>JM</v>
      </c>
      <c r="D59" s="144" t="str">
        <f>IF('P8'!D17="","",'P8'!D17)</f>
        <v>17-18</v>
      </c>
      <c r="E59" s="145">
        <f>IF('P8'!E17="","",'P8'!E17)</f>
        <v>36748</v>
      </c>
      <c r="F59" s="146" t="str">
        <f>IF('P8'!G17="","",'P8'!G17)</f>
        <v>Bernt Andre Midtbø</v>
      </c>
      <c r="G59" s="146" t="str">
        <f>IF('P8'!G18="","",'P8'!G18)</f>
        <v>Breimsbygda IL</v>
      </c>
      <c r="H59" s="147">
        <f>IF('P8'!N17="","",'P8'!N17)</f>
        <v>75</v>
      </c>
      <c r="I59" s="147">
        <f>IF('P8'!O17="","",'P8'!O17)</f>
        <v>106</v>
      </c>
      <c r="J59" s="144">
        <f>IF('P8'!S17="","",'P8'!S17)</f>
        <v>8.7100000000000009</v>
      </c>
      <c r="K59" s="144">
        <f>IF('P8'!T17="","",'P8'!T17)</f>
        <v>16.95</v>
      </c>
      <c r="L59" s="144">
        <f>IF('P8'!U17="","",'P8'!U17)</f>
        <v>6.4</v>
      </c>
      <c r="M59" s="144">
        <f>IF('P8'!W18="","",'P8'!W18)</f>
        <v>767.88203070766917</v>
      </c>
    </row>
    <row r="60" spans="1:13" ht="14.1">
      <c r="A60" s="143">
        <v>15</v>
      </c>
      <c r="B60" s="144">
        <f>IF('P10'!A11="","",'P10'!A11)</f>
        <v>90.96</v>
      </c>
      <c r="C60" s="144" t="str">
        <f>IF('P10'!C11="","",'P10'!C11)</f>
        <v>SM</v>
      </c>
      <c r="D60" s="144" t="str">
        <f>IF('P10'!D11="","",'P10'!D11)</f>
        <v>+18</v>
      </c>
      <c r="E60" s="145" t="str">
        <f>IF('P10'!E11="","",'P10'!E11)</f>
        <v>21.06.84</v>
      </c>
      <c r="F60" s="146" t="str">
        <f>IF('P10'!G11="","",'P10'!G11)</f>
        <v>Kenneth Friberg</v>
      </c>
      <c r="G60" s="146" t="str">
        <f>IF('P10'!G12="","",'P10'!G12)</f>
        <v>Oslo AK</v>
      </c>
      <c r="H60" s="147">
        <f>IF('P10'!N11="","",'P10'!N11)</f>
        <v>106</v>
      </c>
      <c r="I60" s="147">
        <f>IF('P10'!O11="","",'P10'!O11)</f>
        <v>127</v>
      </c>
      <c r="J60" s="144">
        <f>IF('P10'!S11="","",'P10'!S11)</f>
        <v>7.26</v>
      </c>
      <c r="K60" s="144">
        <f>IF('P10'!T11="","",'P10'!T11)</f>
        <v>15.64</v>
      </c>
      <c r="L60" s="144">
        <f>IF('P10'!U11="","",'P10'!U11)</f>
        <v>6.73</v>
      </c>
      <c r="M60" s="144">
        <f>IF('P10'!W12="","",'P10'!W12)</f>
        <v>767.20258900440422</v>
      </c>
    </row>
    <row r="61" spans="1:13" ht="14.1">
      <c r="A61" s="143">
        <v>16</v>
      </c>
      <c r="B61" s="144">
        <f>IF('P11'!A17="","",'P11'!A17)</f>
        <v>115.93</v>
      </c>
      <c r="C61" s="144" t="str">
        <f>IF('P11'!C17="","",'P11'!C17)</f>
        <v>SM</v>
      </c>
      <c r="D61" s="144" t="str">
        <f>IF('P11'!D17="","",'P11'!D17)</f>
        <v>+18</v>
      </c>
      <c r="E61" s="145" t="str">
        <f>IF('P11'!E17="","",'P11'!E17)</f>
        <v>17.11.91</v>
      </c>
      <c r="F61" s="146" t="str">
        <f>IF('P11'!G17="","",'P11'!G17)</f>
        <v>Tord Gravdal</v>
      </c>
      <c r="G61" s="146" t="str">
        <f>IF('P11'!G18="","",'P11'!G18)</f>
        <v>Vigrestad IK</v>
      </c>
      <c r="H61" s="147">
        <f>IF('P11'!N17="","",'P11'!N17)</f>
        <v>125</v>
      </c>
      <c r="I61" s="147">
        <f>IF('P11'!O17="","",'P11'!O17)</f>
        <v>156</v>
      </c>
      <c r="J61" s="144">
        <f>IF('P11'!S17="","",'P11'!S17)</f>
        <v>7.88</v>
      </c>
      <c r="K61" s="144">
        <f>IF('P11'!T17="","",'P11'!T17)</f>
        <v>13.78</v>
      </c>
      <c r="L61" s="144">
        <f>IF('P11'!U17="","",'P11'!U17)</f>
        <v>7.71</v>
      </c>
      <c r="M61" s="144">
        <f>IF('P11'!W18="","",'P11'!W18)</f>
        <v>753.85934082836752</v>
      </c>
    </row>
    <row r="62" spans="1:13" ht="14.1">
      <c r="A62" s="143">
        <v>17</v>
      </c>
      <c r="B62" s="144">
        <f>IF('P9'!A11="","",'P9'!A11)</f>
        <v>73.78</v>
      </c>
      <c r="C62" s="144" t="str">
        <f>IF('P9'!C11="","",'P9'!C11)</f>
        <v>SM</v>
      </c>
      <c r="D62" s="144" t="str">
        <f>IF('P9'!D11="","",'P9'!D11)</f>
        <v>+18</v>
      </c>
      <c r="E62" s="145" t="str">
        <f>IF('P9'!E11="","",'P9'!E11)</f>
        <v>03.09.91</v>
      </c>
      <c r="F62" s="146" t="str">
        <f>IF('P9'!G11="","",'P9'!G11)</f>
        <v>Trygve Stenrud Nilsen</v>
      </c>
      <c r="G62" s="146" t="str">
        <f>IF('P9'!G12="","",'P9'!G12)</f>
        <v>Oslo AK</v>
      </c>
      <c r="H62" s="147">
        <f>IF('P9'!N11="","",'P9'!N11)</f>
        <v>85</v>
      </c>
      <c r="I62" s="147">
        <f>IF('P9'!O11="","",'P9'!O11)</f>
        <v>110</v>
      </c>
      <c r="J62" s="144">
        <f>IF('P9'!S11="","",'P9'!S11)</f>
        <v>8.48</v>
      </c>
      <c r="K62" s="144">
        <f>IF('P9'!T11="","",'P9'!T11)</f>
        <v>13</v>
      </c>
      <c r="L62" s="144">
        <f>IF('P9'!U11="","",'P9'!U11)</f>
        <v>6.69</v>
      </c>
      <c r="M62" s="144">
        <f>IF('P9'!W12="","",'P9'!W12)</f>
        <v>743.6374087356661</v>
      </c>
    </row>
    <row r="63" spans="1:13" ht="14.1">
      <c r="A63" s="143">
        <v>18</v>
      </c>
      <c r="B63" s="144">
        <f>IF('P9'!A19="","",'P9'!A19)</f>
        <v>91.55</v>
      </c>
      <c r="C63" s="144" t="str">
        <f>IF('P9'!C19="","",'P9'!C19)</f>
        <v>SM</v>
      </c>
      <c r="D63" s="144" t="str">
        <f>IF('P9'!D19="","",'P9'!D19)</f>
        <v>+18</v>
      </c>
      <c r="E63" s="145">
        <f>IF('P9'!E19="","",'P9'!E19)</f>
        <v>32027</v>
      </c>
      <c r="F63" s="146" t="str">
        <f>IF('P9'!G19="","",'P9'!G19)</f>
        <v>Åsmund Rykhus</v>
      </c>
      <c r="G63" s="146" t="str">
        <f>IF('P9'!G20="","",'P9'!G20)</f>
        <v>Gjøvik AK</v>
      </c>
      <c r="H63" s="147">
        <f>IF('P9'!N19="","",'P9'!N19)</f>
        <v>91</v>
      </c>
      <c r="I63" s="147">
        <f>IF('P9'!O19="","",'P9'!O19)</f>
        <v>114</v>
      </c>
      <c r="J63" s="144">
        <f>IF('P9'!S19="","",'P9'!S19)</f>
        <v>8.0500000000000007</v>
      </c>
      <c r="K63" s="144">
        <f>IF('P9'!T19="","",'P9'!T19)</f>
        <v>13.63</v>
      </c>
      <c r="L63" s="144">
        <f>IF('P9'!U19="","",'P9'!U19)</f>
        <v>6.71</v>
      </c>
      <c r="M63" s="144">
        <f>IF('P9'!W20="","",'P9'!W20)</f>
        <v>721.42053772904865</v>
      </c>
    </row>
    <row r="64" spans="1:13" ht="14.1">
      <c r="A64" s="143">
        <v>19</v>
      </c>
      <c r="B64" s="144">
        <f>IF('P7'!A23="","",'P7'!A23)</f>
        <v>85.24</v>
      </c>
      <c r="C64" s="144" t="str">
        <f>IF('P7'!C23="","",'P7'!C23)</f>
        <v>UM</v>
      </c>
      <c r="D64" s="144" t="str">
        <f>IF('P7'!D23="","",'P7'!D23)</f>
        <v>15-16</v>
      </c>
      <c r="E64" s="145">
        <f>IF('P7'!E23="","",'P7'!E23)</f>
        <v>37288</v>
      </c>
      <c r="F64" s="146" t="str">
        <f>IF('P7'!G23="","",'P7'!G23)</f>
        <v>Dennis Lauritsen</v>
      </c>
      <c r="G64" s="146" t="str">
        <f>IF('P7'!G24="","",'P7'!G24)</f>
        <v>Larvik AK</v>
      </c>
      <c r="H64" s="147">
        <f>IF('P7'!N23="","",'P7'!N23)</f>
        <v>95</v>
      </c>
      <c r="I64" s="147">
        <f>IF('P7'!O23="","",'P7'!O23)</f>
        <v>112</v>
      </c>
      <c r="J64" s="144">
        <f>IF('P7'!S23="","",'P7'!S23)</f>
        <v>7.17</v>
      </c>
      <c r="K64" s="144">
        <f>IF('P7'!T23="","",'P7'!T23)</f>
        <v>14.28</v>
      </c>
      <c r="L64" s="144">
        <f>IF('P7'!U23="","",'P7'!U23)</f>
        <v>7.05</v>
      </c>
      <c r="M64" s="144">
        <f>IF('P7'!W24="","",'P7'!W24)</f>
        <v>711.00815576412083</v>
      </c>
    </row>
    <row r="65" spans="1:13" ht="14.1">
      <c r="A65" s="143">
        <v>20</v>
      </c>
      <c r="B65" s="144">
        <f>IF('P7'!A15="","",'P7'!A15)</f>
        <v>64.349999999999994</v>
      </c>
      <c r="C65" s="144" t="str">
        <f>IF('P7'!C15="","",'P7'!C15)</f>
        <v>UM</v>
      </c>
      <c r="D65" s="144" t="str">
        <f>IF('P7'!D15="","",'P7'!D15)</f>
        <v>13-14</v>
      </c>
      <c r="E65" s="145">
        <f>IF('P7'!E15="","",'P7'!E15)</f>
        <v>38105</v>
      </c>
      <c r="F65" s="146" t="str">
        <f>IF('P7'!G15="","",'P7'!G15)</f>
        <v>Henrik Reiakvam</v>
      </c>
      <c r="G65" s="146" t="str">
        <f>IF('P7'!G16="","",'P7'!G16)</f>
        <v>Tambarskjelvar IL</v>
      </c>
      <c r="H65" s="147">
        <f>IF('P7'!N15="","",'P7'!N15)</f>
        <v>68</v>
      </c>
      <c r="I65" s="147">
        <f>IF('P7'!O15="","",'P7'!O15)</f>
        <v>86</v>
      </c>
      <c r="J65" s="144">
        <f>IF('P7'!S15="","",'P7'!S15)</f>
        <v>7.85</v>
      </c>
      <c r="K65" s="144">
        <f>IF('P7'!T15="","",'P7'!T15)</f>
        <v>14.51</v>
      </c>
      <c r="L65" s="144">
        <f>IF('P7'!U15="","",'P7'!U15)</f>
        <v>6.76</v>
      </c>
      <c r="M65" s="144">
        <f>IF('P7'!W16="","",'P7'!W16)</f>
        <v>701.34126545948709</v>
      </c>
    </row>
    <row r="66" spans="1:13" ht="14.1">
      <c r="A66" s="143">
        <v>21</v>
      </c>
      <c r="B66" s="144">
        <f>IF('P7'!A11="","",'P7'!A11)</f>
        <v>61.9</v>
      </c>
      <c r="C66" s="144" t="str">
        <f>IF('P7'!C11="","",'P7'!C11)</f>
        <v>UM</v>
      </c>
      <c r="D66" s="144" t="str">
        <f>IF('P7'!D11="","",'P7'!D11)</f>
        <v>13-14</v>
      </c>
      <c r="E66" s="145">
        <f>IF('P7'!E11="","",'P7'!E11)</f>
        <v>38055</v>
      </c>
      <c r="F66" s="146" t="str">
        <f>IF('P7'!G11="","",'P7'!G11)</f>
        <v>Joachim Offman</v>
      </c>
      <c r="G66" s="146" t="str">
        <f>IF('P7'!G12="","",'P7'!G12)</f>
        <v>Tambarskjelvar IL</v>
      </c>
      <c r="H66" s="147">
        <f>IF('P7'!N11="","",'P7'!N11)</f>
        <v>63</v>
      </c>
      <c r="I66" s="147">
        <f>IF('P7'!O11="","",'P7'!O11)</f>
        <v>77</v>
      </c>
      <c r="J66" s="144">
        <f>IF('P7'!S11="","",'P7'!S11)</f>
        <v>7.93</v>
      </c>
      <c r="K66" s="144">
        <f>IF('P7'!T11="","",'P7'!T11)</f>
        <v>15.61</v>
      </c>
      <c r="L66" s="144">
        <f>IF('P7'!U11="","",'P7'!U11)</f>
        <v>6.75</v>
      </c>
      <c r="M66" s="144">
        <f>IF('P7'!W12="","",'P7'!W12)</f>
        <v>697.83290561329818</v>
      </c>
    </row>
    <row r="67" spans="1:13" ht="14.1">
      <c r="A67" s="143">
        <v>22</v>
      </c>
      <c r="B67" s="144">
        <f>IF('P8'!A13="","",'P8'!A13)</f>
        <v>69.23</v>
      </c>
      <c r="C67" s="144" t="str">
        <f>IF('P8'!C13="","",'P8'!C13)</f>
        <v>UM</v>
      </c>
      <c r="D67" s="144" t="str">
        <f>IF('P8'!D13="","",'P8'!D13)</f>
        <v>17-18</v>
      </c>
      <c r="E67" s="145" t="str">
        <f>IF('P8'!E13="","",'P8'!E13)</f>
        <v>25.11.01</v>
      </c>
      <c r="F67" s="146" t="str">
        <f>IF('P8'!G13="","",'P8'!G13)</f>
        <v>Aron Süssmann</v>
      </c>
      <c r="G67" s="146" t="str">
        <f>IF('P8'!G14="","",'P8'!G14)</f>
        <v>Stavanger VK</v>
      </c>
      <c r="H67" s="147">
        <f>IF('P8'!N13="","",'P8'!N13)</f>
        <v>91</v>
      </c>
      <c r="I67" s="147">
        <f>IF('P8'!O13="","",'P8'!O13)</f>
        <v>105</v>
      </c>
      <c r="J67" s="144">
        <f>IF('P8'!S13="","",'P8'!S13)</f>
        <v>7.53</v>
      </c>
      <c r="K67" s="144">
        <f>IF('P8'!T13="","",'P8'!T13)</f>
        <v>11.05</v>
      </c>
      <c r="L67" s="144">
        <f>IF('P8'!U13="","",'P8'!U13)</f>
        <v>7.12</v>
      </c>
      <c r="M67" s="144">
        <f>IF('P8'!W14="","",'P8'!W14)</f>
        <v>696.15988138434136</v>
      </c>
    </row>
    <row r="68" spans="1:13" ht="14.1">
      <c r="A68" s="143">
        <v>23</v>
      </c>
      <c r="B68" s="144">
        <f>IF('P7'!A19="","",'P7'!A19)</f>
        <v>60.21</v>
      </c>
      <c r="C68" s="144" t="str">
        <f>IF('P7'!C19="","",'P7'!C19)</f>
        <v>UM</v>
      </c>
      <c r="D68" s="144" t="str">
        <f>IF('P7'!D19="","",'P7'!D19)</f>
        <v>15-16</v>
      </c>
      <c r="E68" s="145">
        <f>IF('P7'!E19="","",'P7'!E19)</f>
        <v>37500</v>
      </c>
      <c r="F68" s="146" t="str">
        <f>IF('P7'!G19="","",'P7'!G19)</f>
        <v>Mats Hofstad</v>
      </c>
      <c r="G68" s="146" t="str">
        <f>IF('P7'!G20="","",'P7'!G20)</f>
        <v>Trondheim AK</v>
      </c>
      <c r="H68" s="147">
        <f>IF('P7'!N19="","",'P7'!N19)</f>
        <v>65</v>
      </c>
      <c r="I68" s="147">
        <f>IF('P7'!O19="","",'P7'!O19)</f>
        <v>85</v>
      </c>
      <c r="J68" s="144">
        <f>IF('P7'!S19="","",'P7'!S19)</f>
        <v>7.83</v>
      </c>
      <c r="K68" s="144">
        <f>IF('P7'!T19="","",'P7'!T19)</f>
        <v>12.62</v>
      </c>
      <c r="L68" s="144">
        <f>IF('P7'!U19="","",'P7'!U19)</f>
        <v>6.55</v>
      </c>
      <c r="M68" s="144">
        <f>IF('P7'!W20="","",'P7'!W20)</f>
        <v>692.99846266562508</v>
      </c>
    </row>
    <row r="69" spans="1:13" ht="14.1">
      <c r="A69" s="143">
        <v>24</v>
      </c>
      <c r="B69" s="144">
        <f>IF('P7'!A21="","",'P7'!A21)</f>
        <v>71.59</v>
      </c>
      <c r="C69" s="144" t="str">
        <f>IF('P7'!C21="","",'P7'!C21)</f>
        <v>UM</v>
      </c>
      <c r="D69" s="144" t="str">
        <f>IF('P7'!D21="","",'P7'!D21)</f>
        <v>15-16</v>
      </c>
      <c r="E69" s="145">
        <f>IF('P7'!E21="","",'P7'!E21)</f>
        <v>37687</v>
      </c>
      <c r="F69" s="146" t="str">
        <f>IF('P7'!G21="","",'P7'!G21)</f>
        <v>Anders Vik</v>
      </c>
      <c r="G69" s="146" t="str">
        <f>IF('P7'!G22="","",'P7'!G22)</f>
        <v>AK Bjørgvin</v>
      </c>
      <c r="H69" s="147">
        <f>IF('P7'!N21="","",'P7'!N21)</f>
        <v>55</v>
      </c>
      <c r="I69" s="147">
        <f>IF('P7'!O21="","",'P7'!O21)</f>
        <v>74</v>
      </c>
      <c r="J69" s="144">
        <f>IF('P7'!S21="","",'P7'!S21)</f>
        <v>8.23</v>
      </c>
      <c r="K69" s="144">
        <f>IF('P7'!T21="","",'P7'!T21)</f>
        <v>16.5</v>
      </c>
      <c r="L69" s="144">
        <f>IF('P7'!U21="","",'P7'!U21)</f>
        <v>6.39</v>
      </c>
      <c r="M69" s="144">
        <f>IF('P7'!W22="","",'P7'!W22)</f>
        <v>691.3872420070976</v>
      </c>
    </row>
    <row r="70" spans="1:13" ht="14.1">
      <c r="A70" s="143">
        <v>25</v>
      </c>
      <c r="B70" s="144">
        <f>IF('P10'!A9="","",'P10'!A9)</f>
        <v>96.27</v>
      </c>
      <c r="C70" s="144" t="str">
        <f>IF('P10'!C9="","",'P10'!C9)</f>
        <v>JM</v>
      </c>
      <c r="D70" s="144" t="str">
        <f>IF('P10'!D9="","",'P10'!D9)</f>
        <v>+18</v>
      </c>
      <c r="E70" s="145">
        <f>IF('P10'!E9="","",'P10'!E9)</f>
        <v>36029</v>
      </c>
      <c r="F70" s="146" t="str">
        <f>IF('P10'!G9="","",'P10'!G9)</f>
        <v>Ole-Kristoffer Sørland</v>
      </c>
      <c r="G70" s="146" t="str">
        <f>IF('P10'!G10="","",'P10'!G10)</f>
        <v>Breimsbygda IL</v>
      </c>
      <c r="H70" s="147">
        <f>IF('P10'!N9="","",'P10'!N9)</f>
        <v>90</v>
      </c>
      <c r="I70" s="147">
        <f>IF('P10'!O9="","",'P10'!O9)</f>
        <v>105</v>
      </c>
      <c r="J70" s="144">
        <f>IF('P10'!S9="","",'P10'!S9)</f>
        <v>7.77</v>
      </c>
      <c r="K70" s="144">
        <f>IF('P10'!T9="","",'P10'!T9)</f>
        <v>14.01</v>
      </c>
      <c r="L70" s="144">
        <f>IF('P10'!U9="","",'P10'!U9)</f>
        <v>7.05</v>
      </c>
      <c r="M70" s="144">
        <f>IF('P10'!W10="","",'P10'!W10)</f>
        <v>688.75671700361886</v>
      </c>
    </row>
    <row r="71" spans="1:13" ht="14.1">
      <c r="A71" s="143">
        <v>26</v>
      </c>
      <c r="B71" s="144">
        <f>IF('P9'!A15="","",'P9'!A15)</f>
        <v>82.59</v>
      </c>
      <c r="C71" s="144" t="str">
        <f>IF('P9'!C15="","",'P9'!C15)</f>
        <v>SM</v>
      </c>
      <c r="D71" s="144" t="str">
        <f>IF('P9'!D15="","",'P9'!D15)</f>
        <v>+18</v>
      </c>
      <c r="E71" s="145" t="str">
        <f>IF('P9'!E15="","",'P9'!E15)</f>
        <v>12.05.92</v>
      </c>
      <c r="F71" s="146" t="str">
        <f>IF('P9'!G15="","",'P9'!G15)</f>
        <v>Johnny Stokke</v>
      </c>
      <c r="G71" s="146" t="str">
        <f>IF('P9'!G16="","",'P9'!G16)</f>
        <v>Lørenskog AK</v>
      </c>
      <c r="H71" s="147">
        <f>IF('P9'!N15="","",'P9'!N15)</f>
        <v>88</v>
      </c>
      <c r="I71" s="147">
        <f>IF('P9'!O15="","",'P9'!O15)</f>
        <v>105</v>
      </c>
      <c r="J71" s="144">
        <f>IF('P9'!S15="","",'P9'!S15)</f>
        <v>7.39</v>
      </c>
      <c r="K71" s="144">
        <f>IF('P9'!T15="","",'P9'!T15)</f>
        <v>12.32</v>
      </c>
      <c r="L71" s="144">
        <f>IF('P9'!U15="","",'P9'!U15)</f>
        <v>6.83</v>
      </c>
      <c r="M71" s="144">
        <f>IF('P9'!W16="","",'P9'!W16)</f>
        <v>686.14073874840471</v>
      </c>
    </row>
    <row r="72" spans="1:13" ht="14.1">
      <c r="A72" s="143">
        <v>27</v>
      </c>
      <c r="B72" s="144">
        <f>IF('P7'!A13="","",'P7'!A13)</f>
        <v>66.28</v>
      </c>
      <c r="C72" s="144" t="str">
        <f>IF('P7'!C13="","",'P7'!C13)</f>
        <v>UM</v>
      </c>
      <c r="D72" s="144" t="str">
        <f>IF('P7'!D13="","",'P7'!D13)</f>
        <v>13-14</v>
      </c>
      <c r="E72" s="145">
        <f>IF('P7'!E13="","",'P7'!E13)</f>
        <v>38320</v>
      </c>
      <c r="F72" s="146" t="str">
        <f>IF('P7'!G13="","",'P7'!G13)</f>
        <v>Kristen Røyseth</v>
      </c>
      <c r="G72" s="146" t="str">
        <f>IF('P7'!G14="","",'P7'!G14)</f>
        <v>Tambarskjelvar IL</v>
      </c>
      <c r="H72" s="147">
        <f>IF('P7'!N13="","",'P7'!N13)</f>
        <v>64</v>
      </c>
      <c r="I72" s="147">
        <f>IF('P7'!O13="","",'P7'!O13)</f>
        <v>84</v>
      </c>
      <c r="J72" s="144">
        <f>IF('P7'!S13="","",'P7'!S13)</f>
        <v>7.85</v>
      </c>
      <c r="K72" s="144">
        <f>IF('P7'!T13="","",'P7'!T13)</f>
        <v>15.03</v>
      </c>
      <c r="L72" s="144">
        <f>IF('P7'!U13="","",'P7'!U13)</f>
        <v>6.94</v>
      </c>
      <c r="M72" s="144">
        <f>IF('P7'!W14="","",'P7'!W14)</f>
        <v>684.39572271673137</v>
      </c>
    </row>
    <row r="73" spans="1:13" ht="14.1">
      <c r="A73" s="143">
        <v>28</v>
      </c>
      <c r="B73" s="144">
        <f>IF('P8'!A9="","",'P8'!A9)</f>
        <v>74.260000000000005</v>
      </c>
      <c r="C73" s="144" t="str">
        <f>IF('P8'!C9="","",'P8'!C9)</f>
        <v>JM</v>
      </c>
      <c r="D73" s="144" t="str">
        <f>IF('P8'!D9="","",'P8'!D9)</f>
        <v>17-18</v>
      </c>
      <c r="E73" s="145">
        <f>IF('P8'!E9="","",'P8'!E9)</f>
        <v>37160</v>
      </c>
      <c r="F73" s="146" t="str">
        <f>IF('P8'!G9="","",'P8'!G9)</f>
        <v>Remy Aune</v>
      </c>
      <c r="G73" s="146" t="str">
        <f>IF('P8'!G10="","",'P8'!G10)</f>
        <v>Hitra VK</v>
      </c>
      <c r="H73" s="147">
        <f>IF('P8'!N9="","",'P8'!N9)</f>
        <v>77</v>
      </c>
      <c r="I73" s="147">
        <f>IF('P8'!O9="","",'P8'!O9)</f>
        <v>100</v>
      </c>
      <c r="J73" s="144">
        <f>IF('P8'!S9="","",'P8'!S9)</f>
        <v>7.43</v>
      </c>
      <c r="K73" s="144">
        <f>IF('P8'!T9="","",'P8'!T9)</f>
        <v>10.85</v>
      </c>
      <c r="L73" s="144">
        <f>IF('P8'!U9="","",'P8'!U9)</f>
        <v>6.69</v>
      </c>
      <c r="M73" s="144">
        <f>IF('P8'!W10="","",'P8'!W10)</f>
        <v>670.39322941731746</v>
      </c>
    </row>
    <row r="74" spans="1:13" ht="14.1">
      <c r="A74" s="143">
        <v>29</v>
      </c>
      <c r="B74" s="144">
        <f>IF('P8'!A21="","",'P8'!A21)</f>
        <v>88.96</v>
      </c>
      <c r="C74" s="144" t="str">
        <f>IF('P8'!C21="","",'P8'!C21)</f>
        <v>JM</v>
      </c>
      <c r="D74" s="144" t="str">
        <f>IF('P8'!D21="","",'P8'!D21)</f>
        <v>17-18</v>
      </c>
      <c r="E74" s="145">
        <f>IF('P8'!E21="","",'P8'!E21)</f>
        <v>36862</v>
      </c>
      <c r="F74" s="146" t="str">
        <f>IF('P8'!G21="","",'P8'!G21)</f>
        <v>Daniel Solberg</v>
      </c>
      <c r="G74" s="146" t="str">
        <f>IF('P8'!G22="","",'P8'!G22)</f>
        <v>Tønsberg-Kam.</v>
      </c>
      <c r="H74" s="147">
        <f>IF('P8'!N21="","",'P8'!N21)</f>
        <v>81</v>
      </c>
      <c r="I74" s="147">
        <f>IF('P8'!O21="","",'P8'!O21)</f>
        <v>107</v>
      </c>
      <c r="J74" s="144">
        <f>IF('P8'!S21="","",'P8'!S21)</f>
        <v>7.53</v>
      </c>
      <c r="K74" s="144">
        <f>IF('P8'!T21="","",'P8'!T21)</f>
        <v>12.95</v>
      </c>
      <c r="L74" s="144">
        <f>IF('P8'!U21="","",'P8'!U21)</f>
        <v>7.34</v>
      </c>
      <c r="M74" s="144">
        <f>IF('P8'!W22="","",'P8'!W22)</f>
        <v>659.36458279209501</v>
      </c>
    </row>
    <row r="75" spans="1:13" ht="14.1">
      <c r="A75" s="143">
        <v>30</v>
      </c>
      <c r="B75" s="144">
        <f>IF('P7'!A27="","",'P7'!A27)</f>
        <v>101.59</v>
      </c>
      <c r="C75" s="144" t="str">
        <f>IF('P7'!C27="","",'P7'!C27)</f>
        <v>UM</v>
      </c>
      <c r="D75" s="144" t="str">
        <f>IF('P7'!D27="","",'P7'!D27)</f>
        <v>15-16</v>
      </c>
      <c r="E75" s="145">
        <f>IF('P7'!E27="","",'P7'!E27)</f>
        <v>37645</v>
      </c>
      <c r="F75" s="146" t="str">
        <f>IF('P7'!G27="","",'P7'!G27)</f>
        <v>Mathias Dale</v>
      </c>
      <c r="G75" s="146" t="str">
        <f>IF('P7'!G28="","",'P7'!G28)</f>
        <v>Breimsbygda IL</v>
      </c>
      <c r="H75" s="147">
        <f>IF('P7'!N27="","",'P7'!N27)</f>
        <v>76</v>
      </c>
      <c r="I75" s="147">
        <f>IF('P7'!O27="","",'P7'!O27)</f>
        <v>85</v>
      </c>
      <c r="J75" s="144">
        <f>IF('P7'!S27="","",'P7'!S27)</f>
        <v>7.31</v>
      </c>
      <c r="K75" s="144">
        <f>IF('P7'!T27="","",'P7'!T27)</f>
        <v>13.6</v>
      </c>
      <c r="L75" s="144">
        <f>IF('P7'!U27="","",'P7'!U27)</f>
        <v>7.02</v>
      </c>
      <c r="M75" s="144">
        <f>IF('P7'!W28="","",'P7'!W28)</f>
        <v>624.81109301189304</v>
      </c>
    </row>
    <row r="76" spans="1:13" ht="14.1">
      <c r="A76" s="143">
        <v>31</v>
      </c>
      <c r="B76" s="144">
        <f>IF('P9'!A13="","",'P9'!A13)</f>
        <v>84.48</v>
      </c>
      <c r="C76" s="144" t="str">
        <f>IF('P9'!C13="","",'P9'!C13)</f>
        <v>SM</v>
      </c>
      <c r="D76" s="144" t="str">
        <f>IF('P9'!D13="","",'P9'!D13)</f>
        <v>+18</v>
      </c>
      <c r="E76" s="145" t="str">
        <f>IF('P9'!E13="","",'P9'!E13)</f>
        <v>25.10.92</v>
      </c>
      <c r="F76" s="146" t="str">
        <f>IF('P9'!G13="","",'P9'!G13)</f>
        <v>Andreas Viken</v>
      </c>
      <c r="G76" s="146" t="str">
        <f>IF('P9'!G14="","",'P9'!G14)</f>
        <v>Stavanger VK</v>
      </c>
      <c r="H76" s="147">
        <f>IF('P9'!N13="","",'P9'!N13)</f>
        <v>70</v>
      </c>
      <c r="I76" s="147">
        <f>IF('P9'!O13="","",'P9'!O13)</f>
        <v>100</v>
      </c>
      <c r="J76" s="144">
        <f>IF('P9'!S13="","",'P9'!S13)</f>
        <v>7.62</v>
      </c>
      <c r="K76" s="144">
        <f>IF('P9'!T13="","",'P9'!T13)</f>
        <v>8.7799999999999994</v>
      </c>
      <c r="L76" s="144">
        <f>IF('P9'!U13="","",'P9'!U13)</f>
        <v>6.69</v>
      </c>
      <c r="M76" s="144">
        <f>IF('P9'!W14="","",'P9'!W14)</f>
        <v>623.89339572792494</v>
      </c>
    </row>
    <row r="77" spans="1:13" ht="14.1">
      <c r="A77" s="143">
        <v>32</v>
      </c>
      <c r="B77" s="144">
        <f>IF('P7'!A25="","",'P7'!A25)</f>
        <v>92.27</v>
      </c>
      <c r="C77" s="144" t="str">
        <f>IF('P7'!C25="","",'P7'!C25)</f>
        <v>UM</v>
      </c>
      <c r="D77" s="144" t="str">
        <f>IF('P7'!D25="","",'P7'!D25)</f>
        <v>15-16</v>
      </c>
      <c r="E77" s="145">
        <f>IF('P7'!E25="","",'P7'!E25)</f>
        <v>37350</v>
      </c>
      <c r="F77" s="146" t="str">
        <f>IF('P7'!G25="","",'P7'!G25)</f>
        <v>Hans Gunnar Kvadsheim</v>
      </c>
      <c r="G77" s="146" t="str">
        <f>IF('P7'!G26="","",'P7'!G26)</f>
        <v>Vigrestad IK</v>
      </c>
      <c r="H77" s="147">
        <f>IF('P7'!N25="","",'P7'!N25)</f>
        <v>70</v>
      </c>
      <c r="I77" s="147">
        <f>IF('P7'!O25="","",'P7'!O25)</f>
        <v>82</v>
      </c>
      <c r="J77" s="144">
        <f>IF('P7'!S25="","",'P7'!S25)</f>
        <v>7.27</v>
      </c>
      <c r="K77" s="144">
        <f>IF('P7'!T25="","",'P7'!T25)</f>
        <v>14.03</v>
      </c>
      <c r="L77" s="144">
        <f>IF('P7'!U25="","",'P7'!U25)</f>
        <v>7.17</v>
      </c>
      <c r="M77" s="144">
        <f>IF('P7'!W26="","",'P7'!W26)</f>
        <v>620.49429233087665</v>
      </c>
    </row>
    <row r="78" spans="1:13" ht="14.1">
      <c r="A78" s="143">
        <v>33</v>
      </c>
      <c r="B78" s="144">
        <f>IF('P9'!A21="","",'P9'!A21)</f>
        <v>100.95</v>
      </c>
      <c r="C78" s="144" t="str">
        <f>IF('P9'!C21="","",'P9'!C21)</f>
        <v>SM</v>
      </c>
      <c r="D78" s="144" t="str">
        <f>IF('P9'!D21="","",'P9'!D21)</f>
        <v>+18</v>
      </c>
      <c r="E78" s="145">
        <f>IF('P9'!E21="","",'P9'!E21)</f>
        <v>32064</v>
      </c>
      <c r="F78" s="146" t="str">
        <f>IF('P9'!G21="","",'P9'!G21)</f>
        <v>Kristoffer Solheimsnes</v>
      </c>
      <c r="G78" s="146" t="str">
        <f>IF('P9'!G22="","",'P9'!G22)</f>
        <v>Gjøvik AK</v>
      </c>
      <c r="H78" s="147">
        <f>IF('P9'!N21="","",'P9'!N21)</f>
        <v>81</v>
      </c>
      <c r="I78" s="147">
        <f>IF('P9'!O21="","",'P9'!O21)</f>
        <v>102</v>
      </c>
      <c r="J78" s="144">
        <f>IF('P9'!S21="","",'P9'!S21)</f>
        <v>5.72</v>
      </c>
      <c r="K78" s="144">
        <f>IF('P9'!T21="","",'P9'!T21)</f>
        <v>9.18</v>
      </c>
      <c r="L78" s="144">
        <f>IF('P9'!U21="","",'P9'!U21)</f>
        <v>8.9</v>
      </c>
      <c r="M78" s="144">
        <f>IF('P9'!W22="","",'P9'!W22)</f>
        <v>502.04837871450684</v>
      </c>
    </row>
    <row r="79" spans="1:13" ht="14.1">
      <c r="A79" s="143">
        <v>34</v>
      </c>
      <c r="B79" s="144">
        <f>IF('P7'!A17="","",'P7'!A17)</f>
        <v>69.14</v>
      </c>
      <c r="C79" s="144" t="str">
        <f>IF('P7'!C17="","",'P7'!C17)</f>
        <v>UM</v>
      </c>
      <c r="D79" s="144" t="str">
        <f>IF('P7'!D17="","",'P7'!D17)</f>
        <v>13-14</v>
      </c>
      <c r="E79" s="145">
        <f>IF('P7'!E17="","",'P7'!E17)</f>
        <v>38286</v>
      </c>
      <c r="F79" s="146" t="str">
        <f>IF('P7'!G17="","",'P7'!G17)</f>
        <v>Daniel Ravndal</v>
      </c>
      <c r="G79" s="146" t="str">
        <f>IF('P7'!G18="","",'P7'!G18)</f>
        <v>Tambarskjelvar IL</v>
      </c>
      <c r="H79" s="147">
        <f>IF('P7'!N17="","",'P7'!N17)</f>
        <v>51</v>
      </c>
      <c r="I79" s="147">
        <f>IF('P7'!O17="","",'P7'!O17)</f>
        <v>62</v>
      </c>
      <c r="J79" s="144">
        <f>IF('P7'!S17="","",'P7'!S17)</f>
        <v>6.29</v>
      </c>
      <c r="K79" s="144">
        <f>IF('P7'!T17="","",'P7'!T17)</f>
        <v>9.65</v>
      </c>
      <c r="L79" s="144">
        <f>IF('P7'!U17="","",'P7'!U17)</f>
        <v>8.09</v>
      </c>
      <c r="M79" s="144">
        <f>IF('P7'!W18="","",'P7'!W18)</f>
        <v>487.97557808529064</v>
      </c>
    </row>
    <row r="80" spans="1:13" ht="14.1">
      <c r="A80" s="143">
        <v>35</v>
      </c>
      <c r="B80" s="144">
        <f>IF('P7'!A9="","",'P7'!A9)</f>
        <v>45.47</v>
      </c>
      <c r="C80" s="144" t="str">
        <f>IF('P7'!C9="","",'P7'!C9)</f>
        <v>UM</v>
      </c>
      <c r="D80" s="144" t="str">
        <f>IF('P7'!D9="","",'P7'!D9)</f>
        <v>13-14</v>
      </c>
      <c r="E80" s="145">
        <f>IF('P7'!E9="","",'P7'!E9)</f>
        <v>38415</v>
      </c>
      <c r="F80" s="146" t="str">
        <f>IF('P7'!G9="","",'P7'!G9)</f>
        <v>Stefan Rønnevik</v>
      </c>
      <c r="G80" s="146" t="str">
        <f>IF('P7'!G10="","",'P7'!G10)</f>
        <v>Tysvær VK</v>
      </c>
      <c r="H80" s="147">
        <f>IF('P7'!N9="","",'P7'!N9)</f>
        <v>26</v>
      </c>
      <c r="I80" s="147">
        <f>IF('P7'!O9="","",'P7'!O9)</f>
        <v>35</v>
      </c>
      <c r="J80" s="144">
        <f>IF('P7'!S9="","",'P7'!S9)</f>
        <v>6.44</v>
      </c>
      <c r="K80" s="144">
        <f>IF('P7'!T9="","",'P7'!T9)</f>
        <v>7.18</v>
      </c>
      <c r="L80" s="144">
        <f>IF('P7'!U9="","",'P7'!U9)</f>
        <v>7.6</v>
      </c>
      <c r="M80" s="144">
        <f>IF('P7'!W10="","",'P7'!W10)</f>
        <v>436.58985481047046</v>
      </c>
    </row>
    <row r="81" spans="1:13" ht="14.1">
      <c r="A81" s="143"/>
      <c r="B81" s="144">
        <f>IF('P8'!A11="","",'P8'!A11)</f>
        <v>62.12</v>
      </c>
      <c r="C81" s="144" t="str">
        <f>IF('P8'!C11="","",'P8'!C11)</f>
        <v>JM</v>
      </c>
      <c r="D81" s="144" t="str">
        <f>IF('P8'!D11="","",'P8'!D11)</f>
        <v>17-18</v>
      </c>
      <c r="E81" s="145">
        <f>IF('P8'!E11="","",'P8'!E11)</f>
        <v>36879</v>
      </c>
      <c r="F81" s="146" t="str">
        <f>IF('P8'!G11="","",'P8'!G11)</f>
        <v>Marcus Bratli</v>
      </c>
      <c r="G81" s="146" t="str">
        <f>IF('P8'!G12="","",'P8'!G12)</f>
        <v>AK Bjørgvin</v>
      </c>
      <c r="H81" s="147" t="str">
        <f>IF('P8'!N11="","",'P8'!N11)</f>
        <v/>
      </c>
      <c r="I81" s="147" t="str">
        <f>IF('P8'!O11="","",'P8'!O11)</f>
        <v/>
      </c>
      <c r="J81" s="144" t="str">
        <f>IF('P8'!S11="","",'P8'!S11)</f>
        <v/>
      </c>
      <c r="K81" s="144" t="str">
        <f>IF('P8'!T11="","",'P8'!T11)</f>
        <v/>
      </c>
      <c r="L81" s="144" t="str">
        <f>IF('P8'!U11="","",'P8'!U11)</f>
        <v/>
      </c>
      <c r="M81" s="144" t="str">
        <f>IF('P8'!W12="","",'P8'!W12)</f>
        <v/>
      </c>
    </row>
    <row r="82" spans="1:13" ht="14.1">
      <c r="A82" s="143"/>
      <c r="B82" s="144">
        <f>IF('P10'!A19="","",'P10'!A19)</f>
        <v>88.13</v>
      </c>
      <c r="C82" s="144" t="str">
        <f>IF('P10'!C19="","",'P10'!C19)</f>
        <v>SM</v>
      </c>
      <c r="D82" s="144" t="str">
        <f>IF('P10'!D19="","",'P10'!D19)</f>
        <v>+18</v>
      </c>
      <c r="E82" s="145">
        <f>IF('P10'!E19="","",'P10'!E19)</f>
        <v>35434</v>
      </c>
      <c r="F82" s="146" t="str">
        <f>IF('P10'!G19="","",'P10'!G19)</f>
        <v>Ole Magnus Strand</v>
      </c>
      <c r="G82" s="146" t="str">
        <f>IF('P10'!G20="","",'P10'!G20)</f>
        <v>Hitra VK</v>
      </c>
      <c r="H82" s="147">
        <f>IF('P10'!N19="","",'P10'!N19)</f>
        <v>103</v>
      </c>
      <c r="I82" s="147">
        <f>IF('P10'!O19="","",'P10'!O19)</f>
        <v>130</v>
      </c>
      <c r="J82" s="144" t="str">
        <f>IF('P10'!S19="","",'P10'!S19)</f>
        <v/>
      </c>
      <c r="K82" s="144" t="str">
        <f>IF('P10'!T19="","",'P10'!T19)</f>
        <v/>
      </c>
      <c r="L82" s="144" t="str">
        <f>IF('P10'!U19="","",'P10'!U19)</f>
        <v/>
      </c>
      <c r="M82" s="144" t="str">
        <f>IF('P10'!W20="","",'P10'!W20)</f>
        <v/>
      </c>
    </row>
    <row r="83" spans="1:13" ht="14.1">
      <c r="A83" s="143"/>
      <c r="B83" s="144">
        <f>IF('P10'!A23="","",'P10'!A23)</f>
        <v>107.82</v>
      </c>
      <c r="C83" s="144" t="str">
        <f>IF('P10'!C23="","",'P10'!C23)</f>
        <v>SM</v>
      </c>
      <c r="D83" s="144" t="str">
        <f>IF('P10'!D23="","",'P10'!D23)</f>
        <v>+18</v>
      </c>
      <c r="E83" s="145">
        <f>IF('P10'!E23="","",'P10'!E23)</f>
        <v>32405</v>
      </c>
      <c r="F83" s="146" t="str">
        <f>IF('P10'!G23="","",'P10'!G23)</f>
        <v>Lars Joachim Nilsen</v>
      </c>
      <c r="G83" s="146" t="str">
        <f>IF('P10'!G24="","",'P10'!G24)</f>
        <v>T &amp; IL National</v>
      </c>
      <c r="H83" s="147" t="str">
        <f>IF('P10'!N23="","",'P10'!N23)</f>
        <v/>
      </c>
      <c r="I83" s="147" t="str">
        <f>IF('P10'!O23="","",'P10'!O23)</f>
        <v/>
      </c>
      <c r="J83" s="144">
        <f>IF('P10'!S23="","",'P10'!S23)</f>
        <v>8.1199999999999992</v>
      </c>
      <c r="K83" s="144">
        <f>IF('P10'!T23="","",'P10'!T23)</f>
        <v>17.260000000000002</v>
      </c>
      <c r="L83" s="144">
        <f>IF('P10'!U23="","",'P10'!U23)</f>
        <v>6.65</v>
      </c>
      <c r="M83" s="144" t="str">
        <f>IF('P10'!W24="","",'P10'!W24)</f>
        <v/>
      </c>
    </row>
    <row r="84" spans="1:13" ht="14.1">
      <c r="A84" s="143"/>
      <c r="B84" s="144">
        <f>IF('P11'!A11="","",'P11'!A11)</f>
        <v>76.59</v>
      </c>
      <c r="C84" s="144" t="str">
        <f>IF('P11'!C11="","",'P11'!C11)</f>
        <v>SM</v>
      </c>
      <c r="D84" s="144" t="str">
        <f>IF('P11'!D11="","",'P11'!D11)</f>
        <v>+18</v>
      </c>
      <c r="E84" s="145" t="str">
        <f>IF('P11'!E11="","",'P11'!E11)</f>
        <v>05.01.95</v>
      </c>
      <c r="F84" s="146" t="str">
        <f>IF('P11'!G11="","",'P11'!G11)</f>
        <v>Roger B. Myrholt</v>
      </c>
      <c r="G84" s="146" t="str">
        <f>IF('P11'!G12="","",'P11'!G12)</f>
        <v>Tønsberg-Kam.</v>
      </c>
      <c r="H84" s="147">
        <f>IF('P11'!N11="","",'P11'!N11)</f>
        <v>133</v>
      </c>
      <c r="I84" s="147">
        <f>IF('P11'!O11="","",'P11'!O11)</f>
        <v>169</v>
      </c>
      <c r="J84" s="144" t="str">
        <f>IF('P11'!S11="","",'P11'!S11)</f>
        <v/>
      </c>
      <c r="K84" s="144" t="str">
        <f>IF('P11'!T11="","",'P11'!T11)</f>
        <v/>
      </c>
      <c r="L84" s="144" t="str">
        <f>IF('P11'!U11="","",'P11'!U11)</f>
        <v/>
      </c>
      <c r="M84" s="144" t="str">
        <f>IF('P11'!W12="","",'P11'!W12)</f>
        <v/>
      </c>
    </row>
    <row r="85" spans="1:13" ht="14.1">
      <c r="A85" s="143"/>
      <c r="B85" s="144">
        <f>IF('P11'!A15="","",'P11'!A15)</f>
        <v>94.15</v>
      </c>
      <c r="C85" s="144" t="str">
        <f>IF('P11'!C15="","",'P11'!C15)</f>
        <v>SM</v>
      </c>
      <c r="D85" s="144" t="str">
        <f>IF('P11'!D15="","",'P11'!D15)</f>
        <v>+18</v>
      </c>
      <c r="E85" s="145">
        <f>IF('P11'!E15="","",'P11'!E15)</f>
        <v>32393</v>
      </c>
      <c r="F85" s="146" t="str">
        <f>IF('P11'!G15="","",'P11'!G15)</f>
        <v>Håvard Grostad</v>
      </c>
      <c r="G85" s="146" t="str">
        <f>IF('P11'!G16="","",'P11'!G16)</f>
        <v>Nidelv IL</v>
      </c>
      <c r="H85" s="147">
        <f>IF('P11'!N15="","",'P11'!N15)</f>
        <v>136</v>
      </c>
      <c r="I85" s="147">
        <f>IF('P11'!O15="","",'P11'!O15)</f>
        <v>164</v>
      </c>
      <c r="J85" s="144" t="str">
        <f>IF('P11'!S15="","",'P11'!S15)</f>
        <v/>
      </c>
      <c r="K85" s="144" t="str">
        <f>IF('P11'!T15="","",'P11'!T15)</f>
        <v/>
      </c>
      <c r="L85" s="144" t="str">
        <f>IF('P11'!U15="","",'P11'!U15)</f>
        <v/>
      </c>
      <c r="M85" s="144" t="str">
        <f>IF('P11'!W16="","",'P11'!W16)</f>
        <v/>
      </c>
    </row>
    <row r="86" spans="1:13" ht="14.1">
      <c r="A86" s="143"/>
      <c r="B86" s="144">
        <f>IF('P11'!A13="","",'P11'!A13)</f>
        <v>89.13</v>
      </c>
      <c r="C86" s="144" t="str">
        <f>IF('P11'!C13="","",'P11'!C13)</f>
        <v>SM</v>
      </c>
      <c r="D86" s="144" t="str">
        <f>IF('P11'!D13="","",'P11'!D13)</f>
        <v>+18</v>
      </c>
      <c r="E86" s="145" t="str">
        <f>IF('P11'!E13="","",'P11'!E13)</f>
        <v>11.01.89</v>
      </c>
      <c r="F86" s="146" t="str">
        <f>IF('P11'!G13="","",'P11'!G13)</f>
        <v>Leik Simon Aas</v>
      </c>
      <c r="G86" s="146" t="str">
        <f>IF('P11'!G14="","",'P11'!G14)</f>
        <v>T &amp; IL National</v>
      </c>
      <c r="H86" s="147">
        <f>IF('P11'!N13="","",'P11'!N13)</f>
        <v>115</v>
      </c>
      <c r="I86" s="147">
        <f>IF('P11'!O13="","",'P11'!O13)</f>
        <v>150</v>
      </c>
      <c r="J86" s="144" t="str">
        <f>IF('P11'!S13="","",'P11'!S13)</f>
        <v/>
      </c>
      <c r="K86" s="144" t="str">
        <f>IF('P11'!T13="","",'P11'!T13)</f>
        <v/>
      </c>
      <c r="L86" s="144" t="str">
        <f>IF('P11'!U13="","",'P11'!U13)</f>
        <v/>
      </c>
      <c r="M86" s="144" t="str">
        <f>IF('P11'!W14="","",'P11'!W14)</f>
        <v/>
      </c>
    </row>
    <row r="87" spans="1:13" ht="14.1">
      <c r="A87" s="143"/>
      <c r="B87" s="144" t="str">
        <f>IF('P10'!A25="","",'P10'!A25)</f>
        <v/>
      </c>
      <c r="C87" s="144" t="str">
        <f>IF('P10'!C25="","",'P10'!C25)</f>
        <v/>
      </c>
      <c r="D87" s="144" t="str">
        <f>IF('P10'!D25="","",'P10'!D25)</f>
        <v/>
      </c>
      <c r="E87" s="145" t="str">
        <f>IF('P10'!E25="","",'P10'!E25)</f>
        <v/>
      </c>
      <c r="F87" s="146" t="str">
        <f>IF('P10'!G25="","",'P10'!G25)</f>
        <v/>
      </c>
      <c r="G87" s="146" t="str">
        <f>IF('P10'!G26="","",'P10'!G26)</f>
        <v/>
      </c>
      <c r="H87" s="147" t="str">
        <f>IF('P10'!N25="","",'P10'!N25)</f>
        <v/>
      </c>
      <c r="I87" s="147" t="str">
        <f>IF('P10'!O25="","",'P10'!O25)</f>
        <v/>
      </c>
      <c r="J87" s="144" t="str">
        <f>IF('P10'!S25="","",'P10'!S25)</f>
        <v/>
      </c>
      <c r="K87" s="144" t="str">
        <f>IF('P10'!T25="","",'P10'!T25)</f>
        <v/>
      </c>
      <c r="L87" s="144" t="str">
        <f>IF('P10'!U25="","",'P10'!U25)</f>
        <v/>
      </c>
      <c r="M87" s="144" t="str">
        <f>IF('P10'!W26="","",'P10'!W26)</f>
        <v/>
      </c>
    </row>
  </sheetData>
  <sortState xmlns:xlrd2="http://schemas.microsoft.com/office/spreadsheetml/2017/richdata2" ref="A46:M80">
    <sortCondition descending="1" ref="M46:M80"/>
  </sortState>
  <mergeCells count="6">
    <mergeCell ref="A44:M44"/>
    <mergeCell ref="A1:M1"/>
    <mergeCell ref="A2:E2"/>
    <mergeCell ref="F2:I2"/>
    <mergeCell ref="J2:M2"/>
    <mergeCell ref="A3:M3"/>
  </mergeCells>
  <pageMargins left="0.74803149606299213" right="0.74803149606299213" top="0.98425196850393704" bottom="0.98425196850393704" header="0.51181102362204722" footer="0.51181102362204722"/>
  <pageSetup paperSize="9" scale="64" fitToHeight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1:K93"/>
  <sheetViews>
    <sheetView showZeros="0" topLeftCell="A61" workbookViewId="0">
      <selection activeCell="O52" sqref="O52"/>
    </sheetView>
  </sheetViews>
  <sheetFormatPr defaultColWidth="8.85546875" defaultRowHeight="12.95"/>
  <cols>
    <col min="1" max="1" width="5.42578125" customWidth="1"/>
    <col min="2" max="3" width="7.5703125" customWidth="1"/>
    <col min="4" max="4" width="10.42578125" customWidth="1"/>
    <col min="5" max="5" width="30.85546875" customWidth="1"/>
    <col min="6" max="6" width="22" customWidth="1"/>
    <col min="7" max="9" width="6.85546875" customWidth="1"/>
    <col min="10" max="10" width="8.5703125" customWidth="1"/>
  </cols>
  <sheetData>
    <row r="1" spans="1:11" ht="30" customHeight="1" thickBot="1">
      <c r="A1" s="383" t="s">
        <v>276</v>
      </c>
      <c r="B1" s="384"/>
      <c r="C1" s="384"/>
      <c r="D1" s="384"/>
      <c r="E1" s="384"/>
      <c r="F1" s="384"/>
      <c r="G1" s="384"/>
      <c r="H1" s="384"/>
      <c r="I1" s="384"/>
      <c r="J1" s="385"/>
    </row>
    <row r="2" spans="1:11" s="149" customFormat="1" ht="25.5" thickBot="1">
      <c r="A2" s="394" t="str">
        <f>IF('P2'!J5&gt;0,'P2'!J5,"")</f>
        <v>Larvik AK</v>
      </c>
      <c r="B2" s="394"/>
      <c r="C2" s="394"/>
      <c r="D2" s="394"/>
      <c r="E2" s="394" t="str">
        <f>IF('P2'!P5&gt;0,'P2'!P5,"")</f>
        <v>Stavernhallen</v>
      </c>
      <c r="F2" s="394"/>
      <c r="G2" s="389">
        <f>IF('P2'!U5&gt;0,'P2'!U5,"")</f>
        <v>43358</v>
      </c>
      <c r="H2" s="389"/>
      <c r="I2" s="389"/>
      <c r="J2" s="389"/>
    </row>
    <row r="3" spans="1:11" ht="21" customHeight="1" thickBot="1">
      <c r="A3" s="377" t="s">
        <v>264</v>
      </c>
      <c r="B3" s="378"/>
      <c r="C3" s="378"/>
      <c r="D3" s="378"/>
      <c r="E3" s="378"/>
      <c r="F3" s="378"/>
      <c r="G3" s="378"/>
      <c r="H3" s="378"/>
      <c r="I3" s="378"/>
      <c r="J3" s="379"/>
    </row>
    <row r="4" spans="1:11" s="73" customFormat="1" ht="12.6">
      <c r="A4" s="141" t="s">
        <v>265</v>
      </c>
      <c r="B4" s="148" t="s">
        <v>266</v>
      </c>
      <c r="C4" s="148" t="s">
        <v>72</v>
      </c>
      <c r="D4" s="141" t="s">
        <v>269</v>
      </c>
      <c r="E4" s="142" t="s">
        <v>15</v>
      </c>
      <c r="F4" s="142" t="s">
        <v>85</v>
      </c>
      <c r="G4" s="141" t="s">
        <v>17</v>
      </c>
      <c r="H4" s="141" t="s">
        <v>18</v>
      </c>
      <c r="I4" s="141" t="s">
        <v>277</v>
      </c>
      <c r="J4" s="141" t="s">
        <v>21</v>
      </c>
      <c r="K4" s="80"/>
    </row>
    <row r="5" spans="1:11" ht="14.1">
      <c r="A5" s="74">
        <v>1</v>
      </c>
      <c r="B5" s="144">
        <f>IF('P6'!A11="","",'P6'!A11)</f>
        <v>57.6</v>
      </c>
      <c r="C5" s="144" t="str">
        <f>IF('P6'!C11="","",'P6'!C11)</f>
        <v>SK</v>
      </c>
      <c r="D5" s="145">
        <f>IF('P6'!E11="","",'P6'!E11)</f>
        <v>33830</v>
      </c>
      <c r="E5" s="146" t="str">
        <f>IF('P6'!G11="","",'P6'!G11)</f>
        <v>Sol Anette Waaler</v>
      </c>
      <c r="F5" s="146" t="str">
        <f>IF('P6'!G12="","",'P6'!G12)</f>
        <v>Trondheim AK</v>
      </c>
      <c r="G5" s="147">
        <f>IF('P6'!N11="","",'P6'!N11)</f>
        <v>83</v>
      </c>
      <c r="H5" s="147">
        <f>IF('P6'!O11="","",'P6'!O11)</f>
        <v>100</v>
      </c>
      <c r="I5" s="147">
        <f>IF('P6'!P11="","",'P6'!P11)</f>
        <v>183</v>
      </c>
      <c r="J5" s="144">
        <f>IF('P6'!Q11="","",'P6'!Q11)</f>
        <v>253.93350503073123</v>
      </c>
      <c r="K5">
        <v>25</v>
      </c>
    </row>
    <row r="6" spans="1:11" ht="14.1">
      <c r="A6" s="74">
        <v>2</v>
      </c>
      <c r="B6" s="144">
        <f>IF('P6'!A9="","",'P6'!A9)</f>
        <v>52.66</v>
      </c>
      <c r="C6" s="144" t="str">
        <f>IF('P6'!C9="","",'P6'!C9)</f>
        <v>SK</v>
      </c>
      <c r="D6" s="145">
        <f>IF('P6'!E9="","",'P6'!E9)</f>
        <v>34413</v>
      </c>
      <c r="E6" s="146" t="str">
        <f>IF('P6'!G9="","",'P6'!G9)</f>
        <v>Sarah Hovden Øvsthus</v>
      </c>
      <c r="F6" s="146" t="str">
        <f>IF('P6'!G10="","",'P6'!G10)</f>
        <v>AK Bjørgvin</v>
      </c>
      <c r="G6" s="147">
        <f>IF('P6'!N9="","",'P6'!N9)</f>
        <v>73</v>
      </c>
      <c r="H6" s="147">
        <f>IF('P6'!O9="","",'P6'!O9)</f>
        <v>98</v>
      </c>
      <c r="I6" s="147">
        <f>IF('P6'!P9="","",'P6'!P9)</f>
        <v>171</v>
      </c>
      <c r="J6" s="144">
        <f>IF('P6'!Q9="","",'P6'!Q9)</f>
        <v>252.61307858806134</v>
      </c>
      <c r="K6">
        <v>23</v>
      </c>
    </row>
    <row r="7" spans="1:11" ht="14.1">
      <c r="A7" s="74">
        <v>3</v>
      </c>
      <c r="B7" s="144">
        <f>IF('P6'!A17="","",'P6'!A17)</f>
        <v>64.81</v>
      </c>
      <c r="C7" s="144" t="str">
        <f>IF('P6'!C17="","",'P6'!C17)</f>
        <v>SK</v>
      </c>
      <c r="D7" s="145">
        <f>IF('P6'!E17="","",'P6'!E17)</f>
        <v>33735</v>
      </c>
      <c r="E7" s="146" t="str">
        <f>IF('P6'!G17="","",'P6'!G17)</f>
        <v>Marit Årdalsbakke</v>
      </c>
      <c r="F7" s="146" t="str">
        <f>IF('P6'!G18="","",'P6'!G18)</f>
        <v>Tambarskjelvar IL</v>
      </c>
      <c r="G7" s="147">
        <f>IF('P6'!N17="","",'P6'!N17)</f>
        <v>87</v>
      </c>
      <c r="H7" s="147">
        <f>IF('P6'!O17="","",'P6'!O17)</f>
        <v>102</v>
      </c>
      <c r="I7" s="147">
        <f>IF('P6'!P17="","",'P6'!P17)</f>
        <v>189</v>
      </c>
      <c r="J7" s="144">
        <f>IF('P6'!Q17="","",'P6'!Q17)</f>
        <v>243.54831485617498</v>
      </c>
      <c r="K7">
        <v>21</v>
      </c>
    </row>
    <row r="8" spans="1:11" ht="14.1">
      <c r="A8" s="74">
        <v>4</v>
      </c>
      <c r="B8" s="144">
        <f>IF('P5'!A9="","",'P5'!A9)</f>
        <v>55.01</v>
      </c>
      <c r="C8" s="144" t="str">
        <f>IF('P5'!C9="","",'P5'!C9)</f>
        <v>SK</v>
      </c>
      <c r="D8" s="145" t="str">
        <f>IF('P5'!E9="","",'P5'!E9)</f>
        <v>12.09.96</v>
      </c>
      <c r="E8" s="146" t="str">
        <f>IF('P5'!G9="","",'P5'!G9)</f>
        <v>Rebekka Tao Jacobsen</v>
      </c>
      <c r="F8" s="146" t="str">
        <f>IF('P5'!G10="","",'P5'!G10)</f>
        <v>Larvik AK</v>
      </c>
      <c r="G8" s="147">
        <f>IF('P5'!N9="","",'P5'!N9)</f>
        <v>73</v>
      </c>
      <c r="H8" s="147">
        <f>IF('P5'!O9="","",'P5'!O9)</f>
        <v>95</v>
      </c>
      <c r="I8" s="147">
        <f>IF('P5'!P9="","",'P5'!P9)</f>
        <v>168</v>
      </c>
      <c r="J8" s="144">
        <f>IF('P5'!Q9="","",'P5'!Q9)</f>
        <v>240.56524997795771</v>
      </c>
      <c r="K8">
        <v>20</v>
      </c>
    </row>
    <row r="9" spans="1:11" ht="14.1">
      <c r="A9" s="74">
        <v>5</v>
      </c>
      <c r="B9" s="144">
        <f>IF('P6'!A15="","",'P6'!A15)</f>
        <v>64.42</v>
      </c>
      <c r="C9" s="144" t="str">
        <f>IF('P6'!C15="","",'P6'!C15)</f>
        <v>SK</v>
      </c>
      <c r="D9" s="145" t="str">
        <f>IF('P6'!E15="","",'P6'!E15)</f>
        <v>02.02.84</v>
      </c>
      <c r="E9" s="146" t="str">
        <f>IF('P6'!G15="","",'P6'!G15)</f>
        <v>Marie Mossige Grythe</v>
      </c>
      <c r="F9" s="146" t="str">
        <f>IF('P6'!G16="","",'P6'!G16)</f>
        <v>Spydeberg Atletene</v>
      </c>
      <c r="G9" s="147">
        <f>IF('P6'!N15="","",'P6'!N15)</f>
        <v>80</v>
      </c>
      <c r="H9" s="147">
        <f>IF('P6'!O15="","",'P6'!O15)</f>
        <v>100</v>
      </c>
      <c r="I9" s="147">
        <f>IF('P6'!P15="","",'P6'!P15)</f>
        <v>180</v>
      </c>
      <c r="J9" s="144">
        <f>IF('P6'!Q15="","",'P6'!Q15)</f>
        <v>232.77758540751529</v>
      </c>
      <c r="K9">
        <v>19</v>
      </c>
    </row>
    <row r="10" spans="1:11" ht="14.1">
      <c r="A10" s="74">
        <v>6</v>
      </c>
      <c r="B10" s="144">
        <f>IF('P5'!A19="","",'P5'!A19)</f>
        <v>63.33</v>
      </c>
      <c r="C10" s="144" t="str">
        <f>IF('P5'!C19="","",'P5'!C19)</f>
        <v>SK</v>
      </c>
      <c r="D10" s="145">
        <f>IF('P5'!E19="","",'P5'!E19)</f>
        <v>35431</v>
      </c>
      <c r="E10" s="296" t="str">
        <f>IF('P5'!G19="","",'P5'!G19)</f>
        <v>Emma Hald</v>
      </c>
      <c r="F10" s="146" t="str">
        <f>IF('P5'!G20="","",'P5'!G20)</f>
        <v>AK Bjørgvin</v>
      </c>
      <c r="G10" s="147">
        <f>IF('P5'!N19="","",'P5'!N19)</f>
        <v>76</v>
      </c>
      <c r="H10" s="147">
        <f>IF('P5'!O19="","",'P5'!O19)</f>
        <v>90</v>
      </c>
      <c r="I10" s="147">
        <f>IF('P5'!P19="","",'P5'!P19)</f>
        <v>166</v>
      </c>
      <c r="J10" s="144">
        <f>IF('P5'!Q19="","",'P5'!Q19)</f>
        <v>216.87231885953526</v>
      </c>
      <c r="K10">
        <v>18</v>
      </c>
    </row>
    <row r="11" spans="1:11" ht="14.1">
      <c r="A11" s="74">
        <v>7</v>
      </c>
      <c r="B11" s="144">
        <f>IF('P6'!A19="","",'P6'!A19)</f>
        <v>74.510000000000005</v>
      </c>
      <c r="C11" s="144" t="str">
        <f>IF('P6'!C19="","",'P6'!C19)</f>
        <v>SK</v>
      </c>
      <c r="D11" s="145" t="str">
        <f>IF('P6'!E19="","",'P6'!E19)</f>
        <v>14.11.85</v>
      </c>
      <c r="E11" s="146" t="str">
        <f>IF('P6'!G19="","",'P6'!G19)</f>
        <v>Marianne Hasfjord</v>
      </c>
      <c r="F11" s="146" t="str">
        <f>IF('P6'!G20="","",'P6'!G20)</f>
        <v>AK Bjørgvin</v>
      </c>
      <c r="G11" s="147">
        <f>IF('P6'!N19="","",'P6'!N19)</f>
        <v>77</v>
      </c>
      <c r="H11" s="147">
        <f>IF('P6'!O19="","",'P6'!O19)</f>
        <v>97</v>
      </c>
      <c r="I11" s="147">
        <f>IF('P6'!P19="","",'P6'!P19)</f>
        <v>174</v>
      </c>
      <c r="J11" s="144">
        <f>IF('P6'!Q19="","",'P6'!Q19)</f>
        <v>207.95169932839147</v>
      </c>
      <c r="K11">
        <v>17</v>
      </c>
    </row>
    <row r="12" spans="1:11" ht="14.1">
      <c r="A12" s="74">
        <v>8</v>
      </c>
      <c r="B12" s="144">
        <f>IF('P3'!A9="","",'P3'!A9)</f>
        <v>51.1</v>
      </c>
      <c r="C12" s="144" t="str">
        <f>IF('P3'!C9="","",'P3'!C9)</f>
        <v>JK</v>
      </c>
      <c r="D12" s="145">
        <f>IF('P3'!E9="","",'P3'!E9)</f>
        <v>36561</v>
      </c>
      <c r="E12" s="146" t="str">
        <f>IF('P3'!G9="","",'P3'!G9)</f>
        <v>Tiril Boge</v>
      </c>
      <c r="F12" s="146" t="str">
        <f>IF('P3'!G10="","",'P3'!G10)</f>
        <v>AK Bjørgvin</v>
      </c>
      <c r="G12" s="147">
        <f>IF('P3'!N9="","",'P3'!N9)</f>
        <v>61</v>
      </c>
      <c r="H12" s="147">
        <f>IF('P3'!O9="","",'P3'!O9)</f>
        <v>75</v>
      </c>
      <c r="I12" s="147">
        <f>IF('P3'!P9="","",'P3'!P9)</f>
        <v>136</v>
      </c>
      <c r="J12" s="144">
        <f>IF('P3'!Q9="","",'P3'!Q9)</f>
        <v>205.42333842851315</v>
      </c>
      <c r="K12">
        <v>16</v>
      </c>
    </row>
    <row r="13" spans="1:11" ht="14.1">
      <c r="A13" s="74">
        <v>9</v>
      </c>
      <c r="B13" s="144">
        <f>IF('P6'!A21="","",'P6'!A21)</f>
        <v>70.89</v>
      </c>
      <c r="C13" s="144" t="str">
        <f>IF('P6'!C21="","",'P6'!C21)</f>
        <v>JK</v>
      </c>
      <c r="D13" s="145">
        <f>IF('P6'!E21="","",'P6'!E21)</f>
        <v>36232</v>
      </c>
      <c r="E13" s="146" t="str">
        <f>IF('P6'!G21="","",'P6'!G21)</f>
        <v>Maren Fikse</v>
      </c>
      <c r="F13" s="146" t="str">
        <f>IF('P6'!G22="","",'P6'!G22)</f>
        <v>Gjøvik AK</v>
      </c>
      <c r="G13" s="147">
        <f>IF('P6'!N21="","",'P6'!N21)</f>
        <v>77</v>
      </c>
      <c r="H13" s="147">
        <f>IF('P6'!O21="","",'P6'!O21)</f>
        <v>90</v>
      </c>
      <c r="I13" s="147">
        <f>IF('P6'!P21="","",'P6'!P21)</f>
        <v>167</v>
      </c>
      <c r="J13" s="144">
        <f>IF('P6'!Q21="","",'P6'!Q21)</f>
        <v>204.7151805994188</v>
      </c>
      <c r="K13">
        <v>15</v>
      </c>
    </row>
    <row r="14" spans="1:11" ht="14.1">
      <c r="A14" s="74">
        <v>10</v>
      </c>
      <c r="B14" s="144">
        <f>IF('P4'!A9="","",'P4'!A9)</f>
        <v>52.74</v>
      </c>
      <c r="C14" s="144" t="str">
        <f>IF('P4'!C9="","",'P4'!C9)</f>
        <v>SK</v>
      </c>
      <c r="D14" s="145">
        <f>IF('P4'!E9="","",'P4'!E9)</f>
        <v>31750</v>
      </c>
      <c r="E14" s="146" t="str">
        <f>IF('P4'!G9="","",'P4'!G9)</f>
        <v>Vibeke Carlsen</v>
      </c>
      <c r="F14" s="146" t="str">
        <f>IF('P4'!G10="","",'P4'!G10)</f>
        <v>Tønsberg-Kam.</v>
      </c>
      <c r="G14" s="147">
        <f>IF('P4'!N9="","",'P4'!N9)</f>
        <v>60</v>
      </c>
      <c r="H14" s="147">
        <f>IF('P4'!O9="","",'P4'!O9)</f>
        <v>73</v>
      </c>
      <c r="I14" s="147">
        <f>IF('P4'!P9="","",'P4'!P9)</f>
        <v>133</v>
      </c>
      <c r="J14" s="144">
        <f>IF('P4'!Q9="","",'P4'!Q9)</f>
        <v>196.25975636282124</v>
      </c>
      <c r="K14">
        <v>14</v>
      </c>
    </row>
    <row r="15" spans="1:11" ht="14.1">
      <c r="A15" s="74">
        <v>11</v>
      </c>
      <c r="B15" s="144">
        <f>IF('P6'!A23="","",'P6'!A23)</f>
        <v>86.88</v>
      </c>
      <c r="C15" s="144" t="str">
        <f>IF('P6'!C23="","",'P6'!C23)</f>
        <v>SK</v>
      </c>
      <c r="D15" s="145" t="str">
        <f>IF('P6'!E23="","",'P6'!E23)</f>
        <v>10.11.92</v>
      </c>
      <c r="E15" s="146" t="str">
        <f>IF('P6'!G23="","",'P6'!G23)</f>
        <v>Lone Kalland</v>
      </c>
      <c r="F15" s="146" t="str">
        <f>IF('P6'!G24="","",'P6'!G24)</f>
        <v>Tambarskjelvar IL</v>
      </c>
      <c r="G15" s="147">
        <f>IF('P6'!N23="","",'P6'!N23)</f>
        <v>73</v>
      </c>
      <c r="H15" s="147">
        <f>IF('P6'!O23="","",'P6'!O23)</f>
        <v>102</v>
      </c>
      <c r="I15" s="147">
        <f>IF('P6'!P23="","",'P6'!P23)</f>
        <v>175</v>
      </c>
      <c r="J15" s="144">
        <f>IF('P6'!Q23="","",'P6'!Q23)</f>
        <v>195.47057406605495</v>
      </c>
      <c r="K15">
        <v>13</v>
      </c>
    </row>
    <row r="16" spans="1:11" ht="14.1">
      <c r="A16" s="74">
        <v>12</v>
      </c>
      <c r="B16" s="144">
        <f>IF('P5'!A17="","",'P5'!A17)</f>
        <v>67.98</v>
      </c>
      <c r="C16" s="144" t="str">
        <f>IF('P5'!C17="","",'P5'!C17)</f>
        <v>SK</v>
      </c>
      <c r="D16" s="145">
        <f>IF('P5'!E17="","",'P5'!E17)</f>
        <v>33491</v>
      </c>
      <c r="E16" s="146" t="str">
        <f>IF('P5'!G17="","",'P5'!G17)</f>
        <v>Iselin Hatlenes</v>
      </c>
      <c r="F16" s="146" t="str">
        <f>IF('P5'!G18="","",'P5'!G18)</f>
        <v>AK Bjørgvin</v>
      </c>
      <c r="G16" s="147">
        <f>IF('P5'!N17="","",'P5'!N17)</f>
        <v>67</v>
      </c>
      <c r="H16" s="147">
        <f>IF('P5'!O17="","",'P5'!O17)</f>
        <v>87</v>
      </c>
      <c r="I16" s="147">
        <f>IF('P5'!P17="","",'P5'!P17)</f>
        <v>154</v>
      </c>
      <c r="J16" s="144">
        <f>IF('P5'!Q17="","",'P5'!Q17)</f>
        <v>193.10669806501227</v>
      </c>
      <c r="K16">
        <v>12</v>
      </c>
    </row>
    <row r="17" spans="1:11" ht="14.1">
      <c r="A17" s="74">
        <v>13</v>
      </c>
      <c r="B17" s="144">
        <f>IF('P5'!A15="","",'P5'!A15)</f>
        <v>63.51</v>
      </c>
      <c r="C17" s="144" t="str">
        <f>IF('P5'!C15="","",'P5'!C15)</f>
        <v>SK</v>
      </c>
      <c r="D17" s="145">
        <f>IF('P5'!E15="","",'P5'!E15)</f>
        <v>35388</v>
      </c>
      <c r="E17" s="146" t="str">
        <f>IF('P5'!G15="","",'P5'!G15)</f>
        <v>Emmy Kristine L. Rustad</v>
      </c>
      <c r="F17" s="146" t="str">
        <f>IF('P5'!G16="","",'P5'!G16)</f>
        <v>Grenland AK</v>
      </c>
      <c r="G17" s="147">
        <f>IF('P5'!N15="","",'P5'!N15)</f>
        <v>66</v>
      </c>
      <c r="H17" s="147">
        <f>IF('P5'!O15="","",'P5'!O15)</f>
        <v>81</v>
      </c>
      <c r="I17" s="147">
        <f>IF('P5'!P15="","",'P5'!P15)</f>
        <v>147</v>
      </c>
      <c r="J17" s="144">
        <f>IF('P5'!Q15="","",'P5'!Q15)</f>
        <v>191.72160126104208</v>
      </c>
      <c r="K17">
        <v>11</v>
      </c>
    </row>
    <row r="18" spans="1:11" ht="14.1">
      <c r="A18" s="74">
        <v>14</v>
      </c>
      <c r="B18" s="144">
        <f>IF('P5'!A21="","",'P5'!A21)</f>
        <v>76.319999999999993</v>
      </c>
      <c r="C18" s="144" t="str">
        <f>IF('P5'!C21="","",'P5'!C21)</f>
        <v>SK</v>
      </c>
      <c r="D18" s="145">
        <f>IF('P5'!E21="","",'P5'!E21)</f>
        <v>31888</v>
      </c>
      <c r="E18" s="146" t="str">
        <f>IF('P5'!G21="","",'P5'!G21)</f>
        <v>Elisabeth Settem</v>
      </c>
      <c r="F18" s="146" t="str">
        <f>IF('P5'!G22="","",'P5'!G22)</f>
        <v>Trondheim AK</v>
      </c>
      <c r="G18" s="147">
        <f>IF('P5'!N21="","",'P5'!N21)</f>
        <v>70</v>
      </c>
      <c r="H18" s="147">
        <f>IF('P5'!O21="","",'P5'!O21)</f>
        <v>88</v>
      </c>
      <c r="I18" s="147">
        <f>IF('P5'!P21="","",'P5'!P21)</f>
        <v>158</v>
      </c>
      <c r="J18" s="144">
        <f>IF('P5'!Q21="","",'P5'!Q21)</f>
        <v>186.64705003366046</v>
      </c>
      <c r="K18">
        <v>10</v>
      </c>
    </row>
    <row r="19" spans="1:11" ht="14.1">
      <c r="A19" s="74">
        <v>15</v>
      </c>
      <c r="B19" s="144">
        <f>IF('P4'!A17="","",'P4'!A17)</f>
        <v>64.040000000000006</v>
      </c>
      <c r="C19" s="144" t="str">
        <f>IF('P4'!C17="","",'P4'!C17)</f>
        <v>SK</v>
      </c>
      <c r="D19" s="145">
        <f>IF('P4'!E17="","",'P4'!E17)</f>
        <v>33356</v>
      </c>
      <c r="E19" s="146" t="str">
        <f>IF('P4'!G17="","",'P4'!G17)</f>
        <v>Hanna Sletvold</v>
      </c>
      <c r="F19" s="146" t="str">
        <f>IF('P4'!G18="","",'P4'!G18)</f>
        <v>Nidelv IL</v>
      </c>
      <c r="G19" s="147">
        <f>IF('P4'!N17="","",'P4'!N17)</f>
        <v>63</v>
      </c>
      <c r="H19" s="147">
        <f>IF('P4'!O17="","",'P4'!O17)</f>
        <v>76</v>
      </c>
      <c r="I19" s="147">
        <f>IF('P4'!P17="","",'P4'!P17)</f>
        <v>139</v>
      </c>
      <c r="J19" s="144">
        <f>IF('P4'!Q17="","",'P4'!Q17)</f>
        <v>180.38841140572785</v>
      </c>
      <c r="K19">
        <v>9</v>
      </c>
    </row>
    <row r="20" spans="1:11" ht="14.1">
      <c r="A20" s="74">
        <v>16</v>
      </c>
      <c r="B20" s="144">
        <f>IF('P5'!A11="","",'P5'!A11)</f>
        <v>62.72</v>
      </c>
      <c r="C20" s="144" t="str">
        <f>IF('P5'!C11="","",'P5'!C11)</f>
        <v>SK</v>
      </c>
      <c r="D20" s="145">
        <f>IF('P5'!E11="","",'P5'!E11)</f>
        <v>33103</v>
      </c>
      <c r="E20" s="146" t="str">
        <f>IF('P5'!G11="","",'P5'!G11)</f>
        <v>Mari Myhrer</v>
      </c>
      <c r="F20" s="146" t="str">
        <f>IF('P5'!G12="","",'P5'!G12)</f>
        <v>Gjøvik AK</v>
      </c>
      <c r="G20" s="147">
        <f>IF('P5'!N11="","",'P5'!N11)</f>
        <v>59</v>
      </c>
      <c r="H20" s="147">
        <f>IF('P5'!O11="","",'P5'!O11)</f>
        <v>76</v>
      </c>
      <c r="I20" s="147">
        <f>IF('P5'!P11="","",'P5'!P11)</f>
        <v>135</v>
      </c>
      <c r="J20" s="144">
        <f>IF('P5'!Q11="","",'P5'!Q11)</f>
        <v>177.41042597219936</v>
      </c>
      <c r="K20">
        <v>8</v>
      </c>
    </row>
    <row r="21" spans="1:11" ht="14.1">
      <c r="A21" s="74">
        <v>17</v>
      </c>
      <c r="B21" s="144">
        <f>IF('P2'!A21="","",'P2'!A21)</f>
        <v>57.19</v>
      </c>
      <c r="C21" s="144" t="str">
        <f>IF('P2'!C21="","",'P2'!C21)</f>
        <v>UK</v>
      </c>
      <c r="D21" s="145">
        <f>IF('P2'!E21="","",'P2'!E21)</f>
        <v>37315</v>
      </c>
      <c r="E21" s="146" t="str">
        <f>IF('P2'!G21="","",'P2'!G21)</f>
        <v>Julia Jordanger Loen</v>
      </c>
      <c r="F21" s="146" t="str">
        <f>IF('P2'!G22="","",'P2'!G22)</f>
        <v>Breimsbygda IL</v>
      </c>
      <c r="G21" s="147">
        <f>IF('P2'!N21="","",'P2'!N21)</f>
        <v>54</v>
      </c>
      <c r="H21" s="147">
        <f>IF('P2'!O21="","",'P2'!O21)</f>
        <v>73</v>
      </c>
      <c r="I21" s="147">
        <f>IF('P2'!P21="","",'P2'!P21)</f>
        <v>127</v>
      </c>
      <c r="J21" s="144">
        <f>IF('P2'!Q21="","",'P2'!Q21)</f>
        <v>177.07275739282295</v>
      </c>
      <c r="K21">
        <v>7</v>
      </c>
    </row>
    <row r="22" spans="1:11" ht="14.1">
      <c r="A22" s="74">
        <v>18</v>
      </c>
      <c r="B22" s="144">
        <f>IF('P1'!B9="","",'P1'!B9)</f>
        <v>51.67</v>
      </c>
      <c r="C22" s="144" t="str">
        <f>IF('P1'!C9="","",'P1'!C9)</f>
        <v>SK</v>
      </c>
      <c r="D22" s="145">
        <f>IF('P1'!D9="","",'P1'!D9)</f>
        <v>31177</v>
      </c>
      <c r="E22" s="146" t="str">
        <f>IF('P1'!F9="","",'P1'!F9)</f>
        <v>Marie Haakstad</v>
      </c>
      <c r="F22" s="146" t="str">
        <f>IF('P1'!G9="","",'P1'!G9)</f>
        <v>Spydeberg Atletene</v>
      </c>
      <c r="G22" s="147">
        <f>IF('P1'!N9="","",'P1'!N9)</f>
        <v>51</v>
      </c>
      <c r="H22" s="147">
        <f>IF('P1'!O9="","",'P1'!O9)</f>
        <v>67</v>
      </c>
      <c r="I22" s="147">
        <f>IF('P1'!P9="","",'P1'!P9)</f>
        <v>118</v>
      </c>
      <c r="J22" s="144">
        <f>IF('P1'!Q9="","",'P1'!Q9)</f>
        <v>176.76718632155249</v>
      </c>
      <c r="K22">
        <v>6</v>
      </c>
    </row>
    <row r="23" spans="1:11" ht="14.1">
      <c r="A23" s="74">
        <v>19</v>
      </c>
      <c r="B23" s="144">
        <f>IF('P3'!A11="","",'P3'!A11)</f>
        <v>56.38</v>
      </c>
      <c r="C23" s="144" t="str">
        <f>IF('P3'!C11="","",'P3'!C11)</f>
        <v>UK</v>
      </c>
      <c r="D23" s="145">
        <f>IF('P3'!E11="","",'P3'!E11)</f>
        <v>36902</v>
      </c>
      <c r="E23" s="146" t="str">
        <f>IF('P3'!G11="","",'P3'!G11)</f>
        <v>Helene Skuggedal</v>
      </c>
      <c r="F23" s="146" t="str">
        <f>IF('P3'!G12="","",'P3'!G12)</f>
        <v>Larvik AK</v>
      </c>
      <c r="G23" s="147">
        <f>IF('P3'!N11="","",'P3'!N11)</f>
        <v>55</v>
      </c>
      <c r="H23" s="147">
        <f>IF('P3'!O11="","",'P3'!O11)</f>
        <v>70</v>
      </c>
      <c r="I23" s="147">
        <f>IF('P3'!P11="","",'P3'!P11)</f>
        <v>125</v>
      </c>
      <c r="J23" s="144">
        <f>IF('P3'!Q11="","",'P3'!Q11)</f>
        <v>175.97657470179655</v>
      </c>
      <c r="K23">
        <v>5</v>
      </c>
    </row>
    <row r="24" spans="1:11" ht="14.1">
      <c r="A24" s="74">
        <v>20</v>
      </c>
      <c r="B24" s="144">
        <f>IF('P4'!A19="","",'P4'!A19)</f>
        <v>66.78</v>
      </c>
      <c r="C24" s="144" t="str">
        <f>IF('P4'!C19="","",'P4'!C19)</f>
        <v>SK</v>
      </c>
      <c r="D24" s="145">
        <f>IF('P4'!E19="","",'P4'!E19)</f>
        <v>33506</v>
      </c>
      <c r="E24" s="146" t="str">
        <f>IF('P4'!G19="","",'P4'!G19)</f>
        <v>Julie Kristine Brotangen</v>
      </c>
      <c r="F24" s="146" t="str">
        <f>IF('P4'!G20="","",'P4'!G20)</f>
        <v>Gjøvik AK</v>
      </c>
      <c r="G24" s="147">
        <f>IF('P4'!N19="","",'P4'!N19)</f>
        <v>56</v>
      </c>
      <c r="H24" s="147">
        <f>IF('P4'!O19="","",'P4'!O19)</f>
        <v>81</v>
      </c>
      <c r="I24" s="147">
        <f>IF('P4'!P19="","",'P4'!P19)</f>
        <v>137</v>
      </c>
      <c r="J24" s="144">
        <f>IF('P4'!Q19="","",'P4'!Q19)</f>
        <v>173.51485157168381</v>
      </c>
      <c r="K24">
        <v>4</v>
      </c>
    </row>
    <row r="25" spans="1:11" ht="14.1">
      <c r="A25" s="74">
        <v>21</v>
      </c>
      <c r="B25" s="144">
        <f>IF('P3'!A13="","",'P3'!A13)</f>
        <v>60.39</v>
      </c>
      <c r="C25" s="144" t="str">
        <f>IF('P3'!C13="","",'P3'!C13)</f>
        <v>JK</v>
      </c>
      <c r="D25" s="145">
        <f>IF('P3'!E13="","",'P3'!E13)</f>
        <v>36794</v>
      </c>
      <c r="E25" s="146" t="str">
        <f>IF('P3'!G13="","",'P3'!G13)</f>
        <v>Ida Vaka</v>
      </c>
      <c r="F25" s="146" t="str">
        <f>IF('P3'!G14="","",'P3'!G14)</f>
        <v>Tysvær VK</v>
      </c>
      <c r="G25" s="147">
        <f>IF('P3'!N13="","",'P3'!N13)</f>
        <v>50</v>
      </c>
      <c r="H25" s="147">
        <f>IF('P3'!O13="","",'P3'!O13)</f>
        <v>63</v>
      </c>
      <c r="I25" s="147">
        <f>IF('P3'!P13="","",'P3'!P13)</f>
        <v>113</v>
      </c>
      <c r="J25" s="144">
        <f>IF('P3'!Q13="","",'P3'!Q13)</f>
        <v>152.04110851503359</v>
      </c>
      <c r="K25">
        <v>3</v>
      </c>
    </row>
    <row r="26" spans="1:11" ht="14.1">
      <c r="A26" s="74">
        <v>22</v>
      </c>
      <c r="B26" s="144">
        <f>IF('P2'!A11="","",'P2'!A11)</f>
        <v>50.38</v>
      </c>
      <c r="C26" s="144" t="str">
        <f>IF('P2'!C11="","",'P2'!C11)</f>
        <v>UK</v>
      </c>
      <c r="D26" s="145">
        <f>IF('P2'!E11="","",'P2'!E11)</f>
        <v>38084</v>
      </c>
      <c r="E26" s="146" t="str">
        <f>IF('P2'!G11="","",'P2'!G11)</f>
        <v>Ronja Lenvik</v>
      </c>
      <c r="F26" s="146" t="str">
        <f>IF('P2'!G12="","",'P2'!G12)</f>
        <v>Hitra VK</v>
      </c>
      <c r="G26" s="147">
        <f>IF('P2'!N11="","",'P2'!N11)</f>
        <v>47</v>
      </c>
      <c r="H26" s="147">
        <f>IF('P2'!O11="","",'P2'!O11)</f>
        <v>52</v>
      </c>
      <c r="I26" s="147">
        <f>IF('P2'!P11="","",'P2'!P11)</f>
        <v>99</v>
      </c>
      <c r="J26" s="144">
        <f>IF('P2'!Q11="","",'P2'!Q11)</f>
        <v>151.14475326073452</v>
      </c>
      <c r="K26">
        <v>2</v>
      </c>
    </row>
    <row r="27" spans="1:11" ht="14.1">
      <c r="A27" s="74">
        <v>23</v>
      </c>
      <c r="B27" s="144">
        <f>IF('P2'!A13="","",'P2'!A13)</f>
        <v>52.62</v>
      </c>
      <c r="C27" s="144" t="str">
        <f>IF('P2'!C13="","",'P2'!C13)</f>
        <v>UK</v>
      </c>
      <c r="D27" s="145">
        <f>IF('P2'!E13="","",'P2'!E13)</f>
        <v>38256</v>
      </c>
      <c r="E27" s="146" t="str">
        <f>IF('P2'!G13="","",'P2'!G13)</f>
        <v>Åse Johanne Berge</v>
      </c>
      <c r="F27" s="146" t="str">
        <f>IF('P2'!G14="","",'P2'!G14)</f>
        <v>Hitra VK</v>
      </c>
      <c r="G27" s="147">
        <f>IF('P2'!N13="","",'P2'!N13)</f>
        <v>44</v>
      </c>
      <c r="H27" s="147">
        <f>IF('P2'!O13="","",'P2'!O13)</f>
        <v>58</v>
      </c>
      <c r="I27" s="147">
        <f>IF('P2'!P13="","",'P2'!P13)</f>
        <v>102</v>
      </c>
      <c r="J27" s="144">
        <f>IF('P2'!Q13="","",'P2'!Q13)</f>
        <v>150.764980464611</v>
      </c>
      <c r="K27">
        <v>1</v>
      </c>
    </row>
    <row r="28" spans="1:11" ht="14.1">
      <c r="A28" s="74">
        <v>24</v>
      </c>
      <c r="B28" s="144">
        <f>IF('P4'!A11="","",'P4'!A11)</f>
        <v>56.15</v>
      </c>
      <c r="C28" s="144" t="str">
        <f>IF('P4'!C11="","",'P4'!C11)</f>
        <v>SK</v>
      </c>
      <c r="D28" s="145">
        <f>IF('P4'!E11="","",'P4'!E11)</f>
        <v>32644</v>
      </c>
      <c r="E28" s="146" t="str">
        <f>IF('P4'!G11="","",'P4'!G11)</f>
        <v>Linda Kolobekken</v>
      </c>
      <c r="F28" s="146" t="str">
        <f>IF('P4'!G12="","",'P4'!G12)</f>
        <v>Gjøvik AK</v>
      </c>
      <c r="G28" s="147">
        <f>IF('P4'!N11="","",'P4'!N11)</f>
        <v>45</v>
      </c>
      <c r="H28" s="147">
        <f>IF('P4'!O11="","",'P4'!O11)</f>
        <v>59</v>
      </c>
      <c r="I28" s="147">
        <f>IF('P4'!P11="","",'P4'!P11)</f>
        <v>104</v>
      </c>
      <c r="J28" s="144">
        <f>IF('P4'!Q11="","",'P4'!Q11)</f>
        <v>146.82227752814234</v>
      </c>
      <c r="K28">
        <v>1</v>
      </c>
    </row>
    <row r="29" spans="1:11" ht="14.1">
      <c r="A29" s="74">
        <v>25</v>
      </c>
      <c r="B29" s="144">
        <f>IF('P4'!A21="","",'P4'!A21)</f>
        <v>84.71</v>
      </c>
      <c r="C29" s="144" t="str">
        <f>IF('P4'!C21="","",'P4'!C21)</f>
        <v>SK</v>
      </c>
      <c r="D29" s="145" t="str">
        <f>IF('P4'!E21="","",'P4'!E21)</f>
        <v>21.01.96</v>
      </c>
      <c r="E29" s="146" t="str">
        <f>IF('P4'!G21="","",'P4'!G21)</f>
        <v>Anette Vårvik</v>
      </c>
      <c r="F29" s="146" t="str">
        <f>IF('P4'!G22="","",'P4'!G22)</f>
        <v>Tysvær VK</v>
      </c>
      <c r="G29" s="147">
        <f>IF('P4'!N21="","",'P4'!N21)</f>
        <v>58</v>
      </c>
      <c r="H29" s="147">
        <f>IF('P4'!O21="","",'P4'!O21)</f>
        <v>72</v>
      </c>
      <c r="I29" s="147">
        <f>IF('P4'!P21="","",'P4'!P21)</f>
        <v>130</v>
      </c>
      <c r="J29" s="144">
        <f>IF('P4'!Q21="","",'P4'!Q21)</f>
        <v>146.67084706173168</v>
      </c>
      <c r="K29">
        <v>1</v>
      </c>
    </row>
    <row r="30" spans="1:11" ht="14.1">
      <c r="A30" s="74">
        <v>26</v>
      </c>
      <c r="B30" s="144">
        <f>IF('P3'!A15="","",'P3'!A15)</f>
        <v>65.099999999999994</v>
      </c>
      <c r="C30" s="144" t="str">
        <f>IF('P3'!C15="","",'P3'!C15)</f>
        <v>JK</v>
      </c>
      <c r="D30" s="145">
        <f>IF('P3'!E15="","",'P3'!E15)</f>
        <v>36628</v>
      </c>
      <c r="E30" s="146" t="str">
        <f>IF('P3'!G15="","",'P3'!G15)</f>
        <v>Marthe Knutsen</v>
      </c>
      <c r="F30" s="146" t="str">
        <f>IF('P3'!G16="","",'P3'!G16)</f>
        <v>Tysvær VK</v>
      </c>
      <c r="G30" s="147">
        <f>IF('P3'!N15="","",'P3'!N15)</f>
        <v>48</v>
      </c>
      <c r="H30" s="147">
        <f>IF('P3'!O15="","",'P3'!O15)</f>
        <v>66</v>
      </c>
      <c r="I30" s="147">
        <f>IF('P3'!P15="","",'P3'!P15)</f>
        <v>114</v>
      </c>
      <c r="J30" s="144">
        <f>IF('P3'!Q15="","",'P3'!Q15)</f>
        <v>146.51835346091508</v>
      </c>
      <c r="K30">
        <v>1</v>
      </c>
    </row>
    <row r="31" spans="1:11" ht="14.1">
      <c r="A31" s="74">
        <v>27</v>
      </c>
      <c r="B31" s="144">
        <f>IF('P4'!A13="","",'P4'!A13)</f>
        <v>55.8</v>
      </c>
      <c r="C31" s="144" t="str">
        <f>IF('P4'!C13="","",'P4'!C13)</f>
        <v>SK</v>
      </c>
      <c r="D31" s="145">
        <f>IF('P4'!E13="","",'P4'!E13)</f>
        <v>34000</v>
      </c>
      <c r="E31" s="146" t="str">
        <f>IF('P4'!G13="","",'P4'!G13)</f>
        <v>Isabell Thorberg</v>
      </c>
      <c r="F31" s="146" t="str">
        <f>IF('P4'!G14="","",'P4'!G14)</f>
        <v>Tønsberg-Kam.</v>
      </c>
      <c r="G31" s="147">
        <f>IF('P4'!N13="","",'P4'!N13)</f>
        <v>45</v>
      </c>
      <c r="H31" s="147">
        <f>IF('P4'!O13="","",'P4'!O13)</f>
        <v>56</v>
      </c>
      <c r="I31" s="147">
        <f>IF('P4'!P13="","",'P4'!P13)</f>
        <v>101</v>
      </c>
      <c r="J31" s="144">
        <f>IF('P4'!Q13="","",'P4'!Q13)</f>
        <v>143.20103617715725</v>
      </c>
      <c r="K31">
        <v>1</v>
      </c>
    </row>
    <row r="32" spans="1:11" ht="14.1">
      <c r="A32" s="74">
        <v>28</v>
      </c>
      <c r="B32" s="144">
        <f>IF('P3'!A17="","",'P3'!A17)</f>
        <v>65.45</v>
      </c>
      <c r="C32" s="144" t="str">
        <f>IF('P3'!C17="","",'P3'!C17)</f>
        <v>UK</v>
      </c>
      <c r="D32" s="145">
        <f>IF('P3'!E17="","",'P3'!E17)</f>
        <v>36909</v>
      </c>
      <c r="E32" s="146" t="str">
        <f>IF('P3'!G17="","",'P3'!G17)</f>
        <v>Hannah Økland</v>
      </c>
      <c r="F32" s="146" t="str">
        <f>IF('P3'!G18="","",'P3'!G18)</f>
        <v>Trondheim AK</v>
      </c>
      <c r="G32" s="147">
        <f>IF('P3'!N17="","",'P3'!N17)</f>
        <v>47</v>
      </c>
      <c r="H32" s="147">
        <f>IF('P3'!O17="","",'P3'!O17)</f>
        <v>60</v>
      </c>
      <c r="I32" s="147">
        <f>IF('P3'!P17="","",'P3'!P17)</f>
        <v>107</v>
      </c>
      <c r="J32" s="144">
        <f>IF('P3'!Q17="","",'P3'!Q17)</f>
        <v>137.09267539335048</v>
      </c>
      <c r="K32">
        <v>1</v>
      </c>
    </row>
    <row r="33" spans="1:11" ht="14.1">
      <c r="A33" s="74">
        <v>29</v>
      </c>
      <c r="B33" s="144">
        <f>IF('P4'!A15="","",'P4'!A15)</f>
        <v>61.4</v>
      </c>
      <c r="C33" s="144" t="str">
        <f>IF('P4'!C15="","",'P4'!C15)</f>
        <v>SK</v>
      </c>
      <c r="D33" s="145" t="str">
        <f>IF('P4'!E15="","",'P4'!E15)</f>
        <v>13.05.94</v>
      </c>
      <c r="E33" s="146" t="str">
        <f>IF('P4'!G15="","",'P4'!G15)</f>
        <v>Ingvild Solberg Hansen</v>
      </c>
      <c r="F33" s="146" t="str">
        <f>IF('P4'!G16="","",'P4'!G16)</f>
        <v>T &amp; IL National</v>
      </c>
      <c r="G33" s="147">
        <f>IF('P4'!N15="","",'P4'!N15)</f>
        <v>45</v>
      </c>
      <c r="H33" s="147">
        <f>IF('P4'!O15="","",'P4'!O15)</f>
        <v>53</v>
      </c>
      <c r="I33" s="147">
        <f>IF('P4'!P15="","",'P4'!P15)</f>
        <v>98</v>
      </c>
      <c r="J33" s="144">
        <f>IF('P4'!Q15="","",'P4'!Q15)</f>
        <v>130.48820896838828</v>
      </c>
      <c r="K33">
        <v>1</v>
      </c>
    </row>
    <row r="34" spans="1:11" ht="14.1">
      <c r="A34" s="74">
        <v>30</v>
      </c>
      <c r="B34" s="144">
        <f>IF('P3'!A19="","",'P3'!A19)</f>
        <v>71.37</v>
      </c>
      <c r="C34" s="144" t="str">
        <f>IF('P3'!C19="","",'P3'!C19)</f>
        <v>UK</v>
      </c>
      <c r="D34" s="145">
        <f>IF('P3'!E19="","",'P3'!E19)</f>
        <v>37227</v>
      </c>
      <c r="E34" s="146" t="str">
        <f>IF('P3'!G19="","",'P3'!G19)</f>
        <v>Amalie Straume</v>
      </c>
      <c r="F34" s="146" t="str">
        <f>IF('P3'!G20="","",'P3'!G20)</f>
        <v>Trondheim AK</v>
      </c>
      <c r="G34" s="147">
        <f>IF('P3'!N19="","",'P3'!N19)</f>
        <v>47</v>
      </c>
      <c r="H34" s="147">
        <f>IF('P3'!O19="","",'P3'!O19)</f>
        <v>56</v>
      </c>
      <c r="I34" s="147">
        <f>IF('P3'!P19="","",'P3'!P19)</f>
        <v>103</v>
      </c>
      <c r="J34" s="144">
        <f>IF('P3'!Q19="","",'P3'!Q19)</f>
        <v>125.8156464151004</v>
      </c>
      <c r="K34">
        <v>1</v>
      </c>
    </row>
    <row r="35" spans="1:11" ht="14.1">
      <c r="A35" s="74">
        <v>31</v>
      </c>
      <c r="B35" s="144">
        <f>IF('P2'!A17="","",'P2'!A17)</f>
        <v>86.31</v>
      </c>
      <c r="C35" s="144" t="str">
        <f>IF('P2'!C17="","",'P2'!C17)</f>
        <v>UK</v>
      </c>
      <c r="D35" s="145">
        <f>IF('P2'!E17="","",'P2'!E17)</f>
        <v>38134</v>
      </c>
      <c r="E35" s="146" t="str">
        <f>IF('P2'!G17="","",'P2'!G17)</f>
        <v>Carmen Grimseth</v>
      </c>
      <c r="F35" s="146" t="str">
        <f>IF('P2'!G18="","",'P2'!G18)</f>
        <v>Tambarskjelvar IL</v>
      </c>
      <c r="G35" s="147">
        <f>IF('P2'!N17="","",'P2'!N17)</f>
        <v>48</v>
      </c>
      <c r="H35" s="147">
        <f>IF('P2'!O17="","",'P2'!O17)</f>
        <v>62</v>
      </c>
      <c r="I35" s="147">
        <f>IF('P2'!P17="","",'P2'!P17)</f>
        <v>110</v>
      </c>
      <c r="J35" s="144">
        <f>IF('P2'!Q17="","",'P2'!Q17)</f>
        <v>123.18325837836386</v>
      </c>
      <c r="K35">
        <v>1</v>
      </c>
    </row>
    <row r="36" spans="1:11" ht="14.1">
      <c r="A36" s="74">
        <v>32</v>
      </c>
      <c r="B36" s="144">
        <f>IF('P2'!A15="","",'P2'!A15)</f>
        <v>53.8</v>
      </c>
      <c r="C36" s="144" t="str">
        <f>IF('P2'!C15="","",'P2'!C15)</f>
        <v>UK</v>
      </c>
      <c r="D36" s="145">
        <f>IF('P2'!E15="","",'P2'!E15)</f>
        <v>38645</v>
      </c>
      <c r="E36" s="146" t="str">
        <f>IF('P2'!G15="","",'P2'!G15)</f>
        <v>Thea Andersen Larsen</v>
      </c>
      <c r="F36" s="146" t="str">
        <f>IF('P2'!G16="","",'P2'!G16)</f>
        <v>Larvik AK</v>
      </c>
      <c r="G36" s="147">
        <f>IF('P2'!N15="","",'P2'!N15)</f>
        <v>33</v>
      </c>
      <c r="H36" s="147">
        <f>IF('P2'!O15="","",'P2'!O15)</f>
        <v>41</v>
      </c>
      <c r="I36" s="147">
        <f>IF('P2'!P15="","",'P2'!P15)</f>
        <v>74</v>
      </c>
      <c r="J36" s="144">
        <f>IF('P2'!Q15="","",'P2'!Q15)</f>
        <v>107.64175295795756</v>
      </c>
      <c r="K36">
        <v>1</v>
      </c>
    </row>
    <row r="37" spans="1:11" ht="14.1">
      <c r="A37" s="74">
        <v>33</v>
      </c>
      <c r="B37" s="144">
        <f>IF('P2'!A27="","",'P2'!A27)</f>
        <v>86.73</v>
      </c>
      <c r="C37" s="144" t="str">
        <f>IF('P2'!C27="","",'P2'!C27)</f>
        <v>UK</v>
      </c>
      <c r="D37" s="145">
        <f>IF('P2'!E27="","",'P2'!E27)</f>
        <v>37272</v>
      </c>
      <c r="E37" s="146" t="str">
        <f>IF('P2'!G27="","",'P2'!G27)</f>
        <v>Erika Jellestad</v>
      </c>
      <c r="F37" s="146" t="str">
        <f>IF('P2'!G28="","",'P2'!G28)</f>
        <v>Vigrestad IK</v>
      </c>
      <c r="G37" s="147">
        <f>IF('P2'!N27="","",'P2'!N27)</f>
        <v>42</v>
      </c>
      <c r="H37" s="147">
        <f>IF('P2'!O27="","",'P2'!O27)</f>
        <v>50</v>
      </c>
      <c r="I37" s="147">
        <f>IF('P2'!P27="","",'P2'!P27)</f>
        <v>92</v>
      </c>
      <c r="J37" s="144">
        <f>IF('P2'!Q27="","",'P2'!Q27)</f>
        <v>102.83070461194735</v>
      </c>
      <c r="K37">
        <v>1</v>
      </c>
    </row>
    <row r="38" spans="1:11" ht="14.1">
      <c r="A38" s="74">
        <v>34</v>
      </c>
      <c r="B38" s="144">
        <f>IF('P2'!A23="","",'P2'!A23)</f>
        <v>60.07</v>
      </c>
      <c r="C38" s="144" t="str">
        <f>IF('P2'!C23="","",'P2'!C23)</f>
        <v>UK</v>
      </c>
      <c r="D38" s="145">
        <f>IF('P2'!E23="","",'P2'!E23)</f>
        <v>37547</v>
      </c>
      <c r="E38" s="146" t="str">
        <f>IF('P2'!G23="","",'P2'!G23)</f>
        <v>Iselin Mehl Brekkhus</v>
      </c>
      <c r="F38" s="146" t="str">
        <f>IF('P2'!G24="","",'P2'!G24)</f>
        <v>Vigrestad IK</v>
      </c>
      <c r="G38" s="147">
        <f>IF('P2'!N23="","",'P2'!N23)</f>
        <v>32</v>
      </c>
      <c r="H38" s="147">
        <f>IF('P2'!O23="","",'P2'!O23)</f>
        <v>42</v>
      </c>
      <c r="I38" s="147">
        <f>IF('P2'!P23="","",'P2'!P23)</f>
        <v>74</v>
      </c>
      <c r="J38" s="144">
        <f>IF('P2'!Q23="","",'P2'!Q23)</f>
        <v>99.904471960715782</v>
      </c>
      <c r="K38">
        <v>1</v>
      </c>
    </row>
    <row r="39" spans="1:11" ht="14.1">
      <c r="A39" s="74">
        <v>35</v>
      </c>
      <c r="B39" s="144">
        <f>IF('P1'!B10="","",'P1'!B10)</f>
        <v>85.43</v>
      </c>
      <c r="C39" s="144" t="str">
        <f>IF('P1'!C10="","",'P1'!C10)</f>
        <v>K4</v>
      </c>
      <c r="D39" s="145">
        <f>IF('P1'!D10="","",'P1'!D10)</f>
        <v>24436</v>
      </c>
      <c r="E39" s="146" t="str">
        <f>IF('P1'!F10="","",'P1'!F10)</f>
        <v>Eva Grøndahl Lundberg</v>
      </c>
      <c r="F39" s="146" t="str">
        <f>IF('P1'!G10="","",'P1'!G10)</f>
        <v>Spydeberg Atletene</v>
      </c>
      <c r="G39" s="147">
        <f>IF('P1'!N10="","",'P1'!N10)</f>
        <v>35</v>
      </c>
      <c r="H39" s="147">
        <f>IF('P1'!O10="","",'P1'!O10)</f>
        <v>43</v>
      </c>
      <c r="I39" s="147">
        <f>IF('P1'!P10="","",'P1'!P10)</f>
        <v>78</v>
      </c>
      <c r="J39" s="144">
        <f>IF('P1'!Q10="","",'P1'!Q10)</f>
        <v>87.703327705233065</v>
      </c>
      <c r="K39">
        <v>1</v>
      </c>
    </row>
    <row r="40" spans="1:11" ht="14.1">
      <c r="A40" s="74">
        <v>36</v>
      </c>
      <c r="B40" s="144">
        <f>IF('P2'!A19="","",'P2'!A19)</f>
        <v>51.66</v>
      </c>
      <c r="C40" s="144" t="str">
        <f>IF('P2'!C19="","",'P2'!C19)</f>
        <v>UK</v>
      </c>
      <c r="D40" s="145">
        <f>IF('P2'!E19="","",'P2'!E19)</f>
        <v>37977</v>
      </c>
      <c r="E40" s="146" t="str">
        <f>IF('P2'!G19="","",'P2'!G19)</f>
        <v>Louisa Hjelmås</v>
      </c>
      <c r="F40" s="146" t="str">
        <f>IF('P2'!G20="","",'P2'!G20)</f>
        <v>Gjøvik AK</v>
      </c>
      <c r="G40" s="147">
        <f>IF('P2'!N19="","",'P2'!N19)</f>
        <v>22</v>
      </c>
      <c r="H40" s="147">
        <f>IF('P2'!O19="","",'P2'!O19)</f>
        <v>24</v>
      </c>
      <c r="I40" s="147">
        <f>IF('P2'!P19="","",'P2'!P19)</f>
        <v>46</v>
      </c>
      <c r="J40" s="144">
        <f>IF('P2'!Q19="","",'P2'!Q19)</f>
        <v>68.91913590967448</v>
      </c>
      <c r="K40">
        <v>1</v>
      </c>
    </row>
    <row r="41" spans="1:11" ht="14.1">
      <c r="A41" s="74">
        <v>37</v>
      </c>
      <c r="B41" s="144">
        <f>IF('P2'!A9="","",'P2'!A9)</f>
        <v>47.7</v>
      </c>
      <c r="C41" s="144" t="str">
        <f>IF('P2'!C9="","",'P2'!C9)</f>
        <v>UK</v>
      </c>
      <c r="D41" s="145">
        <f>IF('P2'!E9="","",'P2'!E9)</f>
        <v>38239</v>
      </c>
      <c r="E41" s="146" t="str">
        <f>IF('P2'!G9="","",'P2'!G9)</f>
        <v>Iben Karete Karlsen</v>
      </c>
      <c r="F41" s="146" t="str">
        <f>IF('P2'!G10="","",'P2'!G10)</f>
        <v>Gjøvik AK</v>
      </c>
      <c r="G41" s="147">
        <f>IF('P2'!N9="","",'P2'!N9)</f>
        <v>18</v>
      </c>
      <c r="H41" s="147">
        <f>IF('P2'!O9="","",'P2'!O9)</f>
        <v>24</v>
      </c>
      <c r="I41" s="147">
        <f>IF('P2'!P9="","",'P2'!P9)</f>
        <v>42</v>
      </c>
      <c r="J41" s="144">
        <f>IF('P2'!Q9="","",'P2'!Q9)</f>
        <v>66.905885917746986</v>
      </c>
      <c r="K41">
        <v>1</v>
      </c>
    </row>
    <row r="42" spans="1:11" ht="14.1">
      <c r="A42" s="74"/>
      <c r="B42" s="144">
        <f>IF('P2'!A25="","",'P2'!A25)</f>
        <v>70.959999999999994</v>
      </c>
      <c r="C42" s="144" t="str">
        <f>IF('P2'!C25="","",'P2'!C25)</f>
        <v>UK</v>
      </c>
      <c r="D42" s="145">
        <f>IF('P2'!E25="","",'P2'!E25)</f>
        <v>37889</v>
      </c>
      <c r="E42" s="146" t="str">
        <f>IF('P2'!G25="","",'P2'!G25)</f>
        <v>Camilla Strand</v>
      </c>
      <c r="F42" s="146" t="str">
        <f>IF('P2'!G26="","",'P2'!G26)</f>
        <v>Larvik AK</v>
      </c>
      <c r="G42" s="147">
        <f>IF('P2'!N25="","",'P2'!N25)</f>
        <v>36</v>
      </c>
      <c r="H42" s="147" t="str">
        <f>IF('P2'!O25="","",'P2'!O25)</f>
        <v/>
      </c>
      <c r="I42" s="147" t="str">
        <f>IF('P2'!P25="","",'P2'!P25)</f>
        <v/>
      </c>
      <c r="J42" s="144" t="str">
        <f>IF('P2'!Q25="","",'P2'!Q25)</f>
        <v/>
      </c>
    </row>
    <row r="43" spans="1:11" ht="14.1">
      <c r="A43" s="74"/>
      <c r="B43" s="144">
        <f>IF('P5'!A13="","",'P5'!A13)</f>
        <v>58.79</v>
      </c>
      <c r="C43" s="144" t="str">
        <f>IF('P5'!C13="","",'P5'!C13)</f>
        <v>SK</v>
      </c>
      <c r="D43" s="145">
        <f>IF('P5'!E13="","",'P5'!E13)</f>
        <v>35232</v>
      </c>
      <c r="E43" s="146" t="str">
        <f>IF('P5'!G13="","",'P5'!G13)</f>
        <v>Kamilla Storstein Grønnestad</v>
      </c>
      <c r="F43" s="146" t="str">
        <f>IF('P5'!G14="","",'P5'!G14)</f>
        <v>Tysvær VK</v>
      </c>
      <c r="G43" s="147" t="str">
        <f>IF('P5'!N13="","",'P5'!N13)</f>
        <v/>
      </c>
      <c r="H43" s="147" t="str">
        <f>IF('P5'!O13="","",'P5'!O13)</f>
        <v/>
      </c>
      <c r="I43" s="147" t="str">
        <f>IF('P5'!P13="","",'P5'!P13)</f>
        <v/>
      </c>
      <c r="J43" s="144" t="str">
        <f>IF('P5'!Q13="","",'P5'!Q13)</f>
        <v/>
      </c>
    </row>
    <row r="44" spans="1:11" ht="14.1">
      <c r="A44" s="74"/>
      <c r="B44" s="144">
        <f>IF('P6'!A13="","",'P6'!A13)</f>
        <v>62.64</v>
      </c>
      <c r="C44" s="144" t="str">
        <f>IF('P6'!C13="","",'P6'!C13)</f>
        <v>SK</v>
      </c>
      <c r="D44" s="145">
        <f>IF('P6'!E13="","",'P6'!E13)</f>
        <v>32986</v>
      </c>
      <c r="E44" s="146" t="str">
        <f>IF('P6'!G13="","",'P6'!G13)</f>
        <v>Zekiye C. Nyland</v>
      </c>
      <c r="F44" s="146" t="str">
        <f>IF('P6'!G14="","",'P6'!G14)</f>
        <v>Tysvær VK</v>
      </c>
      <c r="G44" s="147">
        <f>IF('P6'!N13="","",'P6'!N13)</f>
        <v>85</v>
      </c>
      <c r="H44" s="147" t="str">
        <f>IF('P6'!O13="","",'P6'!O13)</f>
        <v/>
      </c>
      <c r="I44" s="147" t="str">
        <f>IF('P6'!P13="","",'P6'!P13)</f>
        <v/>
      </c>
      <c r="J44" s="144" t="str">
        <f>IF('P6'!Q13="","",'P6'!Q13)</f>
        <v/>
      </c>
    </row>
    <row r="45" spans="1:11" ht="14.45" thickBot="1">
      <c r="A45" s="74"/>
      <c r="B45" s="144" t="str">
        <f>IF('P2'!A31="","",'P2'!A31)</f>
        <v/>
      </c>
      <c r="C45" s="144" t="str">
        <f>IF('P2'!C31="","",'P2'!C31)</f>
        <v/>
      </c>
      <c r="D45" s="145" t="str">
        <f>IF('P2'!E31="","",'P2'!E31)</f>
        <v/>
      </c>
      <c r="E45" s="146" t="str">
        <f>IF('P2'!G31="","",'P2'!G31)</f>
        <v/>
      </c>
      <c r="F45" s="146" t="str">
        <f>IF('P2'!G32="","",'P2'!G32)</f>
        <v/>
      </c>
      <c r="G45" s="147" t="str">
        <f>IF('P2'!N31="","",'P2'!N31)</f>
        <v/>
      </c>
      <c r="H45" s="147" t="str">
        <f>IF('P2'!O31="","",'P2'!O31)</f>
        <v/>
      </c>
      <c r="I45" s="147" t="str">
        <f>IF('P2'!P31="","",'P2'!P31)</f>
        <v/>
      </c>
      <c r="J45" s="144" t="str">
        <f>IF('P2'!Q31="","",'P2'!Q31)</f>
        <v/>
      </c>
    </row>
    <row r="46" spans="1:11" ht="21" customHeight="1" thickBot="1">
      <c r="A46" s="391" t="s">
        <v>272</v>
      </c>
      <c r="B46" s="392"/>
      <c r="C46" s="392"/>
      <c r="D46" s="392"/>
      <c r="E46" s="392"/>
      <c r="F46" s="392"/>
      <c r="G46" s="392"/>
      <c r="H46" s="392"/>
      <c r="I46" s="392"/>
      <c r="J46" s="393"/>
    </row>
    <row r="47" spans="1:11" s="73" customFormat="1">
      <c r="A47" s="141" t="s">
        <v>265</v>
      </c>
      <c r="B47" s="148" t="s">
        <v>266</v>
      </c>
      <c r="C47" s="148" t="s">
        <v>72</v>
      </c>
      <c r="D47" s="141" t="s">
        <v>269</v>
      </c>
      <c r="E47" s="142" t="s">
        <v>15</v>
      </c>
      <c r="F47" s="142" t="s">
        <v>85</v>
      </c>
      <c r="G47" s="141" t="s">
        <v>17</v>
      </c>
      <c r="H47" s="141" t="s">
        <v>18</v>
      </c>
      <c r="I47" s="141" t="s">
        <v>277</v>
      </c>
      <c r="J47" s="141" t="s">
        <v>21</v>
      </c>
      <c r="K47"/>
    </row>
    <row r="48" spans="1:11" ht="14.1">
      <c r="A48" s="74">
        <v>1</v>
      </c>
      <c r="B48" s="144">
        <f>IF('P11'!A19="","",'P11'!A19)</f>
        <v>118.81</v>
      </c>
      <c r="C48" s="144" t="str">
        <f>IF('P11'!C19="","",'P11'!C19)</f>
        <v>SM</v>
      </c>
      <c r="D48" s="145">
        <f>IF('P11'!E19="","",'P11'!E19)</f>
        <v>32866</v>
      </c>
      <c r="E48" s="146" t="str">
        <f>IF('P11'!G19="","",'P11'!G19)</f>
        <v>Kim Eirik Tollefsen</v>
      </c>
      <c r="F48" s="146" t="str">
        <f>IF('P11'!G20="","",'P11'!G20)</f>
        <v>Tønsberg-Kam.</v>
      </c>
      <c r="G48" s="147">
        <f>IF('P11'!N19="","",'P11'!N19)</f>
        <v>160</v>
      </c>
      <c r="H48" s="147">
        <f>IF('P11'!O19="","",'P11'!O19)</f>
        <v>202</v>
      </c>
      <c r="I48" s="147">
        <f>IF('P11'!P19="","",'P11'!P19)</f>
        <v>362</v>
      </c>
      <c r="J48" s="144">
        <f>IF('P11'!Q19="","",'P11'!Q19)</f>
        <v>380.45022618034812</v>
      </c>
      <c r="K48">
        <v>25</v>
      </c>
    </row>
    <row r="49" spans="1:11" ht="14.1">
      <c r="A49" s="74">
        <v>2</v>
      </c>
      <c r="B49" s="144">
        <f>IF('P11'!A11="","",'P11'!A11)</f>
        <v>76.59</v>
      </c>
      <c r="C49" s="144" t="str">
        <f>IF('P11'!C11="","",'P11'!C11)</f>
        <v>SM</v>
      </c>
      <c r="D49" s="145" t="str">
        <f>IF('P11'!E11="","",'P11'!E11)</f>
        <v>05.01.95</v>
      </c>
      <c r="E49" s="146" t="str">
        <f>IF('P11'!G11="","",'P11'!G11)</f>
        <v>Roger B. Myrholt</v>
      </c>
      <c r="F49" s="146" t="str">
        <f>IF('P11'!G12="","",'P11'!G12)</f>
        <v>Tønsberg-Kam.</v>
      </c>
      <c r="G49" s="147">
        <f>IF('P11'!N11="","",'P11'!N11)</f>
        <v>133</v>
      </c>
      <c r="H49" s="147">
        <f>IF('P11'!O11="","",'P11'!O11)</f>
        <v>169</v>
      </c>
      <c r="I49" s="147">
        <f>IF('P11'!P11="","",'P11'!P11)</f>
        <v>302</v>
      </c>
      <c r="J49" s="144">
        <f>IF('P11'!Q11="","",'P11'!Q11)</f>
        <v>378.03031065519207</v>
      </c>
      <c r="K49">
        <v>23</v>
      </c>
    </row>
    <row r="50" spans="1:11" ht="14.1">
      <c r="A50" s="74">
        <v>3</v>
      </c>
      <c r="B50" s="144">
        <f>IF('P11'!A15="","",'P11'!A15)</f>
        <v>94.15</v>
      </c>
      <c r="C50" s="144" t="str">
        <f>IF('P11'!C15="","",'P11'!C15)</f>
        <v>SM</v>
      </c>
      <c r="D50" s="145">
        <f>IF('P11'!E15="","",'P11'!E15)</f>
        <v>32393</v>
      </c>
      <c r="E50" s="146" t="str">
        <f>IF('P11'!G15="","",'P11'!G15)</f>
        <v>Håvard Grostad</v>
      </c>
      <c r="F50" s="146" t="str">
        <f>IF('P11'!G16="","",'P11'!G16)</f>
        <v>Nidelv IL</v>
      </c>
      <c r="G50" s="147">
        <f>IF('P11'!N15="","",'P11'!N15)</f>
        <v>136</v>
      </c>
      <c r="H50" s="147">
        <f>IF('P11'!O15="","",'P11'!O15)</f>
        <v>164</v>
      </c>
      <c r="I50" s="147">
        <f>IF('P11'!P15="","",'P11'!P15)</f>
        <v>300</v>
      </c>
      <c r="J50" s="144">
        <f>IF('P11'!Q15="","",'P11'!Q15)</f>
        <v>340.51146479408908</v>
      </c>
      <c r="K50">
        <v>21</v>
      </c>
    </row>
    <row r="51" spans="1:11" ht="14.1">
      <c r="A51" s="74">
        <v>4</v>
      </c>
      <c r="B51" s="144">
        <f>IF('P11'!A9="","",'P11'!A9)</f>
        <v>84.98</v>
      </c>
      <c r="C51" s="144" t="str">
        <f>IF('P11'!C9="","",'P11'!C9)</f>
        <v>SM</v>
      </c>
      <c r="D51" s="145" t="str">
        <f>IF('P11'!E9="","",'P11'!E9)</f>
        <v>19.07.95</v>
      </c>
      <c r="E51" s="146" t="str">
        <f>IF('P11'!G9="","",'P11'!G9)</f>
        <v>Mats Olsen</v>
      </c>
      <c r="F51" s="146" t="str">
        <f>IF('P11'!G10="","",'P11'!G10)</f>
        <v>Tønsberg-Kam.</v>
      </c>
      <c r="G51" s="147">
        <f>IF('P11'!N9="","",'P11'!N9)</f>
        <v>121</v>
      </c>
      <c r="H51" s="147">
        <f>IF('P11'!O9="","",'P11'!O9)</f>
        <v>155</v>
      </c>
      <c r="I51" s="147">
        <f>IF('P11'!P9="","",'P11'!P9)</f>
        <v>276</v>
      </c>
      <c r="J51" s="144">
        <f>IF('P11'!Q9="","",'P11'!Q9)</f>
        <v>327.72641231114659</v>
      </c>
      <c r="K51">
        <v>20</v>
      </c>
    </row>
    <row r="52" spans="1:11" ht="14.1">
      <c r="A52" s="74">
        <v>5</v>
      </c>
      <c r="B52" s="144">
        <f>IF('P10'!A17="","",'P10'!A17)</f>
        <v>75.77</v>
      </c>
      <c r="C52" s="144" t="str">
        <f>IF('P10'!C17="","",'P10'!C17)</f>
        <v>SM</v>
      </c>
      <c r="D52" s="145" t="str">
        <f>IF('P10'!E17="","",'P10'!E17)</f>
        <v>02.09.94</v>
      </c>
      <c r="E52" s="146" t="str">
        <f>IF('P10'!G17="","",'P10'!G17)</f>
        <v>Jantsen Øverås</v>
      </c>
      <c r="F52" s="146" t="str">
        <f>IF('P10'!G18="","",'P10'!G18)</f>
        <v>Tambarskjelvar IL</v>
      </c>
      <c r="G52" s="147">
        <f>IF('P10'!N17="","",'P10'!N17)</f>
        <v>115</v>
      </c>
      <c r="H52" s="147">
        <f>IF('P10'!O17="","",'P10'!O17)</f>
        <v>136</v>
      </c>
      <c r="I52" s="147">
        <f>IF('P10'!P17="","",'P10'!P17)</f>
        <v>251</v>
      </c>
      <c r="J52" s="144">
        <f>IF('P10'!Q17="","",'P10'!Q17)</f>
        <v>316.03970025188613</v>
      </c>
      <c r="K52">
        <v>19</v>
      </c>
    </row>
    <row r="53" spans="1:11" ht="14.1">
      <c r="A53" s="74">
        <v>6</v>
      </c>
      <c r="B53" s="144">
        <f>IF('P11'!A13="","",'P11'!A13)</f>
        <v>89.13</v>
      </c>
      <c r="C53" s="144" t="str">
        <f>IF('P11'!C13="","",'P11'!C13)</f>
        <v>SM</v>
      </c>
      <c r="D53" s="145" t="str">
        <f>IF('P11'!E13="","",'P11'!E13)</f>
        <v>11.01.89</v>
      </c>
      <c r="E53" s="146" t="str">
        <f>IF('P11'!G13="","",'P11'!G13)</f>
        <v>Leik Simon Aas</v>
      </c>
      <c r="F53" s="146" t="str">
        <f>IF('P11'!G14="","",'P11'!G14)</f>
        <v>T &amp; IL National</v>
      </c>
      <c r="G53" s="147">
        <f>IF('P11'!N13="","",'P11'!N13)</f>
        <v>115</v>
      </c>
      <c r="H53" s="147">
        <f>IF('P11'!O13="","",'P11'!O13)</f>
        <v>150</v>
      </c>
      <c r="I53" s="147">
        <f>IF('P11'!P13="","",'P11'!P13)</f>
        <v>265</v>
      </c>
      <c r="J53" s="144">
        <f>IF('P11'!Q13="","",'P11'!Q13)</f>
        <v>307.86602231350213</v>
      </c>
      <c r="K53">
        <v>18</v>
      </c>
    </row>
    <row r="54" spans="1:11" ht="14.1">
      <c r="A54" s="74">
        <v>7</v>
      </c>
      <c r="B54" s="144">
        <f>IF('P10'!A15="","",'P10'!A15)</f>
        <v>87.16</v>
      </c>
      <c r="C54" s="144" t="str">
        <f>IF('P10'!C15="","",'P10'!C15)</f>
        <v>SM</v>
      </c>
      <c r="D54" s="145" t="str">
        <f>IF('P10'!E15="","",'P10'!E15)</f>
        <v>27.12.93</v>
      </c>
      <c r="E54" s="146" t="str">
        <f>IF('P10'!G15="","",'P10'!G15)</f>
        <v>Roy Sømme Ommedal</v>
      </c>
      <c r="F54" s="146" t="str">
        <f>IF('P10'!G16="","",'P10'!G16)</f>
        <v>Vigrestad IK</v>
      </c>
      <c r="G54" s="147">
        <f>IF('P10'!N15="","",'P10'!N15)</f>
        <v>109</v>
      </c>
      <c r="H54" s="147">
        <f>IF('P10'!O15="","",'P10'!O15)</f>
        <v>150</v>
      </c>
      <c r="I54" s="147">
        <f>IF('P10'!P15="","",'P10'!P15)</f>
        <v>259</v>
      </c>
      <c r="J54" s="144">
        <f>IF('P10'!Q15="","",'P10'!Q15)</f>
        <v>303.93606293968838</v>
      </c>
      <c r="K54">
        <v>17</v>
      </c>
    </row>
    <row r="55" spans="1:11" ht="14.1">
      <c r="A55" s="74">
        <v>8</v>
      </c>
      <c r="B55" s="144">
        <f>IF('P11'!A17="","",'P11'!A17)</f>
        <v>115.93</v>
      </c>
      <c r="C55" s="144" t="str">
        <f>IF('P11'!C17="","",'P11'!C17)</f>
        <v>SM</v>
      </c>
      <c r="D55" s="145" t="str">
        <f>IF('P11'!E17="","",'P11'!E17)</f>
        <v>17.11.91</v>
      </c>
      <c r="E55" s="146" t="str">
        <f>IF('P11'!G17="","",'P11'!G17)</f>
        <v>Tord Gravdal</v>
      </c>
      <c r="F55" s="146" t="str">
        <f>IF('P11'!G18="","",'P11'!G18)</f>
        <v>Vigrestad IK</v>
      </c>
      <c r="G55" s="147">
        <f>IF('P11'!N17="","",'P11'!N17)</f>
        <v>125</v>
      </c>
      <c r="H55" s="147">
        <f>IF('P11'!O17="","",'P11'!O17)</f>
        <v>156</v>
      </c>
      <c r="I55" s="147">
        <f>IF('P11'!P17="","",'P11'!P17)</f>
        <v>281</v>
      </c>
      <c r="J55" s="144">
        <f>IF('P11'!Q17="","",'P11'!Q17)</f>
        <v>297.23278402363962</v>
      </c>
      <c r="K55">
        <v>16</v>
      </c>
    </row>
    <row r="56" spans="1:11" ht="14.1">
      <c r="A56" s="74">
        <v>9</v>
      </c>
      <c r="B56" s="144">
        <f>IF('P10'!A21="","",'P10'!A21)</f>
        <v>100.86</v>
      </c>
      <c r="C56" s="144" t="str">
        <f>IF('P10'!C21="","",'P10'!C21)</f>
        <v>SM</v>
      </c>
      <c r="D56" s="145">
        <f>IF('P10'!E21="","",'P10'!E21)</f>
        <v>33892</v>
      </c>
      <c r="E56" s="146" t="str">
        <f>IF('P10'!G21="","",'P10'!G21)</f>
        <v>Jørgen Kjellevand</v>
      </c>
      <c r="F56" s="146" t="str">
        <f>IF('P10'!G22="","",'P10'!G22)</f>
        <v>Spydeberg Atletene</v>
      </c>
      <c r="G56" s="147">
        <f>IF('P10'!N21="","",'P10'!N21)</f>
        <v>115</v>
      </c>
      <c r="H56" s="147">
        <f>IF('P10'!O21="","",'P10'!O21)</f>
        <v>140</v>
      </c>
      <c r="I56" s="147">
        <f>IF('P10'!P21="","",'P10'!P21)</f>
        <v>255</v>
      </c>
      <c r="J56" s="144">
        <f>IF('P10'!Q21="","",'P10'!Q21)</f>
        <v>281.87792649744648</v>
      </c>
      <c r="K56">
        <v>15</v>
      </c>
    </row>
    <row r="57" spans="1:11" ht="14.1">
      <c r="A57" s="74">
        <v>10</v>
      </c>
      <c r="B57" s="144">
        <f>IF('P8'!A15="","",'P8'!A15)</f>
        <v>65.39</v>
      </c>
      <c r="C57" s="144" t="str">
        <f>IF('P8'!C15="","",'P8'!C15)</f>
        <v>JM</v>
      </c>
      <c r="D57" s="145">
        <f>IF('P8'!E15="","",'P8'!E15)</f>
        <v>36529</v>
      </c>
      <c r="E57" s="146" t="str">
        <f>IF('P8'!G15="","",'P8'!G15)</f>
        <v>Robert Andre Moldestad</v>
      </c>
      <c r="F57" s="146" t="str">
        <f>IF('P8'!G16="","",'P8'!G16)</f>
        <v>Breimsbygda IL</v>
      </c>
      <c r="G57" s="147">
        <f>IF('P8'!N15="","",'P8'!N15)</f>
        <v>88</v>
      </c>
      <c r="H57" s="147">
        <f>IF('P8'!O15="","",'P8'!O15)</f>
        <v>112</v>
      </c>
      <c r="I57" s="147">
        <f>IF('P8'!P15="","",'P8'!P15)</f>
        <v>200</v>
      </c>
      <c r="J57" s="144">
        <f>IF('P8'!Q15="","",'P8'!Q15)</f>
        <v>274.96689424237792</v>
      </c>
      <c r="K57">
        <v>14</v>
      </c>
    </row>
    <row r="58" spans="1:11" ht="14.1">
      <c r="A58" s="74">
        <v>11</v>
      </c>
      <c r="B58" s="144">
        <f>IF('P9'!A23="","",'P9'!A23)</f>
        <v>68.48</v>
      </c>
      <c r="C58" s="144" t="str">
        <f>IF('P9'!C23="","",'P9'!C23)</f>
        <v>SM</v>
      </c>
      <c r="D58" s="145" t="str">
        <f>IF('P9'!E23="","",'P9'!E23)</f>
        <v>09.11.96</v>
      </c>
      <c r="E58" s="146" t="str">
        <f>IF('P9'!G23="","",'P9'!G23)</f>
        <v>Runar Klungrvik</v>
      </c>
      <c r="F58" s="146" t="str">
        <f>IF('P9'!G24="","",'P9'!G24)</f>
        <v>Hitra VK</v>
      </c>
      <c r="G58" s="147">
        <f>IF('P9'!N23="","",'P9'!N23)</f>
        <v>95</v>
      </c>
      <c r="H58" s="147">
        <f>IF('P9'!O23="","",'P9'!O23)</f>
        <v>110</v>
      </c>
      <c r="I58" s="147">
        <f>IF('P9'!P23="","",'P9'!P23)</f>
        <v>205</v>
      </c>
      <c r="J58" s="144">
        <f>IF('P9'!Q23="","",'P9'!Q23)</f>
        <v>273.7637263744856</v>
      </c>
      <c r="K58">
        <v>13</v>
      </c>
    </row>
    <row r="59" spans="1:11" ht="14.1">
      <c r="A59" s="74">
        <v>12</v>
      </c>
      <c r="B59" s="144">
        <f>IF('P10'!A19="","",'P10'!A19)</f>
        <v>88.13</v>
      </c>
      <c r="C59" s="144" t="str">
        <f>IF('P10'!C19="","",'P10'!C19)</f>
        <v>SM</v>
      </c>
      <c r="D59" s="145">
        <f>IF('P10'!E19="","",'P10'!E19)</f>
        <v>35434</v>
      </c>
      <c r="E59" s="146" t="str">
        <f>IF('P10'!G19="","",'P10'!G19)</f>
        <v>Ole Magnus Strand</v>
      </c>
      <c r="F59" s="146" t="str">
        <f>IF('P10'!G20="","",'P10'!G20)</f>
        <v>Hitra VK</v>
      </c>
      <c r="G59" s="147">
        <f>IF('P10'!N19="","",'P10'!N19)</f>
        <v>103</v>
      </c>
      <c r="H59" s="147">
        <f>IF('P10'!O19="","",'P10'!O19)</f>
        <v>130</v>
      </c>
      <c r="I59" s="147">
        <f>IF('P10'!P19="","",'P10'!P19)</f>
        <v>233</v>
      </c>
      <c r="J59" s="144">
        <f>IF('P10'!Q19="","",'P10'!Q19)</f>
        <v>272.05608185873962</v>
      </c>
      <c r="K59">
        <v>12</v>
      </c>
    </row>
    <row r="60" spans="1:11" ht="14.1">
      <c r="A60" s="74">
        <v>13</v>
      </c>
      <c r="B60" s="144">
        <f>IF('P9'!A25="","",'P9'!A25)</f>
        <v>76.3</v>
      </c>
      <c r="C60" s="144" t="str">
        <f>IF('P9'!C25="","",'P9'!C25)</f>
        <v>SM</v>
      </c>
      <c r="D60" s="145">
        <f>IF('P9'!E25="","",'P9'!E25)</f>
        <v>33260</v>
      </c>
      <c r="E60" s="146" t="str">
        <f>IF('P9'!G25="","",'P9'!G25)</f>
        <v>Bjørn Emil Evensen</v>
      </c>
      <c r="F60" s="146" t="str">
        <f>IF('P9'!G26="","",'P9'!G26)</f>
        <v>Gjøvik AK</v>
      </c>
      <c r="G60" s="147">
        <f>IF('P9'!N25="","",'P9'!N25)</f>
        <v>95</v>
      </c>
      <c r="H60" s="147">
        <f>IF('P9'!O25="","",'P9'!O25)</f>
        <v>120</v>
      </c>
      <c r="I60" s="147">
        <f>IF('P9'!P25="","",'P9'!P25)</f>
        <v>215</v>
      </c>
      <c r="J60" s="144">
        <f>IF('P9'!Q25="","",'P9'!Q25)</f>
        <v>269.68231327313993</v>
      </c>
      <c r="K60">
        <v>11</v>
      </c>
    </row>
    <row r="61" spans="1:11" ht="14.1">
      <c r="A61" s="74">
        <v>14</v>
      </c>
      <c r="B61" s="144">
        <f>IF('P1'!B13="","",'P1'!B13)</f>
        <v>89.62</v>
      </c>
      <c r="C61" s="144" t="str">
        <f>IF('P1'!C13="","",'P1'!C13)</f>
        <v>SM</v>
      </c>
      <c r="D61" s="145">
        <f>IF('P1'!D13="","",'P1'!D13)</f>
        <v>32516</v>
      </c>
      <c r="E61" s="146" t="str">
        <f>IF('P1'!F13="","",'P1'!F13)</f>
        <v>Anders Albert</v>
      </c>
      <c r="F61" s="146" t="str">
        <f>IF('P1'!G13="","",'P1'!G13)</f>
        <v>Nidelv IL</v>
      </c>
      <c r="G61" s="147">
        <f>IF('P1'!N13="","",'P1'!N13)</f>
        <v>102</v>
      </c>
      <c r="H61" s="147">
        <f>IF('P1'!O13="","",'P1'!O13)</f>
        <v>130</v>
      </c>
      <c r="I61" s="147">
        <f>IF('P1'!P13="","",'P1'!P13)</f>
        <v>232</v>
      </c>
      <c r="J61" s="144">
        <f>IF('P1'!Q13="","",'P1'!Q13)</f>
        <v>268.87746085619568</v>
      </c>
      <c r="K61">
        <v>10</v>
      </c>
    </row>
    <row r="62" spans="1:11" ht="14.1">
      <c r="A62" s="74">
        <v>15</v>
      </c>
      <c r="B62" s="144">
        <f>IF('P10'!A11="","",'P10'!A11)</f>
        <v>90.96</v>
      </c>
      <c r="C62" s="144" t="str">
        <f>IF('P10'!C11="","",'P10'!C11)</f>
        <v>SM</v>
      </c>
      <c r="D62" s="145" t="str">
        <f>IF('P10'!E11="","",'P10'!E11)</f>
        <v>21.06.84</v>
      </c>
      <c r="E62" s="146" t="str">
        <f>IF('P10'!G11="","",'P10'!G11)</f>
        <v>Kenneth Friberg</v>
      </c>
      <c r="F62" s="146" t="str">
        <f>IF('P10'!G12="","",'P10'!G12)</f>
        <v>Oslo AK</v>
      </c>
      <c r="G62" s="147">
        <f>IF('P10'!N11="","",'P10'!N11)</f>
        <v>106</v>
      </c>
      <c r="H62" s="147">
        <f>IF('P10'!O11="","",'P10'!O11)</f>
        <v>127</v>
      </c>
      <c r="I62" s="147">
        <f>IF('P10'!P11="","",'P10'!P11)</f>
        <v>233</v>
      </c>
      <c r="J62" s="144">
        <f>IF('P10'!Q11="","",'P10'!Q11)</f>
        <v>268.30215750367012</v>
      </c>
      <c r="K62">
        <v>9</v>
      </c>
    </row>
    <row r="63" spans="1:11" ht="14.1">
      <c r="A63" s="74">
        <v>16</v>
      </c>
      <c r="B63" s="144">
        <f>IF('P9'!A9="","",'P9'!A9)</f>
        <v>69.099999999999994</v>
      </c>
      <c r="C63" s="144" t="str">
        <f>IF('P9'!C9="","",'P9'!C9)</f>
        <v>SM</v>
      </c>
      <c r="D63" s="145" t="str">
        <f>IF('P9'!E9="","",'P9'!E9)</f>
        <v>01.07.85</v>
      </c>
      <c r="E63" s="146" t="str">
        <f>IF('P9'!G9="","",'P9'!G9)</f>
        <v>Mauricio Kjeldner</v>
      </c>
      <c r="F63" s="146" t="str">
        <f>IF('P9'!G10="","",'P9'!G10)</f>
        <v>Spydeberg Atletene</v>
      </c>
      <c r="G63" s="147">
        <f>IF('P9'!N9="","",'P9'!N9)</f>
        <v>88</v>
      </c>
      <c r="H63" s="147">
        <f>IF('P9'!O9="","",'P9'!O9)</f>
        <v>114</v>
      </c>
      <c r="I63" s="147">
        <f>IF('P9'!P9="","",'P9'!P9)</f>
        <v>202</v>
      </c>
      <c r="J63" s="144">
        <f>IF('P9'!Q9="","",'P9'!Q9)</f>
        <v>268.27416743348266</v>
      </c>
      <c r="K63">
        <v>8</v>
      </c>
    </row>
    <row r="64" spans="1:11" ht="14.1">
      <c r="A64" s="74">
        <v>17</v>
      </c>
      <c r="B64" s="144">
        <f>IF('P1'!B12="","",'P1'!B12)</f>
        <v>74.48</v>
      </c>
      <c r="C64" s="144" t="str">
        <f>IF('P1'!C12="","",'P1'!C12)</f>
        <v>M4</v>
      </c>
      <c r="D64" s="145">
        <f>IF('P1'!D12="","",'P1'!D12)</f>
        <v>23444</v>
      </c>
      <c r="E64" s="146" t="str">
        <f>IF('P1'!F12="","",'P1'!F12)</f>
        <v>Atle Rønning Kauppinen</v>
      </c>
      <c r="F64" s="146" t="str">
        <f>IF('P1'!G12="","",'P1'!G12)</f>
        <v>Grenland AK</v>
      </c>
      <c r="G64" s="147">
        <f>IF('P1'!N12="","",'P1'!N12)</f>
        <v>91</v>
      </c>
      <c r="H64" s="147">
        <f>IF('P1'!O12="","",'P1'!O12)</f>
        <v>120</v>
      </c>
      <c r="I64" s="147">
        <f>IF('P1'!P12="","",'P1'!P12)</f>
        <v>211</v>
      </c>
      <c r="J64" s="144">
        <f>IF('P1'!Q12="","",'P1'!Q12)</f>
        <v>268.21532189710649</v>
      </c>
      <c r="K64">
        <v>7</v>
      </c>
    </row>
    <row r="65" spans="1:11" ht="14.1">
      <c r="A65" s="74">
        <v>18</v>
      </c>
      <c r="B65" s="144">
        <f>IF('P8'!A19="","",'P8'!A19)</f>
        <v>82.58</v>
      </c>
      <c r="C65" s="144" t="str">
        <f>IF('P8'!C19="","",'P8'!C19)</f>
        <v>UM</v>
      </c>
      <c r="D65" s="145">
        <f>IF('P8'!E19="","",'P8'!E19)</f>
        <v>36946</v>
      </c>
      <c r="E65" s="146" t="str">
        <f>IF('P8'!G19="","",'P8'!G19)</f>
        <v>Håkon Eik Litland</v>
      </c>
      <c r="F65" s="146" t="str">
        <f>IF('P8'!G20="","",'P8'!G20)</f>
        <v>AK Bjørgvin</v>
      </c>
      <c r="G65" s="147">
        <f>IF('P8'!N19="","",'P8'!N19)</f>
        <v>102</v>
      </c>
      <c r="H65" s="147">
        <f>IF('P8'!O19="","",'P8'!O19)</f>
        <v>118</v>
      </c>
      <c r="I65" s="147">
        <f>IF('P8'!P19="","",'P8'!P19)</f>
        <v>220</v>
      </c>
      <c r="J65" s="144">
        <f>IF('P8'!Q19="","",'P8'!Q19)</f>
        <v>264.87141504367173</v>
      </c>
      <c r="K65">
        <v>6</v>
      </c>
    </row>
    <row r="66" spans="1:11" ht="14.1">
      <c r="A66" s="74">
        <v>19</v>
      </c>
      <c r="B66" s="144">
        <f>IF('P1'!B15="","",'P1'!B15)</f>
        <v>98.94</v>
      </c>
      <c r="C66" s="144" t="str">
        <f>IF('P1'!C15="","",'P1'!C15)</f>
        <v>M4</v>
      </c>
      <c r="D66" s="145">
        <f>IF('P1'!D15="","",'P1'!D15)</f>
        <v>24011</v>
      </c>
      <c r="E66" s="146" t="str">
        <f>IF('P1'!F15="","",'P1'!F15)</f>
        <v>Alexander Bahmanyar</v>
      </c>
      <c r="F66" s="146" t="str">
        <f>IF('P1'!G15="","",'P1'!G15)</f>
        <v>Spydeberg Atletene</v>
      </c>
      <c r="G66" s="147">
        <f>IF('P1'!N15="","",'P1'!N15)</f>
        <v>100</v>
      </c>
      <c r="H66" s="147">
        <f>IF('P1'!O15="","",'P1'!O15)</f>
        <v>135</v>
      </c>
      <c r="I66" s="147">
        <f>IF('P1'!P15="","",'P1'!P15)</f>
        <v>235</v>
      </c>
      <c r="J66" s="144">
        <f>IF('P1'!Q15="","",'P1'!Q15)</f>
        <v>261.61408931665522</v>
      </c>
      <c r="K66">
        <v>5</v>
      </c>
    </row>
    <row r="67" spans="1:11" ht="14.1">
      <c r="A67" s="74">
        <v>20</v>
      </c>
      <c r="B67" s="144">
        <f>IF('P8'!A13="","",'P8'!A13)</f>
        <v>69.23</v>
      </c>
      <c r="C67" s="144" t="str">
        <f>IF('P8'!C13="","",'P8'!C13)</f>
        <v>UM</v>
      </c>
      <c r="D67" s="145" t="str">
        <f>IF('P8'!E13="","",'P8'!E13)</f>
        <v>25.11.01</v>
      </c>
      <c r="E67" s="146" t="str">
        <f>IF('P8'!G13="","",'P8'!G13)</f>
        <v>Aron Süssmann</v>
      </c>
      <c r="F67" s="146" t="str">
        <f>IF('P8'!G14="","",'P8'!G14)</f>
        <v>Stavanger VK</v>
      </c>
      <c r="G67" s="147">
        <f>IF('P8'!N13="","",'P8'!N13)</f>
        <v>91</v>
      </c>
      <c r="H67" s="147">
        <f>IF('P8'!O13="","",'P8'!O13)</f>
        <v>105</v>
      </c>
      <c r="I67" s="147">
        <f>IF('P8'!P13="","",'P8'!P13)</f>
        <v>196</v>
      </c>
      <c r="J67" s="144">
        <f>IF('P8'!Q13="","",'P8'!Q13)</f>
        <v>260.0082344869511</v>
      </c>
      <c r="K67">
        <v>4</v>
      </c>
    </row>
    <row r="68" spans="1:11" ht="14.1">
      <c r="A68" s="74">
        <v>21</v>
      </c>
      <c r="B68" s="144">
        <f>IF('P10'!A13="","",'P10'!A13)</f>
        <v>104.46</v>
      </c>
      <c r="C68" s="144" t="str">
        <f>IF('P10'!C13="","",'P10'!C13)</f>
        <v>SM</v>
      </c>
      <c r="D68" s="145" t="str">
        <f>IF('P10'!E13="","",'P10'!E13)</f>
        <v>06.06.87</v>
      </c>
      <c r="E68" s="146" t="str">
        <f>IF('P10'!G13="","",'P10'!G13)</f>
        <v>John Anders Terland</v>
      </c>
      <c r="F68" s="146" t="str">
        <f>IF('P10'!G14="","",'P10'!G14)</f>
        <v>T &amp; IL National</v>
      </c>
      <c r="G68" s="147">
        <f>IF('P10'!N13="","",'P10'!N13)</f>
        <v>105</v>
      </c>
      <c r="H68" s="147">
        <f>IF('P10'!O13="","",'P10'!O13)</f>
        <v>130</v>
      </c>
      <c r="I68" s="147">
        <f>IF('P10'!P13="","",'P10'!P13)</f>
        <v>235</v>
      </c>
      <c r="J68" s="144">
        <f>IF('P10'!Q13="","",'P10'!Q13)</f>
        <v>256.59757684691277</v>
      </c>
      <c r="K68">
        <v>3</v>
      </c>
    </row>
    <row r="69" spans="1:11" ht="14.1">
      <c r="A69" s="74">
        <v>22</v>
      </c>
      <c r="B69" s="144">
        <f>IF('P9'!A11="","",'P9'!A11)</f>
        <v>73.78</v>
      </c>
      <c r="C69" s="144" t="str">
        <f>IF('P9'!C11="","",'P9'!C11)</f>
        <v>SM</v>
      </c>
      <c r="D69" s="145" t="str">
        <f>IF('P9'!E11="","",'P9'!E11)</f>
        <v>03.09.91</v>
      </c>
      <c r="E69" s="146" t="str">
        <f>IF('P9'!G11="","",'P9'!G11)</f>
        <v>Trygve Stenrud Nilsen</v>
      </c>
      <c r="F69" s="146" t="str">
        <f>IF('P9'!G12="","",'P9'!G12)</f>
        <v>Oslo AK</v>
      </c>
      <c r="G69" s="147">
        <f>IF('P9'!N11="","",'P9'!N11)</f>
        <v>85</v>
      </c>
      <c r="H69" s="147">
        <f>IF('P9'!O11="","",'P9'!O11)</f>
        <v>110</v>
      </c>
      <c r="I69" s="147">
        <f>IF('P9'!P11="","",'P9'!P11)</f>
        <v>195</v>
      </c>
      <c r="J69" s="144">
        <f>IF('P9'!Q11="","",'P9'!Q11)</f>
        <v>249.19784061305506</v>
      </c>
      <c r="K69">
        <v>2</v>
      </c>
    </row>
    <row r="70" spans="1:11" ht="14.1">
      <c r="A70" s="74">
        <v>23</v>
      </c>
      <c r="B70" s="144">
        <f>IF('P7'!A23="","",'P7'!A23)</f>
        <v>85.24</v>
      </c>
      <c r="C70" s="144" t="str">
        <f>IF('P7'!C23="","",'P7'!C23)</f>
        <v>UM</v>
      </c>
      <c r="D70" s="145">
        <f>IF('P7'!E23="","",'P7'!E23)</f>
        <v>37288</v>
      </c>
      <c r="E70" s="146" t="str">
        <f>IF('P7'!G23="","",'P7'!G23)</f>
        <v>Dennis Lauritsen</v>
      </c>
      <c r="F70" s="146" t="str">
        <f>IF('P7'!G24="","",'P7'!G24)</f>
        <v>Larvik AK</v>
      </c>
      <c r="G70" s="147">
        <f>IF('P7'!N23="","",'P7'!N23)</f>
        <v>95</v>
      </c>
      <c r="H70" s="147">
        <f>IF('P7'!O23="","",'P7'!O23)</f>
        <v>112</v>
      </c>
      <c r="I70" s="147">
        <f>IF('P7'!P23="","",'P7'!P23)</f>
        <v>207</v>
      </c>
      <c r="J70" s="144">
        <f>IF('P7'!Q23="","",'P7'!Q23)</f>
        <v>245.44012980343405</v>
      </c>
      <c r="K70">
        <v>1</v>
      </c>
    </row>
    <row r="71" spans="1:11" ht="14.1">
      <c r="A71" s="74">
        <v>24</v>
      </c>
      <c r="B71" s="144">
        <f>IF('P9'!A27="","",'P9'!A27)</f>
        <v>88.42</v>
      </c>
      <c r="C71" s="144" t="str">
        <f>IF('P9'!C27="","",'P9'!C27)</f>
        <v>JM</v>
      </c>
      <c r="D71" s="145" t="str">
        <f>IF('P9'!E27="","",'P9'!E27)</f>
        <v>12.09.99</v>
      </c>
      <c r="E71" s="146" t="str">
        <f>IF('P9'!G27="","",'P9'!G27)</f>
        <v>Vetle Andersen</v>
      </c>
      <c r="F71" s="146" t="str">
        <f>IF('P9'!G28="","",'P9'!G28)</f>
        <v>Larvik AK</v>
      </c>
      <c r="G71" s="147">
        <f>IF('P9'!N27="","",'P9'!N27)</f>
        <v>90</v>
      </c>
      <c r="H71" s="147">
        <f>IF('P9'!O27="","",'P9'!O27)</f>
        <v>114</v>
      </c>
      <c r="I71" s="147">
        <f>IF('P9'!P27="","",'P9'!P27)</f>
        <v>204</v>
      </c>
      <c r="J71" s="144">
        <f>IF('P9'!Q27="","",'P9'!Q27)</f>
        <v>237.84405034369772</v>
      </c>
      <c r="K71">
        <v>1</v>
      </c>
    </row>
    <row r="72" spans="1:11" ht="14.1">
      <c r="A72" s="74">
        <v>25</v>
      </c>
      <c r="B72" s="144">
        <f>IF('P9'!A17="","",'P9'!A17)</f>
        <v>80.56</v>
      </c>
      <c r="C72" s="144" t="str">
        <f>IF('P9'!C17="","",'P9'!C17)</f>
        <v>SM</v>
      </c>
      <c r="D72" s="145">
        <f>IF('P9'!E17="","",'P9'!E17)</f>
        <v>35261</v>
      </c>
      <c r="E72" s="146" t="str">
        <f>IF('P9'!G17="","",'P9'!G17)</f>
        <v>Bjarne Bergheim</v>
      </c>
      <c r="F72" s="146" t="str">
        <f>IF('P9'!G18="","",'P9'!G18)</f>
        <v>Breimsbygda IL</v>
      </c>
      <c r="G72" s="147">
        <f>IF('P9'!N17="","",'P9'!N17)</f>
        <v>83</v>
      </c>
      <c r="H72" s="147">
        <f>IF('P9'!O17="","",'P9'!O17)</f>
        <v>111</v>
      </c>
      <c r="I72" s="147">
        <f>IF('P9'!P17="","",'P9'!P17)</f>
        <v>194</v>
      </c>
      <c r="J72" s="144">
        <f>IF('P9'!Q17="","",'P9'!Q17)</f>
        <v>236.48149758762926</v>
      </c>
      <c r="K72">
        <v>1</v>
      </c>
    </row>
    <row r="73" spans="1:11" ht="14.1">
      <c r="A73" s="74">
        <v>26</v>
      </c>
      <c r="B73" s="144">
        <f>IF('P9'!A19="","",'P9'!A19)</f>
        <v>91.55</v>
      </c>
      <c r="C73" s="144" t="str">
        <f>IF('P9'!C19="","",'P9'!C19)</f>
        <v>SM</v>
      </c>
      <c r="D73" s="145">
        <f>IF('P9'!E19="","",'P9'!E19)</f>
        <v>32027</v>
      </c>
      <c r="E73" s="146" t="str">
        <f>IF('P9'!G19="","",'P9'!G19)</f>
        <v>Åsmund Rykhus</v>
      </c>
      <c r="F73" s="146" t="str">
        <f>IF('P9'!G20="","",'P9'!G20)</f>
        <v>Gjøvik AK</v>
      </c>
      <c r="G73" s="147">
        <f>IF('P9'!N19="","",'P9'!N19)</f>
        <v>91</v>
      </c>
      <c r="H73" s="147">
        <f>IF('P9'!O19="","",'P9'!O19)</f>
        <v>114</v>
      </c>
      <c r="I73" s="147">
        <f>IF('P9'!P19="","",'P9'!P19)</f>
        <v>205</v>
      </c>
      <c r="J73" s="144">
        <f>IF('P9'!Q19="","",'P9'!Q19)</f>
        <v>235.40878144087392</v>
      </c>
      <c r="K73">
        <v>1</v>
      </c>
    </row>
    <row r="74" spans="1:11" ht="14.1">
      <c r="A74" s="74">
        <v>27</v>
      </c>
      <c r="B74" s="144">
        <f>IF('P9'!A15="","",'P9'!A15)</f>
        <v>82.59</v>
      </c>
      <c r="C74" s="144" t="str">
        <f>IF('P9'!C15="","",'P9'!C15)</f>
        <v>SM</v>
      </c>
      <c r="D74" s="145" t="str">
        <f>IF('P9'!E15="","",'P9'!E15)</f>
        <v>12.05.92</v>
      </c>
      <c r="E74" s="146" t="str">
        <f>IF('P9'!G15="","",'P9'!G15)</f>
        <v>Johnny Stokke</v>
      </c>
      <c r="F74" s="146" t="str">
        <f>IF('P9'!G16="","",'P9'!G16)</f>
        <v>Lørenskog AK</v>
      </c>
      <c r="G74" s="147">
        <f>IF('P9'!N15="","",'P9'!N15)</f>
        <v>88</v>
      </c>
      <c r="H74" s="147">
        <f>IF('P9'!O15="","",'P9'!O15)</f>
        <v>105</v>
      </c>
      <c r="I74" s="147">
        <f>IF('P9'!P15="","",'P9'!P15)</f>
        <v>193</v>
      </c>
      <c r="J74" s="144">
        <f>IF('P9'!Q15="","",'P9'!Q15)</f>
        <v>232.35061562367059</v>
      </c>
      <c r="K74">
        <v>1</v>
      </c>
    </row>
    <row r="75" spans="1:11" ht="14.1">
      <c r="A75" s="74">
        <v>28</v>
      </c>
      <c r="B75" s="144">
        <f>IF('P8'!A9="","",'P8'!A9)</f>
        <v>74.260000000000005</v>
      </c>
      <c r="C75" s="144" t="str">
        <f>IF('P8'!C9="","",'P8'!C9)</f>
        <v>JM</v>
      </c>
      <c r="D75" s="145">
        <f>IF('P8'!E9="","",'P8'!E9)</f>
        <v>37160</v>
      </c>
      <c r="E75" s="146" t="str">
        <f>IF('P8'!G9="","",'P8'!G9)</f>
        <v>Remy Aune</v>
      </c>
      <c r="F75" s="146" t="str">
        <f>IF('P8'!G10="","",'P8'!G10)</f>
        <v>Hitra VK</v>
      </c>
      <c r="G75" s="147">
        <f>IF('P8'!N9="","",'P8'!N9)</f>
        <v>77</v>
      </c>
      <c r="H75" s="147">
        <f>IF('P8'!O9="","",'P8'!O9)</f>
        <v>100</v>
      </c>
      <c r="I75" s="147">
        <f>IF('P8'!P9="","",'P8'!P9)</f>
        <v>177</v>
      </c>
      <c r="J75" s="144">
        <f>IF('P8'!Q9="","",'P8'!Q9)</f>
        <v>225.36935784776455</v>
      </c>
      <c r="K75">
        <v>1</v>
      </c>
    </row>
    <row r="76" spans="1:11" ht="14.1">
      <c r="A76" s="74">
        <v>29</v>
      </c>
      <c r="B76" s="144">
        <f>IF('P10'!A9="","",'P10'!A9)</f>
        <v>96.27</v>
      </c>
      <c r="C76" s="144" t="str">
        <f>IF('P10'!C9="","",'P10'!C9)</f>
        <v>JM</v>
      </c>
      <c r="D76" s="145">
        <f>IF('P10'!E9="","",'P10'!E9)</f>
        <v>36029</v>
      </c>
      <c r="E76" s="146" t="str">
        <f>IF('P10'!G9="","",'P10'!G9)</f>
        <v>Ole-Kristoffer Sørland</v>
      </c>
      <c r="F76" s="146" t="str">
        <f>IF('P10'!G10="","",'P10'!G10)</f>
        <v>Breimsbygda IL</v>
      </c>
      <c r="G76" s="147">
        <f>IF('P10'!N9="","",'P10'!N9)</f>
        <v>90</v>
      </c>
      <c r="H76" s="147">
        <f>IF('P10'!O9="","",'P10'!O9)</f>
        <v>105</v>
      </c>
      <c r="I76" s="147">
        <f>IF('P10'!P9="","",'P10'!P9)</f>
        <v>195</v>
      </c>
      <c r="J76" s="144">
        <f>IF('P10'!Q9="","",'P10'!Q9)</f>
        <v>219.37226416968247</v>
      </c>
      <c r="K76">
        <v>1</v>
      </c>
    </row>
    <row r="77" spans="1:11" ht="14.1">
      <c r="A77" s="74">
        <v>30</v>
      </c>
      <c r="B77" s="144">
        <f>IF('P8'!A17="","",'P8'!A17)</f>
        <v>81.489999999999995</v>
      </c>
      <c r="C77" s="144" t="str">
        <f>IF('P8'!C17="","",'P8'!C17)</f>
        <v>JM</v>
      </c>
      <c r="D77" s="145">
        <f>IF('P8'!E17="","",'P8'!E17)</f>
        <v>36748</v>
      </c>
      <c r="E77" s="146" t="str">
        <f>IF('P8'!G17="","",'P8'!G17)</f>
        <v>Bernt Andre Midtbø</v>
      </c>
      <c r="F77" s="146" t="str">
        <f>IF('P8'!G18="","",'P8'!G18)</f>
        <v>Breimsbygda IL</v>
      </c>
      <c r="G77" s="147">
        <f>IF('P8'!N17="","",'P8'!N17)</f>
        <v>75</v>
      </c>
      <c r="H77" s="147">
        <f>IF('P8'!O17="","",'P8'!O17)</f>
        <v>106</v>
      </c>
      <c r="I77" s="147">
        <f>IF('P8'!P17="","",'P8'!P17)</f>
        <v>181</v>
      </c>
      <c r="J77" s="144">
        <f>IF('P8'!Q17="","",'P8'!Q17)</f>
        <v>219.36002558972436</v>
      </c>
      <c r="K77">
        <v>1</v>
      </c>
    </row>
    <row r="78" spans="1:11" ht="14.1">
      <c r="A78" s="74">
        <v>31</v>
      </c>
      <c r="B78" s="144">
        <f>IF('P8'!A21="","",'P8'!A21)</f>
        <v>88.96</v>
      </c>
      <c r="C78" s="144" t="str">
        <f>IF('P8'!C21="","",'P8'!C21)</f>
        <v>JM</v>
      </c>
      <c r="D78" s="145">
        <f>IF('P8'!E21="","",'P8'!E21)</f>
        <v>36862</v>
      </c>
      <c r="E78" s="146" t="str">
        <f>IF('P8'!G21="","",'P8'!G21)</f>
        <v>Daniel Solberg</v>
      </c>
      <c r="F78" s="146" t="str">
        <f>IF('P8'!G22="","",'P8'!G22)</f>
        <v>Tønsberg-Kam.</v>
      </c>
      <c r="G78" s="147">
        <f>IF('P8'!N21="","",'P8'!N21)</f>
        <v>81</v>
      </c>
      <c r="H78" s="147">
        <f>IF('P8'!O21="","",'P8'!O21)</f>
        <v>107</v>
      </c>
      <c r="I78" s="147">
        <f>IF('P8'!P21="","",'P8'!P21)</f>
        <v>188</v>
      </c>
      <c r="J78" s="144">
        <f>IF('P8'!Q21="","",'P8'!Q21)</f>
        <v>218.59548566007916</v>
      </c>
      <c r="K78">
        <v>1</v>
      </c>
    </row>
    <row r="79" spans="1:11" ht="14.1">
      <c r="A79" s="74">
        <v>32</v>
      </c>
      <c r="B79" s="144">
        <f>IF('P7'!A19="","",'P7'!A19)</f>
        <v>60.21</v>
      </c>
      <c r="C79" s="144" t="str">
        <f>IF('P7'!C19="","",'P7'!C19)</f>
        <v>UM</v>
      </c>
      <c r="D79" s="145">
        <f>IF('P7'!E19="","",'P7'!E19)</f>
        <v>37500</v>
      </c>
      <c r="E79" s="146" t="str">
        <f>IF('P7'!G19="","",'P7'!G19)</f>
        <v>Mats Hofstad</v>
      </c>
      <c r="F79" s="146" t="str">
        <f>IF('P7'!G20="","",'P7'!G20)</f>
        <v>Trondheim AK</v>
      </c>
      <c r="G79" s="147">
        <f>IF('P7'!N19="","",'P7'!N19)</f>
        <v>65</v>
      </c>
      <c r="H79" s="147">
        <f>IF('P7'!O19="","",'P7'!O19)</f>
        <v>85</v>
      </c>
      <c r="I79" s="147">
        <f>IF('P7'!P19="","",'P7'!P19)</f>
        <v>150</v>
      </c>
      <c r="J79" s="144">
        <f>IF('P7'!Q19="","",'P7'!Q19)</f>
        <v>217.98205222135434</v>
      </c>
      <c r="K79">
        <v>1</v>
      </c>
    </row>
    <row r="80" spans="1:11" ht="14.1">
      <c r="A80" s="74">
        <v>33</v>
      </c>
      <c r="B80" s="144">
        <f>IF('P7'!A15="","",'P7'!A15)</f>
        <v>64.349999999999994</v>
      </c>
      <c r="C80" s="144" t="str">
        <f>IF('P7'!C15="","",'P7'!C15)</f>
        <v>UM</v>
      </c>
      <c r="D80" s="145">
        <f>IF('P7'!E15="","",'P7'!E15)</f>
        <v>38105</v>
      </c>
      <c r="E80" s="146" t="str">
        <f>IF('P7'!G15="","",'P7'!G15)</f>
        <v>Henrik Reiakvam</v>
      </c>
      <c r="F80" s="146" t="str">
        <f>IF('P7'!G16="","",'P7'!G16)</f>
        <v>Tambarskjelvar IL</v>
      </c>
      <c r="G80" s="147">
        <f>IF('P7'!N15="","",'P7'!N15)</f>
        <v>68</v>
      </c>
      <c r="H80" s="147">
        <f>IF('P7'!O15="","",'P7'!O15)</f>
        <v>86</v>
      </c>
      <c r="I80" s="147">
        <f>IF('P7'!P15="","",'P7'!P15)</f>
        <v>154</v>
      </c>
      <c r="J80" s="144">
        <f>IF('P7'!Q15="","",'P7'!Q15)</f>
        <v>213.94272121623928</v>
      </c>
      <c r="K80">
        <v>1</v>
      </c>
    </row>
    <row r="81" spans="1:11" ht="14.1">
      <c r="A81" s="74">
        <v>34</v>
      </c>
      <c r="B81" s="144">
        <f>IF('P9'!A13="","",'P9'!A13)</f>
        <v>84.48</v>
      </c>
      <c r="C81" s="144" t="str">
        <f>IF('P9'!C13="","",'P9'!C13)</f>
        <v>SM</v>
      </c>
      <c r="D81" s="145" t="str">
        <f>IF('P9'!E13="","",'P9'!E13)</f>
        <v>25.10.92</v>
      </c>
      <c r="E81" s="146" t="str">
        <f>IF('P9'!G13="","",'P9'!G13)</f>
        <v>Andreas Viken</v>
      </c>
      <c r="F81" s="146" t="str">
        <f>IF('P9'!G14="","",'P9'!G14)</f>
        <v>Stavanger VK</v>
      </c>
      <c r="G81" s="147">
        <f>IF('P9'!N13="","",'P9'!N13)</f>
        <v>70</v>
      </c>
      <c r="H81" s="147">
        <f>IF('P9'!O13="","",'P9'!O13)</f>
        <v>100</v>
      </c>
      <c r="I81" s="147">
        <f>IF('P9'!P13="","",'P9'!P13)</f>
        <v>170</v>
      </c>
      <c r="J81" s="144">
        <f>IF('P9'!Q13="","",'P9'!Q13)</f>
        <v>202.42782977327073</v>
      </c>
      <c r="K81">
        <v>1</v>
      </c>
    </row>
    <row r="82" spans="1:11" ht="14.1">
      <c r="A82" s="74">
        <v>35</v>
      </c>
      <c r="B82" s="144">
        <f>IF('P9'!A21="","",'P9'!A21)</f>
        <v>100.95</v>
      </c>
      <c r="C82" s="144" t="str">
        <f>IF('P9'!C21="","",'P9'!C21)</f>
        <v>SM</v>
      </c>
      <c r="D82" s="145">
        <f>IF('P9'!E21="","",'P9'!E21)</f>
        <v>32064</v>
      </c>
      <c r="E82" s="146" t="str">
        <f>IF('P9'!G21="","",'P9'!G21)</f>
        <v>Kristoffer Solheimsnes</v>
      </c>
      <c r="F82" s="146" t="str">
        <f>IF('P9'!G22="","",'P9'!G22)</f>
        <v>Gjøvik AK</v>
      </c>
      <c r="G82" s="147">
        <f>IF('P9'!N21="","",'P9'!N21)</f>
        <v>81</v>
      </c>
      <c r="H82" s="147">
        <f>IF('P9'!O21="","",'P9'!O21)</f>
        <v>102</v>
      </c>
      <c r="I82" s="147">
        <f>IF('P9'!P21="","",'P9'!P21)</f>
        <v>183</v>
      </c>
      <c r="J82" s="144">
        <f>IF('P9'!Q21="","",'P9'!Q21)</f>
        <v>202.22364892875569</v>
      </c>
      <c r="K82">
        <v>1</v>
      </c>
    </row>
    <row r="83" spans="1:11" ht="14.1">
      <c r="A83" s="74">
        <v>36</v>
      </c>
      <c r="B83" s="144">
        <f>IF('P7'!A13="","",'P7'!A13)</f>
        <v>66.28</v>
      </c>
      <c r="C83" s="144" t="str">
        <f>IF('P7'!C13="","",'P7'!C13)</f>
        <v>UM</v>
      </c>
      <c r="D83" s="145">
        <f>IF('P7'!E13="","",'P7'!E13)</f>
        <v>38320</v>
      </c>
      <c r="E83" s="146" t="str">
        <f>IF('P7'!G13="","",'P7'!G13)</f>
        <v>Kristen Røyseth</v>
      </c>
      <c r="F83" s="146" t="str">
        <f>IF('P7'!G14="","",'P7'!G14)</f>
        <v>Tambarskjelvar IL</v>
      </c>
      <c r="G83" s="147">
        <f>IF('P7'!N13="","",'P7'!N13)</f>
        <v>64</v>
      </c>
      <c r="H83" s="147">
        <f>IF('P7'!O13="","",'P7'!O13)</f>
        <v>84</v>
      </c>
      <c r="I83" s="147">
        <f>IF('P7'!P13="","",'P7'!P13)</f>
        <v>148</v>
      </c>
      <c r="J83" s="144">
        <f>IF('P7'!Q13="","",'P7'!Q13)</f>
        <v>201.72143559727616</v>
      </c>
      <c r="K83">
        <v>1</v>
      </c>
    </row>
    <row r="84" spans="1:11" ht="14.1">
      <c r="A84" s="74">
        <v>37</v>
      </c>
      <c r="B84" s="144">
        <f>IF('P7'!A11="","",'P7'!A11)</f>
        <v>61.9</v>
      </c>
      <c r="C84" s="144" t="str">
        <f>IF('P7'!C11="","",'P7'!C11)</f>
        <v>UM</v>
      </c>
      <c r="D84" s="145">
        <f>IF('P7'!E11="","",'P7'!E11)</f>
        <v>38055</v>
      </c>
      <c r="E84" s="146" t="str">
        <f>IF('P7'!G11="","",'P7'!G11)</f>
        <v>Joachim Offman</v>
      </c>
      <c r="F84" s="146" t="str">
        <f>IF('P7'!G12="","",'P7'!G12)</f>
        <v>Tambarskjelvar IL</v>
      </c>
      <c r="G84" s="147">
        <f>IF('P7'!N11="","",'P7'!N11)</f>
        <v>63</v>
      </c>
      <c r="H84" s="147">
        <f>IF('P7'!O11="","",'P7'!O11)</f>
        <v>77</v>
      </c>
      <c r="I84" s="147">
        <f>IF('P7'!P11="","",'P7'!P11)</f>
        <v>140</v>
      </c>
      <c r="J84" s="144">
        <f>IF('P7'!Q11="","",'P7'!Q11)</f>
        <v>199.60242134441518</v>
      </c>
      <c r="K84">
        <v>1</v>
      </c>
    </row>
    <row r="85" spans="1:11" ht="14.1">
      <c r="A85" s="74">
        <v>38</v>
      </c>
      <c r="B85" s="144">
        <f>IF('P1'!B11="","",'P1'!B11)</f>
        <v>75.37</v>
      </c>
      <c r="C85" s="144" t="str">
        <f>IF('P1'!C11="","",'P1'!C11)</f>
        <v>JM</v>
      </c>
      <c r="D85" s="145">
        <f>IF('P1'!D11="","",'P1'!D11)</f>
        <v>36663</v>
      </c>
      <c r="E85" s="146" t="str">
        <f>IF('P1'!F11="","",'P1'!F11)</f>
        <v>Gard Bahmanyar</v>
      </c>
      <c r="F85" s="146" t="str">
        <f>IF('P1'!G11="","",'P1'!G11)</f>
        <v>Spydeberg Atletene</v>
      </c>
      <c r="G85" s="147">
        <f>IF('P1'!N11="","",'P1'!N11)</f>
        <v>69</v>
      </c>
      <c r="H85" s="147">
        <f>IF('P1'!O11="","",'P1'!O11)</f>
        <v>85</v>
      </c>
      <c r="I85" s="147">
        <f>IF('P1'!P11="","",'P1'!P11)</f>
        <v>154</v>
      </c>
      <c r="J85" s="144">
        <f>IF('P1'!Q11="","",'P1'!Q11)</f>
        <v>194.47051443086553</v>
      </c>
      <c r="K85">
        <v>1</v>
      </c>
    </row>
    <row r="86" spans="1:11" ht="14.1">
      <c r="A86" s="74">
        <v>39</v>
      </c>
      <c r="B86" s="144">
        <f>IF('P1'!B14="","",'P1'!B14)</f>
        <v>95.18</v>
      </c>
      <c r="C86" s="144" t="str">
        <f>IF('P1'!C14="","",'P1'!C14)</f>
        <v>M7</v>
      </c>
      <c r="D86" s="145">
        <f>IF('P1'!D14="","",'P1'!D14)</f>
        <v>19656</v>
      </c>
      <c r="E86" s="146" t="str">
        <f>IF('P1'!F14="","",'P1'!F14)</f>
        <v>Johan Thonerud</v>
      </c>
      <c r="F86" s="146" t="str">
        <f>IF('P1'!G14="","",'P1'!G14)</f>
        <v>Spydeberg Atletene</v>
      </c>
      <c r="G86" s="147">
        <f>IF('P1'!N14="","",'P1'!N14)</f>
        <v>73</v>
      </c>
      <c r="H86" s="147">
        <f>IF('P1'!O14="","",'P1'!O14)</f>
        <v>93</v>
      </c>
      <c r="I86" s="147">
        <f>IF('P1'!P14="","",'P1'!P14)</f>
        <v>166</v>
      </c>
      <c r="J86" s="144">
        <f>IF('P1'!Q14="","",'P1'!Q14)</f>
        <v>187.59153417369532</v>
      </c>
      <c r="K86">
        <v>1</v>
      </c>
    </row>
    <row r="87" spans="1:11" ht="14.1">
      <c r="A87" s="74">
        <v>40</v>
      </c>
      <c r="B87" s="144">
        <f>IF('P7'!A27="","",'P7'!A27)</f>
        <v>101.59</v>
      </c>
      <c r="C87" s="144" t="str">
        <f>IF('P7'!C27="","",'P7'!C27)</f>
        <v>UM</v>
      </c>
      <c r="D87" s="145">
        <f>IF('P7'!E27="","",'P7'!E27)</f>
        <v>37645</v>
      </c>
      <c r="E87" s="146" t="str">
        <f>IF('P7'!G27="","",'P7'!G27)</f>
        <v>Mathias Dale</v>
      </c>
      <c r="F87" s="146" t="str">
        <f>IF('P7'!G28="","",'P7'!G28)</f>
        <v>Breimsbygda IL</v>
      </c>
      <c r="G87" s="147">
        <f>IF('P7'!N27="","",'P7'!N27)</f>
        <v>76</v>
      </c>
      <c r="H87" s="147">
        <f>IF('P7'!O27="","",'P7'!O27)</f>
        <v>85</v>
      </c>
      <c r="I87" s="147">
        <f>IF('P7'!P27="","",'P7'!P27)</f>
        <v>161</v>
      </c>
      <c r="J87" s="144">
        <f>IF('P7'!Q27="","",'P7'!Q27)</f>
        <v>177.50924417657751</v>
      </c>
      <c r="K87">
        <v>1</v>
      </c>
    </row>
    <row r="88" spans="1:11" ht="14.1">
      <c r="A88" s="74">
        <v>41</v>
      </c>
      <c r="B88" s="144">
        <f>IF('P7'!A25="","",'P7'!A25)</f>
        <v>92.27</v>
      </c>
      <c r="C88" s="144" t="str">
        <f>IF('P7'!C25="","",'P7'!C25)</f>
        <v>UM</v>
      </c>
      <c r="D88" s="145">
        <f>IF('P7'!E25="","",'P7'!E25)</f>
        <v>37350</v>
      </c>
      <c r="E88" s="146" t="str">
        <f>IF('P7'!G25="","",'P7'!G25)</f>
        <v>Hans Gunnar Kvadsheim</v>
      </c>
      <c r="F88" s="146" t="str">
        <f>IF('P7'!G26="","",'P7'!G26)</f>
        <v>Vigrestad IK</v>
      </c>
      <c r="G88" s="147">
        <f>IF('P7'!N25="","",'P7'!N25)</f>
        <v>70</v>
      </c>
      <c r="H88" s="147">
        <f>IF('P7'!O25="","",'P7'!O25)</f>
        <v>82</v>
      </c>
      <c r="I88" s="147">
        <f>IF('P7'!P25="","",'P7'!P25)</f>
        <v>152</v>
      </c>
      <c r="J88" s="144">
        <f>IF('P7'!Q25="","",'P7'!Q25)</f>
        <v>173.97024360906391</v>
      </c>
      <c r="K88">
        <v>1</v>
      </c>
    </row>
    <row r="89" spans="1:11" ht="14.1">
      <c r="A89" s="74">
        <v>42</v>
      </c>
      <c r="B89" s="144">
        <f>IF('P7'!A21="","",'P7'!A21)</f>
        <v>71.59</v>
      </c>
      <c r="C89" s="144" t="str">
        <f>IF('P7'!C21="","",'P7'!C21)</f>
        <v>UM</v>
      </c>
      <c r="D89" s="145">
        <f>IF('P7'!E21="","",'P7'!E21)</f>
        <v>37687</v>
      </c>
      <c r="E89" s="146" t="str">
        <f>IF('P7'!G21="","",'P7'!G21)</f>
        <v>Anders Vik</v>
      </c>
      <c r="F89" s="146" t="str">
        <f>IF('P7'!G22="","",'P7'!G22)</f>
        <v>AK Bjørgvin</v>
      </c>
      <c r="G89" s="147">
        <f>IF('P7'!N21="","",'P7'!N21)</f>
        <v>55</v>
      </c>
      <c r="H89" s="147">
        <f>IF('P7'!O21="","",'P7'!O21)</f>
        <v>74</v>
      </c>
      <c r="I89" s="147">
        <f>IF('P7'!P21="","",'P7'!P21)</f>
        <v>129</v>
      </c>
      <c r="J89" s="144">
        <f>IF('P7'!Q21="","",'P7'!Q21)</f>
        <v>167.73936833924796</v>
      </c>
      <c r="K89">
        <v>1</v>
      </c>
    </row>
    <row r="90" spans="1:11" ht="14.1">
      <c r="A90" s="74">
        <v>43</v>
      </c>
      <c r="B90" s="144">
        <f>IF('P7'!A17="","",'P7'!A17)</f>
        <v>69.14</v>
      </c>
      <c r="C90" s="144" t="str">
        <f>IF('P7'!C17="","",'P7'!C17)</f>
        <v>UM</v>
      </c>
      <c r="D90" s="145">
        <f>IF('P7'!E17="","",'P7'!E17)</f>
        <v>38286</v>
      </c>
      <c r="E90" s="146" t="str">
        <f>IF('P7'!G17="","",'P7'!G17)</f>
        <v>Daniel Ravndal</v>
      </c>
      <c r="F90" s="146" t="str">
        <f>IF('P7'!G18="","",'P7'!G18)</f>
        <v>Tambarskjelvar IL</v>
      </c>
      <c r="G90" s="147">
        <f>IF('P7'!N17="","",'P7'!N17)</f>
        <v>51</v>
      </c>
      <c r="H90" s="147">
        <f>IF('P7'!O17="","",'P7'!O17)</f>
        <v>62</v>
      </c>
      <c r="I90" s="147">
        <f>IF('P7'!P17="","",'P7'!P17)</f>
        <v>113</v>
      </c>
      <c r="J90" s="144">
        <f>IF('P7'!Q17="","",'P7'!Q17)</f>
        <v>150.02131507107549</v>
      </c>
      <c r="K90">
        <v>1</v>
      </c>
    </row>
    <row r="91" spans="1:11" ht="14.1">
      <c r="A91" s="74">
        <v>44</v>
      </c>
      <c r="B91" s="144">
        <f>IF('P7'!A9="","",'P7'!A9)</f>
        <v>45.47</v>
      </c>
      <c r="C91" s="144" t="str">
        <f>IF('P7'!C9="","",'P7'!C9)</f>
        <v>UM</v>
      </c>
      <c r="D91" s="145">
        <f>IF('P7'!E9="","",'P7'!E9)</f>
        <v>38415</v>
      </c>
      <c r="E91" s="146" t="str">
        <f>IF('P7'!G9="","",'P7'!G9)</f>
        <v>Stefan Rønnevik</v>
      </c>
      <c r="F91" s="146" t="str">
        <f>IF('P7'!G10="","",'P7'!G10)</f>
        <v>Tysvær VK</v>
      </c>
      <c r="G91" s="147">
        <f>IF('P7'!N9="","",'P7'!N9)</f>
        <v>26</v>
      </c>
      <c r="H91" s="147">
        <f>IF('P7'!O9="","",'P7'!O9)</f>
        <v>35</v>
      </c>
      <c r="I91" s="147">
        <f>IF('P7'!P9="","",'P7'!P9)</f>
        <v>61</v>
      </c>
      <c r="J91" s="144">
        <f>IF('P7'!Q9="","",'P7'!Q9)</f>
        <v>110.67487900872533</v>
      </c>
      <c r="K91">
        <v>1</v>
      </c>
    </row>
    <row r="92" spans="1:11" ht="14.1">
      <c r="A92" s="74">
        <v>45</v>
      </c>
      <c r="B92" s="144">
        <f>IF('P8'!A11="","",'P8'!A11)</f>
        <v>62.12</v>
      </c>
      <c r="C92" s="144" t="str">
        <f>IF('P8'!C11="","",'P8'!C11)</f>
        <v>JM</v>
      </c>
      <c r="D92" s="145">
        <f>IF('P8'!E11="","",'P8'!E11)</f>
        <v>36879</v>
      </c>
      <c r="E92" s="146" t="str">
        <f>IF('P8'!G11="","",'P8'!G11)</f>
        <v>Marcus Bratli</v>
      </c>
      <c r="F92" s="146" t="str">
        <f>IF('P8'!G12="","",'P8'!G12)</f>
        <v>AK Bjørgvin</v>
      </c>
      <c r="G92" s="147" t="str">
        <f>IF('P8'!N11="","",'P8'!N11)</f>
        <v/>
      </c>
      <c r="H92" s="147" t="str">
        <f>IF('P8'!O11="","",'P8'!O11)</f>
        <v/>
      </c>
      <c r="I92" s="147" t="str">
        <f>IF('P8'!P11="","",'P8'!P11)</f>
        <v/>
      </c>
      <c r="J92" s="144" t="str">
        <f>IF('P8'!Q11="","",'P8'!Q11)</f>
        <v/>
      </c>
    </row>
    <row r="93" spans="1:11" ht="14.1">
      <c r="A93" s="74">
        <v>46</v>
      </c>
      <c r="B93" s="144">
        <f>IF('P10'!A23="","",'P10'!A23)</f>
        <v>107.82</v>
      </c>
      <c r="C93" s="144" t="str">
        <f>IF('P10'!C23="","",'P10'!C23)</f>
        <v>SM</v>
      </c>
      <c r="D93" s="145">
        <f>IF('P10'!E23="","",'P10'!E23)</f>
        <v>32405</v>
      </c>
      <c r="E93" s="146" t="str">
        <f>IF('P10'!G23="","",'P10'!G23)</f>
        <v>Lars Joachim Nilsen</v>
      </c>
      <c r="F93" s="146" t="str">
        <f>IF('P10'!G24="","",'P10'!G24)</f>
        <v>T &amp; IL National</v>
      </c>
      <c r="G93" s="147" t="str">
        <f>IF('P10'!N23="","",'P10'!N23)</f>
        <v/>
      </c>
      <c r="H93" s="147" t="str">
        <f>IF('P10'!O23="","",'P10'!O23)</f>
        <v/>
      </c>
      <c r="I93" s="147" t="str">
        <f>IF('P10'!P23="","",'P10'!P23)</f>
        <v/>
      </c>
      <c r="J93" s="144" t="str">
        <f>IF('P10'!Q23="","",'P10'!Q23)</f>
        <v/>
      </c>
    </row>
  </sheetData>
  <sortState xmlns:xlrd2="http://schemas.microsoft.com/office/spreadsheetml/2017/richdata2" ref="A5:K41">
    <sortCondition descending="1" ref="J5:J41"/>
  </sortState>
  <mergeCells count="6">
    <mergeCell ref="A3:J3"/>
    <mergeCell ref="A46:J46"/>
    <mergeCell ref="A1:J1"/>
    <mergeCell ref="A2:D2"/>
    <mergeCell ref="E2:F2"/>
    <mergeCell ref="G2:J2"/>
  </mergeCells>
  <phoneticPr fontId="22" type="noConversion"/>
  <pageMargins left="0.75" right="0.75" top="1" bottom="1" header="0.5" footer="0.5"/>
  <pageSetup paperSize="9" scale="71" fitToHeight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43"/>
  <sheetViews>
    <sheetView showZeros="0" workbookViewId="0">
      <selection activeCell="L11" sqref="L11"/>
    </sheetView>
  </sheetViews>
  <sheetFormatPr defaultColWidth="8.85546875" defaultRowHeight="12.95"/>
  <cols>
    <col min="1" max="1" width="5.42578125" customWidth="1"/>
    <col min="2" max="3" width="7.5703125" customWidth="1"/>
    <col min="4" max="4" width="10.42578125" customWidth="1"/>
    <col min="5" max="5" width="30" customWidth="1"/>
    <col min="6" max="6" width="21.85546875" customWidth="1"/>
    <col min="7" max="9" width="6.85546875" customWidth="1"/>
    <col min="10" max="10" width="8.5703125" customWidth="1"/>
  </cols>
  <sheetData>
    <row r="1" spans="1:11" ht="30" customHeight="1" thickBot="1">
      <c r="A1" s="383" t="s">
        <v>278</v>
      </c>
      <c r="B1" s="384"/>
      <c r="C1" s="384"/>
      <c r="D1" s="384"/>
      <c r="E1" s="384"/>
      <c r="F1" s="384"/>
      <c r="G1" s="384"/>
      <c r="H1" s="384"/>
      <c r="I1" s="384"/>
      <c r="J1" s="385"/>
    </row>
    <row r="2" spans="1:11" s="149" customFormat="1" ht="25.5" thickBot="1">
      <c r="A2" s="394" t="str">
        <f>IF('P2'!J5&gt;0,'P2'!J5,"")</f>
        <v>Larvik AK</v>
      </c>
      <c r="B2" s="394"/>
      <c r="C2" s="394"/>
      <c r="D2" s="394"/>
      <c r="E2" s="394" t="str">
        <f>IF('P2'!P5&gt;0,'P2'!P5,"")</f>
        <v>Stavernhallen</v>
      </c>
      <c r="F2" s="394"/>
      <c r="G2" s="389">
        <f>IF('P2'!U5&gt;0,'P2'!U5,"")</f>
        <v>43358</v>
      </c>
      <c r="H2" s="389"/>
      <c r="I2" s="389"/>
      <c r="J2" s="389"/>
    </row>
    <row r="3" spans="1:11" ht="21" customHeight="1" thickBot="1">
      <c r="A3" s="377" t="s">
        <v>264</v>
      </c>
      <c r="B3" s="378"/>
      <c r="C3" s="378"/>
      <c r="D3" s="378"/>
      <c r="E3" s="378"/>
      <c r="F3" s="378"/>
      <c r="G3" s="378"/>
      <c r="H3" s="378"/>
      <c r="I3" s="378"/>
      <c r="J3" s="379"/>
    </row>
    <row r="4" spans="1:11" s="73" customFormat="1" ht="12.6">
      <c r="A4" s="141" t="s">
        <v>265</v>
      </c>
      <c r="B4" s="148" t="s">
        <v>266</v>
      </c>
      <c r="C4" s="148" t="s">
        <v>72</v>
      </c>
      <c r="D4" s="141" t="s">
        <v>269</v>
      </c>
      <c r="E4" s="142" t="s">
        <v>15</v>
      </c>
      <c r="F4" s="142" t="s">
        <v>85</v>
      </c>
      <c r="G4" s="141" t="s">
        <v>17</v>
      </c>
      <c r="H4" s="141" t="s">
        <v>18</v>
      </c>
      <c r="I4" s="141" t="s">
        <v>277</v>
      </c>
      <c r="J4" s="141" t="s">
        <v>21</v>
      </c>
      <c r="K4" s="80"/>
    </row>
    <row r="5" spans="1:11" ht="14.1">
      <c r="A5" s="74"/>
      <c r="B5" s="144">
        <f>IF('P3'!A9="","",'P3'!A9)</f>
        <v>51.1</v>
      </c>
      <c r="C5" s="144" t="str">
        <f>IF('P3'!C9="","",'P3'!C9)</f>
        <v>JK</v>
      </c>
      <c r="D5" s="145">
        <f>IF('P3'!E9="","",'P3'!E9)</f>
        <v>36561</v>
      </c>
      <c r="E5" s="146" t="str">
        <f>IF('P3'!G9="","",'P3'!G9)</f>
        <v>Tiril Boge</v>
      </c>
      <c r="F5" s="146" t="str">
        <f>IF('P3'!G10="","",'P3'!G10)</f>
        <v>AK Bjørgvin</v>
      </c>
      <c r="G5" s="147">
        <f>IF('P3'!N9="","",'P3'!N9)</f>
        <v>61</v>
      </c>
      <c r="H5" s="147">
        <f>IF('P3'!O9="","",'P3'!O9)</f>
        <v>75</v>
      </c>
      <c r="I5" s="147">
        <f>IF('P3'!P9="","",'P3'!P9)</f>
        <v>136</v>
      </c>
      <c r="J5" s="144">
        <f>IF('P3'!Q9="","",'P3'!Q9)</f>
        <v>205.42333842851315</v>
      </c>
      <c r="K5">
        <v>25</v>
      </c>
    </row>
    <row r="6" spans="1:11" ht="14.1">
      <c r="A6" s="74"/>
      <c r="B6" s="144">
        <f>IF('P6'!A21="","",'P6'!A21)</f>
        <v>70.89</v>
      </c>
      <c r="C6" s="144" t="str">
        <f>IF('P6'!C21="","",'P6'!C21)</f>
        <v>JK</v>
      </c>
      <c r="D6" s="145">
        <f>IF('P6'!E21="","",'P6'!E21)</f>
        <v>36232</v>
      </c>
      <c r="E6" s="146" t="str">
        <f>IF('P6'!G21="","",'P6'!G21)</f>
        <v>Maren Fikse</v>
      </c>
      <c r="F6" s="146" t="str">
        <f>IF('P6'!G22="","",'P6'!G22)</f>
        <v>Gjøvik AK</v>
      </c>
      <c r="G6" s="147">
        <f>IF('P6'!N21="","",'P6'!N21)</f>
        <v>77</v>
      </c>
      <c r="H6" s="147">
        <f>IF('P6'!O21="","",'P6'!O21)</f>
        <v>90</v>
      </c>
      <c r="I6" s="147">
        <f>IF('P6'!P21="","",'P6'!P21)</f>
        <v>167</v>
      </c>
      <c r="J6" s="144">
        <f>IF('P6'!Q21="","",'P6'!Q21)</f>
        <v>204.7151805994188</v>
      </c>
      <c r="K6">
        <v>23</v>
      </c>
    </row>
    <row r="7" spans="1:11" ht="14.1">
      <c r="A7" s="74"/>
      <c r="B7" s="144">
        <f>IF('P2'!A21="","",'P2'!A21)</f>
        <v>57.19</v>
      </c>
      <c r="C7" s="144" t="str">
        <f>IF('P2'!C21="","",'P2'!C21)</f>
        <v>UK</v>
      </c>
      <c r="D7" s="145">
        <f>IF('P2'!E21="","",'P2'!E21)</f>
        <v>37315</v>
      </c>
      <c r="E7" s="146" t="str">
        <f>IF('P2'!G21="","",'P2'!G21)</f>
        <v>Julia Jordanger Loen</v>
      </c>
      <c r="F7" s="146" t="str">
        <f>IF('P2'!G22="","",'P2'!G22)</f>
        <v>Breimsbygda IL</v>
      </c>
      <c r="G7" s="147">
        <f>IF('P2'!N21="","",'P2'!N21)</f>
        <v>54</v>
      </c>
      <c r="H7" s="147">
        <f>IF('P2'!O21="","",'P2'!O21)</f>
        <v>73</v>
      </c>
      <c r="I7" s="147">
        <f>IF('P2'!P21="","",'P2'!P21)</f>
        <v>127</v>
      </c>
      <c r="J7" s="144">
        <f>IF('P2'!Q21="","",'P2'!Q21)</f>
        <v>177.07275739282295</v>
      </c>
      <c r="K7">
        <v>21</v>
      </c>
    </row>
    <row r="8" spans="1:11" ht="14.1">
      <c r="A8" s="74"/>
      <c r="B8" s="144">
        <f>IF('P3'!A11="","",'P3'!A11)</f>
        <v>56.38</v>
      </c>
      <c r="C8" s="144" t="str">
        <f>IF('P3'!C11="","",'P3'!C11)</f>
        <v>UK</v>
      </c>
      <c r="D8" s="145">
        <f>IF('P3'!E11="","",'P3'!E11)</f>
        <v>36902</v>
      </c>
      <c r="E8" s="146" t="str">
        <f>IF('P3'!G11="","",'P3'!G11)</f>
        <v>Helene Skuggedal</v>
      </c>
      <c r="F8" s="146" t="str">
        <f>IF('P3'!G12="","",'P3'!G12)</f>
        <v>Larvik AK</v>
      </c>
      <c r="G8" s="147">
        <f>IF('P3'!N11="","",'P3'!N11)</f>
        <v>55</v>
      </c>
      <c r="H8" s="147">
        <f>IF('P3'!O11="","",'P3'!O11)</f>
        <v>70</v>
      </c>
      <c r="I8" s="147">
        <f>IF('P3'!P11="","",'P3'!P11)</f>
        <v>125</v>
      </c>
      <c r="J8" s="144">
        <f>IF('P3'!Q11="","",'P3'!Q11)</f>
        <v>175.97657470179655</v>
      </c>
      <c r="K8">
        <v>20</v>
      </c>
    </row>
    <row r="9" spans="1:11" ht="14.1">
      <c r="A9" s="74"/>
      <c r="B9" s="144">
        <f>IF('P3'!A13="","",'P3'!A13)</f>
        <v>60.39</v>
      </c>
      <c r="C9" s="144" t="str">
        <f>IF('P3'!C13="","",'P3'!C13)</f>
        <v>JK</v>
      </c>
      <c r="D9" s="145">
        <f>IF('P3'!E13="","",'P3'!E13)</f>
        <v>36794</v>
      </c>
      <c r="E9" s="146" t="str">
        <f>IF('P3'!G13="","",'P3'!G13)</f>
        <v>Ida Vaka</v>
      </c>
      <c r="F9" s="146" t="str">
        <f>IF('P3'!G14="","",'P3'!G14)</f>
        <v>Tysvær VK</v>
      </c>
      <c r="G9" s="147">
        <f>IF('P3'!N13="","",'P3'!N13)</f>
        <v>50</v>
      </c>
      <c r="H9" s="147">
        <f>IF('P3'!O13="","",'P3'!O13)</f>
        <v>63</v>
      </c>
      <c r="I9" s="147">
        <f>IF('P3'!P13="","",'P3'!P13)</f>
        <v>113</v>
      </c>
      <c r="J9" s="144">
        <f>IF('P3'!Q13="","",'P3'!Q13)</f>
        <v>152.04110851503359</v>
      </c>
      <c r="K9">
        <v>19</v>
      </c>
    </row>
    <row r="10" spans="1:11" ht="14.1">
      <c r="A10" s="74"/>
      <c r="B10" s="144">
        <f>IF('P2'!A11="","",'P2'!A11)</f>
        <v>50.38</v>
      </c>
      <c r="C10" s="144" t="str">
        <f>IF('P2'!C11="","",'P2'!C11)</f>
        <v>UK</v>
      </c>
      <c r="D10" s="145">
        <f>IF('P2'!E11="","",'P2'!E11)</f>
        <v>38084</v>
      </c>
      <c r="E10" s="146" t="str">
        <f>IF('P2'!G11="","",'P2'!G11)</f>
        <v>Ronja Lenvik</v>
      </c>
      <c r="F10" s="146" t="str">
        <f>IF('P2'!G12="","",'P2'!G12)</f>
        <v>Hitra VK</v>
      </c>
      <c r="G10" s="147">
        <f>IF('P2'!N11="","",'P2'!N11)</f>
        <v>47</v>
      </c>
      <c r="H10" s="147">
        <f>IF('P2'!O11="","",'P2'!O11)</f>
        <v>52</v>
      </c>
      <c r="I10" s="147">
        <f>IF('P2'!P11="","",'P2'!P11)</f>
        <v>99</v>
      </c>
      <c r="J10" s="144">
        <f>IF('P2'!Q11="","",'P2'!Q11)</f>
        <v>151.14475326073452</v>
      </c>
      <c r="K10">
        <v>18</v>
      </c>
    </row>
    <row r="11" spans="1:11" ht="14.1">
      <c r="A11" s="74"/>
      <c r="B11" s="144">
        <f>IF('P2'!A13="","",'P2'!A13)</f>
        <v>52.62</v>
      </c>
      <c r="C11" s="144" t="str">
        <f>IF('P2'!C13="","",'P2'!C13)</f>
        <v>UK</v>
      </c>
      <c r="D11" s="145">
        <f>IF('P2'!E13="","",'P2'!E13)</f>
        <v>38256</v>
      </c>
      <c r="E11" s="146" t="str">
        <f>IF('P2'!G13="","",'P2'!G13)</f>
        <v>Åse Johanne Berge</v>
      </c>
      <c r="F11" s="146" t="str">
        <f>IF('P2'!G14="","",'P2'!G14)</f>
        <v>Hitra VK</v>
      </c>
      <c r="G11" s="147">
        <f>IF('P2'!N13="","",'P2'!N13)</f>
        <v>44</v>
      </c>
      <c r="H11" s="147">
        <f>IF('P2'!O13="","",'P2'!O13)</f>
        <v>58</v>
      </c>
      <c r="I11" s="147">
        <f>IF('P2'!P13="","",'P2'!P13)</f>
        <v>102</v>
      </c>
      <c r="J11" s="144">
        <f>IF('P2'!Q13="","",'P2'!Q13)</f>
        <v>150.764980464611</v>
      </c>
      <c r="K11">
        <v>17</v>
      </c>
    </row>
    <row r="12" spans="1:11" ht="14.1">
      <c r="A12" s="74"/>
      <c r="B12" s="144">
        <f>IF('P3'!A15="","",'P3'!A15)</f>
        <v>65.099999999999994</v>
      </c>
      <c r="C12" s="144" t="str">
        <f>IF('P3'!C15="","",'P3'!C15)</f>
        <v>JK</v>
      </c>
      <c r="D12" s="145">
        <f>IF('P3'!E15="","",'P3'!E15)</f>
        <v>36628</v>
      </c>
      <c r="E12" s="146" t="str">
        <f>IF('P3'!G15="","",'P3'!G15)</f>
        <v>Marthe Knutsen</v>
      </c>
      <c r="F12" s="146" t="str">
        <f>IF('P3'!G16="","",'P3'!G16)</f>
        <v>Tysvær VK</v>
      </c>
      <c r="G12" s="147">
        <f>IF('P3'!N15="","",'P3'!N15)</f>
        <v>48</v>
      </c>
      <c r="H12" s="147">
        <f>IF('P3'!O15="","",'P3'!O15)</f>
        <v>66</v>
      </c>
      <c r="I12" s="147">
        <f>IF('P3'!P15="","",'P3'!P15)</f>
        <v>114</v>
      </c>
      <c r="J12" s="144">
        <f>IF('P3'!Q15="","",'P3'!Q15)</f>
        <v>146.51835346091508</v>
      </c>
      <c r="K12">
        <v>16</v>
      </c>
    </row>
    <row r="13" spans="1:11" ht="14.1">
      <c r="A13" s="74"/>
      <c r="B13" s="144">
        <f>IF('P3'!A17="","",'P3'!A17)</f>
        <v>65.45</v>
      </c>
      <c r="C13" s="144" t="str">
        <f>IF('P3'!C17="","",'P3'!C17)</f>
        <v>UK</v>
      </c>
      <c r="D13" s="145">
        <f>IF('P3'!E17="","",'P3'!E17)</f>
        <v>36909</v>
      </c>
      <c r="E13" s="146" t="str">
        <f>IF('P3'!G17="","",'P3'!G17)</f>
        <v>Hannah Økland</v>
      </c>
      <c r="F13" s="146" t="str">
        <f>IF('P3'!G18="","",'P3'!G18)</f>
        <v>Trondheim AK</v>
      </c>
      <c r="G13" s="147">
        <f>IF('P3'!N17="","",'P3'!N17)</f>
        <v>47</v>
      </c>
      <c r="H13" s="147">
        <f>IF('P3'!O17="","",'P3'!O17)</f>
        <v>60</v>
      </c>
      <c r="I13" s="147">
        <f>IF('P3'!P17="","",'P3'!P17)</f>
        <v>107</v>
      </c>
      <c r="J13" s="144">
        <f>IF('P3'!Q17="","",'P3'!Q17)</f>
        <v>137.09267539335048</v>
      </c>
      <c r="K13">
        <v>15</v>
      </c>
    </row>
    <row r="14" spans="1:11" ht="14.1">
      <c r="A14" s="74"/>
      <c r="B14" s="144">
        <f>IF('P3'!A19="","",'P3'!A19)</f>
        <v>71.37</v>
      </c>
      <c r="C14" s="144" t="str">
        <f>IF('P3'!C19="","",'P3'!C19)</f>
        <v>UK</v>
      </c>
      <c r="D14" s="145">
        <f>IF('P3'!E19="","",'P3'!E19)</f>
        <v>37227</v>
      </c>
      <c r="E14" s="146" t="str">
        <f>IF('P3'!G19="","",'P3'!G19)</f>
        <v>Amalie Straume</v>
      </c>
      <c r="F14" s="146" t="str">
        <f>IF('P3'!G20="","",'P3'!G20)</f>
        <v>Trondheim AK</v>
      </c>
      <c r="G14" s="147">
        <f>IF('P3'!N19="","",'P3'!N19)</f>
        <v>47</v>
      </c>
      <c r="H14" s="147">
        <f>IF('P3'!O19="","",'P3'!O19)</f>
        <v>56</v>
      </c>
      <c r="I14" s="147">
        <f>IF('P3'!P19="","",'P3'!P19)</f>
        <v>103</v>
      </c>
      <c r="J14" s="144">
        <f>IF('P3'!Q19="","",'P3'!Q19)</f>
        <v>125.8156464151004</v>
      </c>
      <c r="K14">
        <v>14</v>
      </c>
    </row>
    <row r="15" spans="1:11" ht="14.1">
      <c r="A15" s="74"/>
      <c r="B15" s="144">
        <f>IF('P2'!A17="","",'P2'!A17)</f>
        <v>86.31</v>
      </c>
      <c r="C15" s="144" t="str">
        <f>IF('P2'!C17="","",'P2'!C17)</f>
        <v>UK</v>
      </c>
      <c r="D15" s="145">
        <f>IF('P2'!E17="","",'P2'!E17)</f>
        <v>38134</v>
      </c>
      <c r="E15" s="146" t="str">
        <f>IF('P2'!G17="","",'P2'!G17)</f>
        <v>Carmen Grimseth</v>
      </c>
      <c r="F15" s="146" t="str">
        <f>IF('P2'!G18="","",'P2'!G18)</f>
        <v>Tambarskjelvar IL</v>
      </c>
      <c r="G15" s="147">
        <f>IF('P2'!N17="","",'P2'!N17)</f>
        <v>48</v>
      </c>
      <c r="H15" s="147">
        <f>IF('P2'!O17="","",'P2'!O17)</f>
        <v>62</v>
      </c>
      <c r="I15" s="147">
        <f>IF('P2'!P17="","",'P2'!P17)</f>
        <v>110</v>
      </c>
      <c r="J15" s="144">
        <f>IF('P2'!Q17="","",'P2'!Q17)</f>
        <v>123.18325837836386</v>
      </c>
      <c r="K15">
        <v>13</v>
      </c>
    </row>
    <row r="16" spans="1:11" ht="14.1">
      <c r="A16" s="74"/>
      <c r="B16" s="144">
        <f>IF('P2'!A15="","",'P2'!A15)</f>
        <v>53.8</v>
      </c>
      <c r="C16" s="144" t="str">
        <f>IF('P2'!C15="","",'P2'!C15)</f>
        <v>UK</v>
      </c>
      <c r="D16" s="145">
        <f>IF('P2'!E15="","",'P2'!E15)</f>
        <v>38645</v>
      </c>
      <c r="E16" s="146" t="str">
        <f>IF('P2'!G15="","",'P2'!G15)</f>
        <v>Thea Andersen Larsen</v>
      </c>
      <c r="F16" s="146" t="str">
        <f>IF('P2'!G16="","",'P2'!G16)</f>
        <v>Larvik AK</v>
      </c>
      <c r="G16" s="147">
        <f>IF('P2'!N15="","",'P2'!N15)</f>
        <v>33</v>
      </c>
      <c r="H16" s="147">
        <f>IF('P2'!O15="","",'P2'!O15)</f>
        <v>41</v>
      </c>
      <c r="I16" s="147">
        <f>IF('P2'!P15="","",'P2'!P15)</f>
        <v>74</v>
      </c>
      <c r="J16" s="144">
        <f>IF('P2'!Q15="","",'P2'!Q15)</f>
        <v>107.64175295795756</v>
      </c>
      <c r="K16">
        <v>12</v>
      </c>
    </row>
    <row r="17" spans="1:11" ht="14.1">
      <c r="A17" s="74"/>
      <c r="B17" s="144">
        <f>IF('P2'!A27="","",'P2'!A27)</f>
        <v>86.73</v>
      </c>
      <c r="C17" s="144" t="str">
        <f>IF('P2'!C27="","",'P2'!C27)</f>
        <v>UK</v>
      </c>
      <c r="D17" s="145">
        <f>IF('P2'!E27="","",'P2'!E27)</f>
        <v>37272</v>
      </c>
      <c r="E17" s="146" t="str">
        <f>IF('P2'!G27="","",'P2'!G27)</f>
        <v>Erika Jellestad</v>
      </c>
      <c r="F17" s="146" t="str">
        <f>IF('P2'!G28="","",'P2'!G28)</f>
        <v>Vigrestad IK</v>
      </c>
      <c r="G17" s="147">
        <f>IF('P2'!N27="","",'P2'!N27)</f>
        <v>42</v>
      </c>
      <c r="H17" s="147">
        <f>IF('P2'!O27="","",'P2'!O27)</f>
        <v>50</v>
      </c>
      <c r="I17" s="147">
        <f>IF('P2'!P27="","",'P2'!P27)</f>
        <v>92</v>
      </c>
      <c r="J17" s="144">
        <f>IF('P2'!Q27="","",'P2'!Q27)</f>
        <v>102.83070461194735</v>
      </c>
      <c r="K17">
        <v>11</v>
      </c>
    </row>
    <row r="18" spans="1:11" ht="14.1">
      <c r="A18" s="74"/>
      <c r="B18" s="144">
        <f>IF('P2'!A23="","",'P2'!A23)</f>
        <v>60.07</v>
      </c>
      <c r="C18" s="144" t="str">
        <f>IF('P2'!C23="","",'P2'!C23)</f>
        <v>UK</v>
      </c>
      <c r="D18" s="145">
        <f>IF('P2'!E23="","",'P2'!E23)</f>
        <v>37547</v>
      </c>
      <c r="E18" s="146" t="str">
        <f>IF('P2'!G23="","",'P2'!G23)</f>
        <v>Iselin Mehl Brekkhus</v>
      </c>
      <c r="F18" s="146" t="str">
        <f>IF('P2'!G24="","",'P2'!G24)</f>
        <v>Vigrestad IK</v>
      </c>
      <c r="G18" s="147">
        <f>IF('P2'!N23="","",'P2'!N23)</f>
        <v>32</v>
      </c>
      <c r="H18" s="147">
        <f>IF('P2'!O23="","",'P2'!O23)</f>
        <v>42</v>
      </c>
      <c r="I18" s="147">
        <f>IF('P2'!P23="","",'P2'!P23)</f>
        <v>74</v>
      </c>
      <c r="J18" s="144">
        <f>IF('P2'!Q23="","",'P2'!Q23)</f>
        <v>99.904471960715782</v>
      </c>
      <c r="K18">
        <v>10</v>
      </c>
    </row>
    <row r="19" spans="1:11" ht="14.1">
      <c r="A19" s="74"/>
      <c r="B19" s="144">
        <f>IF('P2'!A19="","",'P2'!A19)</f>
        <v>51.66</v>
      </c>
      <c r="C19" s="144" t="str">
        <f>IF('P2'!C19="","",'P2'!C19)</f>
        <v>UK</v>
      </c>
      <c r="D19" s="145">
        <f>IF('P2'!E19="","",'P2'!E19)</f>
        <v>37977</v>
      </c>
      <c r="E19" s="146" t="str">
        <f>IF('P2'!G19="","",'P2'!G19)</f>
        <v>Louisa Hjelmås</v>
      </c>
      <c r="F19" s="146" t="str">
        <f>IF('P2'!G20="","",'P2'!G20)</f>
        <v>Gjøvik AK</v>
      </c>
      <c r="G19" s="147">
        <f>IF('P2'!N19="","",'P2'!N19)</f>
        <v>22</v>
      </c>
      <c r="H19" s="147">
        <f>IF('P2'!O19="","",'P2'!O19)</f>
        <v>24</v>
      </c>
      <c r="I19" s="147">
        <f>IF('P2'!P19="","",'P2'!P19)</f>
        <v>46</v>
      </c>
      <c r="J19" s="144">
        <f>IF('P2'!Q19="","",'P2'!Q19)</f>
        <v>68.91913590967448</v>
      </c>
      <c r="K19">
        <v>9</v>
      </c>
    </row>
    <row r="20" spans="1:11" ht="14.1">
      <c r="A20" s="74"/>
      <c r="B20" s="144">
        <f>IF('P2'!A9="","",'P2'!A9)</f>
        <v>47.7</v>
      </c>
      <c r="C20" s="144" t="str">
        <f>IF('P2'!C9="","",'P2'!C9)</f>
        <v>UK</v>
      </c>
      <c r="D20" s="145">
        <f>IF('P2'!E9="","",'P2'!E9)</f>
        <v>38239</v>
      </c>
      <c r="E20" s="146" t="str">
        <f>IF('P2'!G9="","",'P2'!G9)</f>
        <v>Iben Karete Karlsen</v>
      </c>
      <c r="F20" s="146" t="str">
        <f>IF('P2'!G10="","",'P2'!G10)</f>
        <v>Gjøvik AK</v>
      </c>
      <c r="G20" s="147">
        <f>IF('P2'!N9="","",'P2'!N9)</f>
        <v>18</v>
      </c>
      <c r="H20" s="147">
        <f>IF('P2'!O9="","",'P2'!O9)</f>
        <v>24</v>
      </c>
      <c r="I20" s="147">
        <f>IF('P2'!P9="","",'P2'!P9)</f>
        <v>42</v>
      </c>
      <c r="J20" s="144">
        <f>IF('P2'!Q9="","",'P2'!Q9)</f>
        <v>66.905885917746986</v>
      </c>
      <c r="K20">
        <v>8</v>
      </c>
    </row>
    <row r="21" spans="1:11" ht="14.45" thickBot="1">
      <c r="A21" s="74"/>
      <c r="B21" s="144">
        <f>IF('P2'!A25="","",'P2'!A25)</f>
        <v>70.959999999999994</v>
      </c>
      <c r="C21" s="144" t="str">
        <f>IF('P2'!C25="","",'P2'!C25)</f>
        <v>UK</v>
      </c>
      <c r="D21" s="145">
        <f>IF('P2'!E25="","",'P2'!E25)</f>
        <v>37889</v>
      </c>
      <c r="E21" s="146" t="str">
        <f>IF('P2'!G25="","",'P2'!G25)</f>
        <v>Camilla Strand</v>
      </c>
      <c r="F21" s="146" t="str">
        <f>IF('P2'!G26="","",'P2'!G26)</f>
        <v>Larvik AK</v>
      </c>
      <c r="G21" s="147">
        <f>IF('P2'!N25="","",'P2'!N25)</f>
        <v>36</v>
      </c>
      <c r="H21" s="147" t="str">
        <f>IF('P2'!O25="","",'P2'!O25)</f>
        <v/>
      </c>
      <c r="I21" s="147" t="str">
        <f>IF('P2'!P25="","",'P2'!P25)</f>
        <v/>
      </c>
      <c r="J21" s="144" t="str">
        <f>IF('P2'!Q25="","",'P2'!Q25)</f>
        <v/>
      </c>
    </row>
    <row r="22" spans="1:11" ht="21" customHeight="1" thickBot="1">
      <c r="A22" s="391" t="s">
        <v>272</v>
      </c>
      <c r="B22" s="392"/>
      <c r="C22" s="392"/>
      <c r="D22" s="392"/>
      <c r="E22" s="392"/>
      <c r="F22" s="392"/>
      <c r="G22" s="392"/>
      <c r="H22" s="392"/>
      <c r="I22" s="392"/>
      <c r="J22" s="393"/>
    </row>
    <row r="23" spans="1:11" s="73" customFormat="1">
      <c r="A23" s="141" t="s">
        <v>265</v>
      </c>
      <c r="B23" s="148" t="s">
        <v>266</v>
      </c>
      <c r="C23" s="148" t="s">
        <v>72</v>
      </c>
      <c r="D23" s="141" t="s">
        <v>269</v>
      </c>
      <c r="E23" s="142" t="s">
        <v>15</v>
      </c>
      <c r="F23" s="142" t="s">
        <v>85</v>
      </c>
      <c r="G23" s="141" t="s">
        <v>17</v>
      </c>
      <c r="H23" s="141" t="s">
        <v>18</v>
      </c>
      <c r="I23" s="141" t="s">
        <v>277</v>
      </c>
      <c r="J23" s="141" t="s">
        <v>21</v>
      </c>
      <c r="K23"/>
    </row>
    <row r="24" spans="1:11" ht="14.1">
      <c r="A24" s="74">
        <v>1</v>
      </c>
      <c r="B24" s="144">
        <f>IF('P8'!A15="","",'P8'!A15)</f>
        <v>65.39</v>
      </c>
      <c r="C24" s="144" t="str">
        <f>IF('P8'!C15="","",'P8'!C15)</f>
        <v>JM</v>
      </c>
      <c r="D24" s="145">
        <f>IF('P8'!E15="","",'P8'!E15)</f>
        <v>36529</v>
      </c>
      <c r="E24" s="146" t="str">
        <f>IF('P8'!G15="","",'P8'!G15)</f>
        <v>Robert Andre Moldestad</v>
      </c>
      <c r="F24" s="146" t="str">
        <f>IF('P8'!G16="","",'P8'!G16)</f>
        <v>Breimsbygda IL</v>
      </c>
      <c r="G24" s="147">
        <f>IF('P8'!N15="","",'P8'!N15)</f>
        <v>88</v>
      </c>
      <c r="H24" s="147">
        <f>IF('P8'!O15="","",'P8'!O15)</f>
        <v>112</v>
      </c>
      <c r="I24" s="147">
        <f>IF('P8'!P15="","",'P8'!P15)</f>
        <v>200</v>
      </c>
      <c r="J24" s="144">
        <f>IF('P8'!Q15="","",'P8'!Q15)</f>
        <v>274.96689424237792</v>
      </c>
      <c r="K24">
        <v>25</v>
      </c>
    </row>
    <row r="25" spans="1:11" ht="14.1">
      <c r="A25" s="74">
        <v>2</v>
      </c>
      <c r="B25" s="144">
        <f>IF('P8'!A19="","",'P8'!A19)</f>
        <v>82.58</v>
      </c>
      <c r="C25" s="144" t="str">
        <f>IF('P8'!C19="","",'P8'!C19)</f>
        <v>UM</v>
      </c>
      <c r="D25" s="145">
        <f>IF('P8'!E19="","",'P8'!E19)</f>
        <v>36946</v>
      </c>
      <c r="E25" s="146" t="str">
        <f>IF('P8'!G19="","",'P8'!G19)</f>
        <v>Håkon Eik Litland</v>
      </c>
      <c r="F25" s="146" t="str">
        <f>IF('P8'!G20="","",'P8'!G20)</f>
        <v>AK Bjørgvin</v>
      </c>
      <c r="G25" s="147">
        <f>IF('P8'!N19="","",'P8'!N19)</f>
        <v>102</v>
      </c>
      <c r="H25" s="147">
        <f>IF('P8'!O19="","",'P8'!O19)</f>
        <v>118</v>
      </c>
      <c r="I25" s="147">
        <f>IF('P8'!P19="","",'P8'!P19)</f>
        <v>220</v>
      </c>
      <c r="J25" s="144">
        <f>IF('P8'!Q19="","",'P8'!Q19)</f>
        <v>264.87141504367173</v>
      </c>
      <c r="K25">
        <v>23</v>
      </c>
    </row>
    <row r="26" spans="1:11" ht="14.1">
      <c r="A26" s="74">
        <v>3</v>
      </c>
      <c r="B26" s="144">
        <f>IF('P8'!A13="","",'P8'!A13)</f>
        <v>69.23</v>
      </c>
      <c r="C26" s="144" t="str">
        <f>IF('P8'!C13="","",'P8'!C13)</f>
        <v>UM</v>
      </c>
      <c r="D26" s="145" t="str">
        <f>IF('P8'!E13="","",'P8'!E13)</f>
        <v>25.11.01</v>
      </c>
      <c r="E26" s="146" t="str">
        <f>IF('P8'!G13="","",'P8'!G13)</f>
        <v>Aron Süssmann</v>
      </c>
      <c r="F26" s="146" t="str">
        <f>IF('P8'!G14="","",'P8'!G14)</f>
        <v>Stavanger VK</v>
      </c>
      <c r="G26" s="147">
        <f>IF('P8'!N13="","",'P8'!N13)</f>
        <v>91</v>
      </c>
      <c r="H26" s="147">
        <f>IF('P8'!O13="","",'P8'!O13)</f>
        <v>105</v>
      </c>
      <c r="I26" s="147">
        <f>IF('P8'!P13="","",'P8'!P13)</f>
        <v>196</v>
      </c>
      <c r="J26" s="144">
        <f>IF('P8'!Q13="","",'P8'!Q13)</f>
        <v>260.0082344869511</v>
      </c>
      <c r="K26">
        <v>21</v>
      </c>
    </row>
    <row r="27" spans="1:11" ht="14.1">
      <c r="A27" s="74">
        <v>4</v>
      </c>
      <c r="B27" s="144">
        <f>IF('P7'!A23="","",'P7'!A23)</f>
        <v>85.24</v>
      </c>
      <c r="C27" s="144" t="str">
        <f>IF('P7'!C23="","",'P7'!C23)</f>
        <v>UM</v>
      </c>
      <c r="D27" s="145">
        <f>IF('P7'!E23="","",'P7'!E23)</f>
        <v>37288</v>
      </c>
      <c r="E27" s="146" t="str">
        <f>IF('P7'!G23="","",'P7'!G23)</f>
        <v>Dennis Lauritsen</v>
      </c>
      <c r="F27" s="146" t="str">
        <f>IF('P7'!G24="","",'P7'!G24)</f>
        <v>Larvik AK</v>
      </c>
      <c r="G27" s="147">
        <f>IF('P7'!N23="","",'P7'!N23)</f>
        <v>95</v>
      </c>
      <c r="H27" s="147">
        <f>IF('P7'!O23="","",'P7'!O23)</f>
        <v>112</v>
      </c>
      <c r="I27" s="147">
        <f>IF('P7'!P23="","",'P7'!P23)</f>
        <v>207</v>
      </c>
      <c r="J27" s="144">
        <f>IF('P7'!Q23="","",'P7'!Q23)</f>
        <v>245.44012980343405</v>
      </c>
      <c r="K27">
        <v>20</v>
      </c>
    </row>
    <row r="28" spans="1:11" ht="14.1">
      <c r="A28" s="74">
        <v>5</v>
      </c>
      <c r="B28" s="144">
        <f>IF('P9'!A27="","",'P9'!A27)</f>
        <v>88.42</v>
      </c>
      <c r="C28" s="144" t="str">
        <f>IF('P9'!C27="","",'P9'!C27)</f>
        <v>JM</v>
      </c>
      <c r="D28" s="145" t="str">
        <f>IF('P9'!E27="","",'P9'!E27)</f>
        <v>12.09.99</v>
      </c>
      <c r="E28" s="146" t="str">
        <f>IF('P9'!G27="","",'P9'!G27)</f>
        <v>Vetle Andersen</v>
      </c>
      <c r="F28" s="146" t="str">
        <f>IF('P9'!G28="","",'P9'!G28)</f>
        <v>Larvik AK</v>
      </c>
      <c r="G28" s="147">
        <f>IF('P9'!N27="","",'P9'!N27)</f>
        <v>90</v>
      </c>
      <c r="H28" s="147">
        <f>IF('P9'!O27="","",'P9'!O27)</f>
        <v>114</v>
      </c>
      <c r="I28" s="147">
        <f>IF('P9'!P27="","",'P9'!P27)</f>
        <v>204</v>
      </c>
      <c r="J28" s="144">
        <f>IF('P9'!Q27="","",'P9'!Q27)</f>
        <v>237.84405034369772</v>
      </c>
      <c r="K28">
        <v>19</v>
      </c>
    </row>
    <row r="29" spans="1:11" ht="14.1">
      <c r="A29" s="74">
        <v>6</v>
      </c>
      <c r="B29" s="144">
        <f>IF('P8'!A9="","",'P8'!A9)</f>
        <v>74.260000000000005</v>
      </c>
      <c r="C29" s="144" t="str">
        <f>IF('P8'!C9="","",'P8'!C9)</f>
        <v>JM</v>
      </c>
      <c r="D29" s="145">
        <f>IF('P8'!E9="","",'P8'!E9)</f>
        <v>37160</v>
      </c>
      <c r="E29" s="146" t="str">
        <f>IF('P8'!G9="","",'P8'!G9)</f>
        <v>Remy Aune</v>
      </c>
      <c r="F29" s="146" t="str">
        <f>IF('P8'!G10="","",'P8'!G10)</f>
        <v>Hitra VK</v>
      </c>
      <c r="G29" s="147">
        <f>IF('P8'!N9="","",'P8'!N9)</f>
        <v>77</v>
      </c>
      <c r="H29" s="147">
        <f>IF('P8'!O9="","",'P8'!O9)</f>
        <v>100</v>
      </c>
      <c r="I29" s="147">
        <f>IF('P8'!P9="","",'P8'!P9)</f>
        <v>177</v>
      </c>
      <c r="J29" s="144">
        <f>IF('P8'!Q9="","",'P8'!Q9)</f>
        <v>225.36935784776455</v>
      </c>
      <c r="K29">
        <v>18</v>
      </c>
    </row>
    <row r="30" spans="1:11" ht="14.1">
      <c r="A30" s="74">
        <v>7</v>
      </c>
      <c r="B30" s="144">
        <f>IF('P10'!A9="","",'P10'!A9)</f>
        <v>96.27</v>
      </c>
      <c r="C30" s="144" t="str">
        <f>IF('P10'!C9="","",'P10'!C9)</f>
        <v>JM</v>
      </c>
      <c r="D30" s="145">
        <f>IF('P10'!E9="","",'P10'!E9)</f>
        <v>36029</v>
      </c>
      <c r="E30" s="146" t="str">
        <f>IF('P10'!G9="","",'P10'!G9)</f>
        <v>Ole-Kristoffer Sørland</v>
      </c>
      <c r="F30" s="146" t="str">
        <f>IF('P10'!G10="","",'P10'!G10)</f>
        <v>Breimsbygda IL</v>
      </c>
      <c r="G30" s="147">
        <f>IF('P10'!N9="","",'P10'!N9)</f>
        <v>90</v>
      </c>
      <c r="H30" s="147">
        <f>IF('P10'!O9="","",'P10'!O9)</f>
        <v>105</v>
      </c>
      <c r="I30" s="147">
        <f>IF('P10'!P9="","",'P10'!P9)</f>
        <v>195</v>
      </c>
      <c r="J30" s="144">
        <f>IF('P10'!Q9="","",'P10'!Q9)</f>
        <v>219.37226416968247</v>
      </c>
      <c r="K30">
        <v>17</v>
      </c>
    </row>
    <row r="31" spans="1:11" ht="14.1">
      <c r="A31" s="74">
        <v>8</v>
      </c>
      <c r="B31" s="144">
        <f>IF('P8'!A17="","",'P8'!A17)</f>
        <v>81.489999999999995</v>
      </c>
      <c r="C31" s="144" t="str">
        <f>IF('P8'!C17="","",'P8'!C17)</f>
        <v>JM</v>
      </c>
      <c r="D31" s="145">
        <f>IF('P8'!E17="","",'P8'!E17)</f>
        <v>36748</v>
      </c>
      <c r="E31" s="146" t="str">
        <f>IF('P8'!G17="","",'P8'!G17)</f>
        <v>Bernt Andre Midtbø</v>
      </c>
      <c r="F31" s="146" t="str">
        <f>IF('P8'!G18="","",'P8'!G18)</f>
        <v>Breimsbygda IL</v>
      </c>
      <c r="G31" s="147">
        <f>IF('P8'!N17="","",'P8'!N17)</f>
        <v>75</v>
      </c>
      <c r="H31" s="147">
        <f>IF('P8'!O17="","",'P8'!O17)</f>
        <v>106</v>
      </c>
      <c r="I31" s="147">
        <f>IF('P8'!P17="","",'P8'!P17)</f>
        <v>181</v>
      </c>
      <c r="J31" s="144">
        <f>IF('P8'!Q17="","",'P8'!Q17)</f>
        <v>219.36002558972436</v>
      </c>
      <c r="K31">
        <v>16</v>
      </c>
    </row>
    <row r="32" spans="1:11" ht="14.1">
      <c r="A32" s="74">
        <v>9</v>
      </c>
      <c r="B32" s="144">
        <f>IF('P8'!A21="","",'P8'!A21)</f>
        <v>88.96</v>
      </c>
      <c r="C32" s="144" t="str">
        <f>IF('P8'!C21="","",'P8'!C21)</f>
        <v>JM</v>
      </c>
      <c r="D32" s="145">
        <f>IF('P8'!E21="","",'P8'!E21)</f>
        <v>36862</v>
      </c>
      <c r="E32" s="146" t="str">
        <f>IF('P8'!G21="","",'P8'!G21)</f>
        <v>Daniel Solberg</v>
      </c>
      <c r="F32" s="146" t="str">
        <f>IF('P8'!G22="","",'P8'!G22)</f>
        <v>Tønsberg-Kam.</v>
      </c>
      <c r="G32" s="147">
        <f>IF('P8'!N21="","",'P8'!N21)</f>
        <v>81</v>
      </c>
      <c r="H32" s="147">
        <f>IF('P8'!O21="","",'P8'!O21)</f>
        <v>107</v>
      </c>
      <c r="I32" s="147">
        <f>IF('P8'!P21="","",'P8'!P21)</f>
        <v>188</v>
      </c>
      <c r="J32" s="144">
        <f>IF('P8'!Q21="","",'P8'!Q21)</f>
        <v>218.59548566007916</v>
      </c>
      <c r="K32">
        <v>15</v>
      </c>
    </row>
    <row r="33" spans="1:11" ht="14.1">
      <c r="A33" s="74">
        <v>10</v>
      </c>
      <c r="B33" s="144">
        <f>IF('P7'!A19="","",'P7'!A19)</f>
        <v>60.21</v>
      </c>
      <c r="C33" s="144" t="str">
        <f>IF('P7'!C19="","",'P7'!C19)</f>
        <v>UM</v>
      </c>
      <c r="D33" s="145">
        <f>IF('P7'!E19="","",'P7'!E19)</f>
        <v>37500</v>
      </c>
      <c r="E33" s="146" t="str">
        <f>IF('P7'!G19="","",'P7'!G19)</f>
        <v>Mats Hofstad</v>
      </c>
      <c r="F33" s="146" t="str">
        <f>IF('P7'!G20="","",'P7'!G20)</f>
        <v>Trondheim AK</v>
      </c>
      <c r="G33" s="147">
        <f>IF('P7'!N19="","",'P7'!N19)</f>
        <v>65</v>
      </c>
      <c r="H33" s="147">
        <f>IF('P7'!O19="","",'P7'!O19)</f>
        <v>85</v>
      </c>
      <c r="I33" s="147">
        <f>IF('P7'!P19="","",'P7'!P19)</f>
        <v>150</v>
      </c>
      <c r="J33" s="144">
        <f>IF('P7'!Q19="","",'P7'!Q19)</f>
        <v>217.98205222135434</v>
      </c>
      <c r="K33">
        <v>14</v>
      </c>
    </row>
    <row r="34" spans="1:11" ht="14.1">
      <c r="A34" s="74">
        <v>11</v>
      </c>
      <c r="B34" s="144">
        <f>IF('P7'!A15="","",'P7'!A15)</f>
        <v>64.349999999999994</v>
      </c>
      <c r="C34" s="144" t="str">
        <f>IF('P7'!C15="","",'P7'!C15)</f>
        <v>UM</v>
      </c>
      <c r="D34" s="145">
        <f>IF('P7'!E15="","",'P7'!E15)</f>
        <v>38105</v>
      </c>
      <c r="E34" s="146" t="str">
        <f>IF('P7'!G15="","",'P7'!G15)</f>
        <v>Henrik Reiakvam</v>
      </c>
      <c r="F34" s="146" t="str">
        <f>IF('P7'!G16="","",'P7'!G16)</f>
        <v>Tambarskjelvar IL</v>
      </c>
      <c r="G34" s="147">
        <f>IF('P7'!N15="","",'P7'!N15)</f>
        <v>68</v>
      </c>
      <c r="H34" s="147">
        <f>IF('P7'!O15="","",'P7'!O15)</f>
        <v>86</v>
      </c>
      <c r="I34" s="147">
        <f>IF('P7'!P15="","",'P7'!P15)</f>
        <v>154</v>
      </c>
      <c r="J34" s="144">
        <f>IF('P7'!Q15="","",'P7'!Q15)</f>
        <v>213.94272121623928</v>
      </c>
      <c r="K34">
        <v>13</v>
      </c>
    </row>
    <row r="35" spans="1:11" ht="14.1">
      <c r="A35" s="74">
        <v>12</v>
      </c>
      <c r="B35" s="144">
        <f>IF('P7'!A13="","",'P7'!A13)</f>
        <v>66.28</v>
      </c>
      <c r="C35" s="144" t="str">
        <f>IF('P7'!C13="","",'P7'!C13)</f>
        <v>UM</v>
      </c>
      <c r="D35" s="145">
        <f>IF('P7'!E13="","",'P7'!E13)</f>
        <v>38320</v>
      </c>
      <c r="E35" s="146" t="str">
        <f>IF('P7'!G13="","",'P7'!G13)</f>
        <v>Kristen Røyseth</v>
      </c>
      <c r="F35" s="146" t="str">
        <f>IF('P7'!G14="","",'P7'!G14)</f>
        <v>Tambarskjelvar IL</v>
      </c>
      <c r="G35" s="147">
        <f>IF('P7'!N13="","",'P7'!N13)</f>
        <v>64</v>
      </c>
      <c r="H35" s="147">
        <f>IF('P7'!O13="","",'P7'!O13)</f>
        <v>84</v>
      </c>
      <c r="I35" s="147">
        <f>IF('P7'!P13="","",'P7'!P13)</f>
        <v>148</v>
      </c>
      <c r="J35" s="144">
        <f>IF('P7'!Q13="","",'P7'!Q13)</f>
        <v>201.72143559727616</v>
      </c>
      <c r="K35">
        <v>12</v>
      </c>
    </row>
    <row r="36" spans="1:11" ht="14.1">
      <c r="A36" s="74">
        <v>13</v>
      </c>
      <c r="B36" s="144">
        <f>IF('P7'!A11="","",'P7'!A11)</f>
        <v>61.9</v>
      </c>
      <c r="C36" s="144" t="str">
        <f>IF('P7'!C11="","",'P7'!C11)</f>
        <v>UM</v>
      </c>
      <c r="D36" s="145">
        <f>IF('P7'!E11="","",'P7'!E11)</f>
        <v>38055</v>
      </c>
      <c r="E36" s="146" t="str">
        <f>IF('P7'!G11="","",'P7'!G11)</f>
        <v>Joachim Offman</v>
      </c>
      <c r="F36" s="146" t="str">
        <f>IF('P7'!G12="","",'P7'!G12)</f>
        <v>Tambarskjelvar IL</v>
      </c>
      <c r="G36" s="147">
        <f>IF('P7'!N11="","",'P7'!N11)</f>
        <v>63</v>
      </c>
      <c r="H36" s="147">
        <f>IF('P7'!O11="","",'P7'!O11)</f>
        <v>77</v>
      </c>
      <c r="I36" s="147">
        <f>IF('P7'!P11="","",'P7'!P11)</f>
        <v>140</v>
      </c>
      <c r="J36" s="144">
        <f>IF('P7'!Q11="","",'P7'!Q11)</f>
        <v>199.60242134441518</v>
      </c>
      <c r="K36">
        <v>11</v>
      </c>
    </row>
    <row r="37" spans="1:11" ht="14.1">
      <c r="A37" s="74">
        <v>14</v>
      </c>
      <c r="B37" s="144">
        <f>IF('P1'!B11="","",'P1'!B11)</f>
        <v>75.37</v>
      </c>
      <c r="C37" s="144" t="str">
        <f>IF('P1'!C11="","",'P1'!C11)</f>
        <v>JM</v>
      </c>
      <c r="D37" s="145">
        <f>IF('P1'!D11="","",'P1'!D11)</f>
        <v>36663</v>
      </c>
      <c r="E37" s="146" t="str">
        <f>IF('P1'!F11="","",'P1'!F11)</f>
        <v>Gard Bahmanyar</v>
      </c>
      <c r="F37" s="146" t="str">
        <f>IF('P1'!G11="","",'P1'!G11)</f>
        <v>Spydeberg Atletene</v>
      </c>
      <c r="G37" s="147">
        <f>IF('P1'!N11="","",'P1'!N11)</f>
        <v>69</v>
      </c>
      <c r="H37" s="147">
        <f>IF('P1'!O11="","",'P1'!O11)</f>
        <v>85</v>
      </c>
      <c r="I37" s="147">
        <f>IF('P1'!P11="","",'P1'!P11)</f>
        <v>154</v>
      </c>
      <c r="J37" s="144">
        <f>IF('P1'!Q11="","",'P1'!Q11)</f>
        <v>194.47051443086553</v>
      </c>
      <c r="K37">
        <v>10</v>
      </c>
    </row>
    <row r="38" spans="1:11" ht="14.1">
      <c r="A38" s="74">
        <v>15</v>
      </c>
      <c r="B38" s="144">
        <f>IF('P7'!A27="","",'P7'!A27)</f>
        <v>101.59</v>
      </c>
      <c r="C38" s="144" t="str">
        <f>IF('P7'!C27="","",'P7'!C27)</f>
        <v>UM</v>
      </c>
      <c r="D38" s="145">
        <f>IF('P7'!E27="","",'P7'!E27)</f>
        <v>37645</v>
      </c>
      <c r="E38" s="146" t="str">
        <f>IF('P7'!G27="","",'P7'!G27)</f>
        <v>Mathias Dale</v>
      </c>
      <c r="F38" s="146" t="str">
        <f>IF('P7'!G28="","",'P7'!G28)</f>
        <v>Breimsbygda IL</v>
      </c>
      <c r="G38" s="147">
        <f>IF('P7'!N27="","",'P7'!N27)</f>
        <v>76</v>
      </c>
      <c r="H38" s="147">
        <f>IF('P7'!O27="","",'P7'!O27)</f>
        <v>85</v>
      </c>
      <c r="I38" s="147">
        <f>IF('P7'!P27="","",'P7'!P27)</f>
        <v>161</v>
      </c>
      <c r="J38" s="144">
        <f>IF('P7'!Q27="","",'P7'!Q27)</f>
        <v>177.50924417657751</v>
      </c>
      <c r="K38">
        <v>9</v>
      </c>
    </row>
    <row r="39" spans="1:11" ht="14.1">
      <c r="A39" s="74">
        <v>16</v>
      </c>
      <c r="B39" s="144">
        <f>IF('P7'!A25="","",'P7'!A25)</f>
        <v>92.27</v>
      </c>
      <c r="C39" s="144" t="str">
        <f>IF('P7'!C25="","",'P7'!C25)</f>
        <v>UM</v>
      </c>
      <c r="D39" s="145">
        <f>IF('P7'!E25="","",'P7'!E25)</f>
        <v>37350</v>
      </c>
      <c r="E39" s="146" t="str">
        <f>IF('P7'!G25="","",'P7'!G25)</f>
        <v>Hans Gunnar Kvadsheim</v>
      </c>
      <c r="F39" s="146" t="str">
        <f>IF('P7'!G26="","",'P7'!G26)</f>
        <v>Vigrestad IK</v>
      </c>
      <c r="G39" s="147">
        <f>IF('P7'!N25="","",'P7'!N25)</f>
        <v>70</v>
      </c>
      <c r="H39" s="147">
        <f>IF('P7'!O25="","",'P7'!O25)</f>
        <v>82</v>
      </c>
      <c r="I39" s="147">
        <f>IF('P7'!P25="","",'P7'!P25)</f>
        <v>152</v>
      </c>
      <c r="J39" s="144">
        <f>IF('P7'!Q25="","",'P7'!Q25)</f>
        <v>173.97024360906391</v>
      </c>
      <c r="K39">
        <v>8</v>
      </c>
    </row>
    <row r="40" spans="1:11" ht="14.1">
      <c r="A40" s="74">
        <v>17</v>
      </c>
      <c r="B40" s="144">
        <f>IF('P7'!A21="","",'P7'!A21)</f>
        <v>71.59</v>
      </c>
      <c r="C40" s="144" t="str">
        <f>IF('P7'!C21="","",'P7'!C21)</f>
        <v>UM</v>
      </c>
      <c r="D40" s="145">
        <f>IF('P7'!E21="","",'P7'!E21)</f>
        <v>37687</v>
      </c>
      <c r="E40" s="146" t="str">
        <f>IF('P7'!G21="","",'P7'!G21)</f>
        <v>Anders Vik</v>
      </c>
      <c r="F40" s="146" t="str">
        <f>IF('P7'!G22="","",'P7'!G22)</f>
        <v>AK Bjørgvin</v>
      </c>
      <c r="G40" s="147">
        <f>IF('P7'!N21="","",'P7'!N21)</f>
        <v>55</v>
      </c>
      <c r="H40" s="147">
        <f>IF('P7'!O21="","",'P7'!O21)</f>
        <v>74</v>
      </c>
      <c r="I40" s="147">
        <f>IF('P7'!P21="","",'P7'!P21)</f>
        <v>129</v>
      </c>
      <c r="J40" s="144">
        <f>IF('P7'!Q21="","",'P7'!Q21)</f>
        <v>167.73936833924796</v>
      </c>
      <c r="K40">
        <v>7</v>
      </c>
    </row>
    <row r="41" spans="1:11" ht="14.1">
      <c r="A41" s="74">
        <v>18</v>
      </c>
      <c r="B41" s="144">
        <f>IF('P7'!A17="","",'P7'!A17)</f>
        <v>69.14</v>
      </c>
      <c r="C41" s="144" t="str">
        <f>IF('P7'!C17="","",'P7'!C17)</f>
        <v>UM</v>
      </c>
      <c r="D41" s="145">
        <f>IF('P7'!E17="","",'P7'!E17)</f>
        <v>38286</v>
      </c>
      <c r="E41" s="146" t="str">
        <f>IF('P7'!G17="","",'P7'!G17)</f>
        <v>Daniel Ravndal</v>
      </c>
      <c r="F41" s="146" t="str">
        <f>IF('P7'!G18="","",'P7'!G18)</f>
        <v>Tambarskjelvar IL</v>
      </c>
      <c r="G41" s="147">
        <f>IF('P7'!N17="","",'P7'!N17)</f>
        <v>51</v>
      </c>
      <c r="H41" s="147">
        <f>IF('P7'!O17="","",'P7'!O17)</f>
        <v>62</v>
      </c>
      <c r="I41" s="147">
        <f>IF('P7'!P17="","",'P7'!P17)</f>
        <v>113</v>
      </c>
      <c r="J41" s="144">
        <f>IF('P7'!Q17="","",'P7'!Q17)</f>
        <v>150.02131507107549</v>
      </c>
      <c r="K41">
        <v>6</v>
      </c>
    </row>
    <row r="42" spans="1:11" ht="14.1">
      <c r="A42" s="74">
        <v>19</v>
      </c>
      <c r="B42" s="144">
        <f>IF('P7'!A9="","",'P7'!A9)</f>
        <v>45.47</v>
      </c>
      <c r="C42" s="144" t="str">
        <f>IF('P7'!C9="","",'P7'!C9)</f>
        <v>UM</v>
      </c>
      <c r="D42" s="145">
        <f>IF('P7'!E9="","",'P7'!E9)</f>
        <v>38415</v>
      </c>
      <c r="E42" s="146" t="str">
        <f>IF('P7'!G9="","",'P7'!G9)</f>
        <v>Stefan Rønnevik</v>
      </c>
      <c r="F42" s="146" t="str">
        <f>IF('P7'!G10="","",'P7'!G10)</f>
        <v>Tysvær VK</v>
      </c>
      <c r="G42" s="147">
        <f>IF('P7'!N9="","",'P7'!N9)</f>
        <v>26</v>
      </c>
      <c r="H42" s="147">
        <f>IF('P7'!O9="","",'P7'!O9)</f>
        <v>35</v>
      </c>
      <c r="I42" s="147">
        <f>IF('P7'!P9="","",'P7'!P9)</f>
        <v>61</v>
      </c>
      <c r="J42" s="144">
        <f>IF('P7'!Q9="","",'P7'!Q9)</f>
        <v>110.67487900872533</v>
      </c>
      <c r="K42">
        <v>5</v>
      </c>
    </row>
    <row r="43" spans="1:11" ht="14.1">
      <c r="A43" s="74">
        <v>20</v>
      </c>
      <c r="B43" s="144">
        <f>IF('P8'!A11="","",'P8'!A11)</f>
        <v>62.12</v>
      </c>
      <c r="C43" s="144" t="str">
        <f>IF('P8'!C11="","",'P8'!C11)</f>
        <v>JM</v>
      </c>
      <c r="D43" s="145">
        <f>IF('P8'!E11="","",'P8'!E11)</f>
        <v>36879</v>
      </c>
      <c r="E43" s="146" t="str">
        <f>IF('P8'!G11="","",'P8'!G11)</f>
        <v>Marcus Bratli</v>
      </c>
      <c r="F43" s="146" t="str">
        <f>IF('P8'!G12="","",'P8'!G12)</f>
        <v>AK Bjørgvin</v>
      </c>
      <c r="G43" s="147" t="str">
        <f>IF('P8'!N11="","",'P8'!N11)</f>
        <v/>
      </c>
      <c r="H43" s="147" t="str">
        <f>IF('P8'!O11="","",'P8'!O11)</f>
        <v/>
      </c>
      <c r="I43" s="147" t="str">
        <f>IF('P8'!P11="","",'P8'!P11)</f>
        <v/>
      </c>
      <c r="J43" s="144" t="str">
        <f>IF('P8'!Q11="","",'P8'!Q11)</f>
        <v/>
      </c>
    </row>
  </sheetData>
  <sortState xmlns:xlrd2="http://schemas.microsoft.com/office/spreadsheetml/2017/richdata2" ref="A6:K20">
    <sortCondition descending="1" ref="J6:J20"/>
  </sortState>
  <mergeCells count="6">
    <mergeCell ref="A22:J22"/>
    <mergeCell ref="A1:J1"/>
    <mergeCell ref="A2:D2"/>
    <mergeCell ref="E2:F2"/>
    <mergeCell ref="G2:J2"/>
    <mergeCell ref="A3:J3"/>
  </mergeCells>
  <pageMargins left="0.75" right="0.75" top="1" bottom="1" header="0.5" footer="0.5"/>
  <pageSetup paperSize="9" scale="72" fitToHeight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12"/>
  <sheetViews>
    <sheetView showZeros="0" workbookViewId="0">
      <selection activeCell="K13" sqref="K13"/>
    </sheetView>
  </sheetViews>
  <sheetFormatPr defaultColWidth="8.85546875" defaultRowHeight="12.95"/>
  <cols>
    <col min="1" max="1" width="5.42578125" customWidth="1"/>
    <col min="2" max="3" width="7.5703125" customWidth="1"/>
    <col min="4" max="4" width="10.42578125" customWidth="1"/>
    <col min="5" max="5" width="27.5703125" customWidth="1"/>
    <col min="6" max="6" width="22" customWidth="1"/>
    <col min="7" max="9" width="6.85546875" customWidth="1"/>
    <col min="10" max="10" width="8.5703125" customWidth="1"/>
  </cols>
  <sheetData>
    <row r="1" spans="1:11" ht="30" customHeight="1" thickBot="1">
      <c r="A1" s="383" t="s">
        <v>279</v>
      </c>
      <c r="B1" s="384"/>
      <c r="C1" s="384"/>
      <c r="D1" s="384"/>
      <c r="E1" s="384"/>
      <c r="F1" s="384"/>
      <c r="G1" s="384"/>
      <c r="H1" s="384"/>
      <c r="I1" s="384"/>
      <c r="J1" s="385"/>
    </row>
    <row r="2" spans="1:11" s="149" customFormat="1" ht="25.5" thickBot="1">
      <c r="A2" s="394" t="str">
        <f>IF('P2'!J5&gt;0,'P2'!J5,"")</f>
        <v>Larvik AK</v>
      </c>
      <c r="B2" s="394"/>
      <c r="C2" s="394"/>
      <c r="D2" s="394"/>
      <c r="E2" s="394" t="str">
        <f>IF('P2'!P5&gt;0,'P2'!P5,"")</f>
        <v>Stavernhallen</v>
      </c>
      <c r="F2" s="394"/>
      <c r="G2" s="389">
        <f>IF('P2'!U5&gt;0,'P2'!U5,"")</f>
        <v>43358</v>
      </c>
      <c r="H2" s="389"/>
      <c r="I2" s="389"/>
      <c r="J2" s="389"/>
    </row>
    <row r="3" spans="1:11" ht="21" customHeight="1" thickBot="1">
      <c r="A3" s="377" t="s">
        <v>264</v>
      </c>
      <c r="B3" s="378"/>
      <c r="C3" s="378"/>
      <c r="D3" s="378"/>
      <c r="E3" s="378"/>
      <c r="F3" s="378"/>
      <c r="G3" s="378"/>
      <c r="H3" s="378"/>
      <c r="I3" s="378"/>
      <c r="J3" s="379"/>
    </row>
    <row r="4" spans="1:11" s="73" customFormat="1" ht="12.6">
      <c r="A4" s="141" t="s">
        <v>265</v>
      </c>
      <c r="B4" s="148" t="s">
        <v>266</v>
      </c>
      <c r="C4" s="148" t="s">
        <v>72</v>
      </c>
      <c r="D4" s="141" t="s">
        <v>269</v>
      </c>
      <c r="E4" s="142" t="s">
        <v>15</v>
      </c>
      <c r="F4" s="142" t="s">
        <v>85</v>
      </c>
      <c r="G4" s="141" t="s">
        <v>17</v>
      </c>
      <c r="H4" s="141" t="s">
        <v>18</v>
      </c>
      <c r="I4" s="141" t="s">
        <v>277</v>
      </c>
      <c r="J4" s="141" t="s">
        <v>21</v>
      </c>
      <c r="K4" s="80"/>
    </row>
    <row r="5" spans="1:11" ht="14.1">
      <c r="A5" s="74">
        <v>1</v>
      </c>
      <c r="B5" s="144">
        <f>IF('P1'!B10="","",'P1'!B10)</f>
        <v>85.43</v>
      </c>
      <c r="C5" s="144" t="str">
        <f>IF('P1'!C10="","",'P1'!C10)</f>
        <v>K4</v>
      </c>
      <c r="D5" s="145">
        <f>IF('P1'!D10="","",'P1'!D10)</f>
        <v>24436</v>
      </c>
      <c r="E5" s="146" t="str">
        <f>IF('P1'!F10="","",'P1'!F10)</f>
        <v>Eva Grøndahl Lundberg</v>
      </c>
      <c r="F5" s="146" t="str">
        <f>IF('P1'!G10="","",'P1'!G10)</f>
        <v>Spydeberg Atletene</v>
      </c>
      <c r="G5" s="147">
        <f>IF('P1'!N10="","",'P1'!N10)</f>
        <v>35</v>
      </c>
      <c r="H5" s="147">
        <f>IF('P1'!O10="","",'P1'!O10)</f>
        <v>43</v>
      </c>
      <c r="I5" s="147">
        <f>IF('P1'!P10="","",'P1'!P10)</f>
        <v>78</v>
      </c>
      <c r="J5" s="144">
        <f>IF('P1'!R10="","",'P1'!R10)</f>
        <v>115.41757926008671</v>
      </c>
      <c r="K5">
        <v>25</v>
      </c>
    </row>
    <row r="6" spans="1:11" ht="14.1">
      <c r="A6" s="74"/>
      <c r="B6" s="144" t="str">
        <f>IF('P2'!A29="","",'P2'!A29)</f>
        <v/>
      </c>
      <c r="C6" s="144" t="str">
        <f>IF('P2'!C29="","",'P2'!C29)</f>
        <v/>
      </c>
      <c r="D6" s="145" t="str">
        <f>IF('P2'!E29="","",'P2'!E29)</f>
        <v/>
      </c>
      <c r="E6" s="146" t="str">
        <f>IF('P2'!G29="","",'P2'!G29)</f>
        <v/>
      </c>
      <c r="F6" s="146" t="str">
        <f>IF('P2'!G30="","",'P2'!G30)</f>
        <v/>
      </c>
      <c r="G6" s="147" t="str">
        <f>IF('P2'!N29="","",'P2'!N29)</f>
        <v/>
      </c>
      <c r="H6" s="147" t="str">
        <f>IF('P2'!O29="","",'P2'!O29)</f>
        <v/>
      </c>
      <c r="I6" s="147" t="str">
        <f>IF('P2'!P29="","",'P2'!P29)</f>
        <v/>
      </c>
      <c r="J6" s="144" t="str">
        <f>IF('P2'!R29="","",'P2'!R29)</f>
        <v/>
      </c>
    </row>
    <row r="7" spans="1:11" ht="14.45" thickBot="1">
      <c r="A7" s="74"/>
      <c r="B7" s="144" t="str">
        <f>IF('P2'!A31="","",'P2'!A31)</f>
        <v/>
      </c>
      <c r="C7" s="144" t="str">
        <f>IF('P2'!C31="","",'P2'!C31)</f>
        <v/>
      </c>
      <c r="D7" s="145" t="str">
        <f>IF('P2'!E31="","",'P2'!E31)</f>
        <v/>
      </c>
      <c r="E7" s="146" t="str">
        <f>IF('P2'!G31="","",'P2'!G31)</f>
        <v/>
      </c>
      <c r="F7" s="146" t="str">
        <f>IF('P2'!G32="","",'P2'!G32)</f>
        <v/>
      </c>
      <c r="G7" s="147" t="str">
        <f>IF('P2'!N31="","",'P2'!N31)</f>
        <v/>
      </c>
      <c r="H7" s="147" t="str">
        <f>IF('P2'!O31="","",'P2'!O31)</f>
        <v/>
      </c>
      <c r="I7" s="147" t="str">
        <f>IF('P2'!P31="","",'P2'!P31)</f>
        <v/>
      </c>
      <c r="J7" s="144" t="str">
        <f>IF('P2'!R31="","",'P2'!R31)</f>
        <v/>
      </c>
    </row>
    <row r="8" spans="1:11" ht="21" customHeight="1" thickBot="1">
      <c r="A8" s="391" t="s">
        <v>272</v>
      </c>
      <c r="B8" s="392"/>
      <c r="C8" s="392"/>
      <c r="D8" s="392"/>
      <c r="E8" s="392"/>
      <c r="F8" s="392"/>
      <c r="G8" s="392"/>
      <c r="H8" s="392"/>
      <c r="I8" s="392"/>
      <c r="J8" s="393"/>
    </row>
    <row r="9" spans="1:11" s="73" customFormat="1" ht="12.6">
      <c r="A9" s="141" t="s">
        <v>265</v>
      </c>
      <c r="B9" s="148" t="s">
        <v>266</v>
      </c>
      <c r="C9" s="148" t="s">
        <v>72</v>
      </c>
      <c r="D9" s="141" t="s">
        <v>269</v>
      </c>
      <c r="E9" s="142" t="s">
        <v>15</v>
      </c>
      <c r="F9" s="142" t="s">
        <v>85</v>
      </c>
      <c r="G9" s="141" t="s">
        <v>17</v>
      </c>
      <c r="H9" s="141" t="s">
        <v>18</v>
      </c>
      <c r="I9" s="141" t="s">
        <v>277</v>
      </c>
      <c r="J9" s="141" t="s">
        <v>21</v>
      </c>
      <c r="K9" s="80"/>
    </row>
    <row r="10" spans="1:11" ht="14.1">
      <c r="A10" s="74">
        <v>1</v>
      </c>
      <c r="B10" s="144">
        <f>IF('P1'!B12="","",'P1'!B12)</f>
        <v>74.48</v>
      </c>
      <c r="C10" s="144" t="str">
        <f>IF('P1'!C12="","",'P1'!C12)</f>
        <v>M4</v>
      </c>
      <c r="D10" s="145">
        <f>IF('P1'!D12="","",'P1'!D12)</f>
        <v>23444</v>
      </c>
      <c r="E10" s="146" t="str">
        <f>IF('P1'!F12="","",'P1'!F12)</f>
        <v>Atle Rønning Kauppinen</v>
      </c>
      <c r="F10" s="146" t="str">
        <f>IF('P1'!G12="","",'P1'!G12)</f>
        <v>Grenland AK</v>
      </c>
      <c r="G10" s="147">
        <f>IF('P1'!N12="","",'P1'!N12)</f>
        <v>91</v>
      </c>
      <c r="H10" s="147">
        <f>IF('P1'!O12="","",'P1'!O12)</f>
        <v>120</v>
      </c>
      <c r="I10" s="147">
        <f>IF('P1'!P12="","",'P1'!P12)</f>
        <v>211</v>
      </c>
      <c r="J10" s="144">
        <f>IF('P1'!R12="","",'P1'!R12)</f>
        <v>365.04105310196195</v>
      </c>
      <c r="K10">
        <v>25</v>
      </c>
    </row>
    <row r="11" spans="1:11" ht="14.1">
      <c r="A11" s="74">
        <v>2</v>
      </c>
      <c r="B11" s="144">
        <f>IF('P1'!B15="","",'P1'!B15)</f>
        <v>98.94</v>
      </c>
      <c r="C11" s="144" t="str">
        <f>IF('P1'!C15="","",'P1'!C15)</f>
        <v>M4</v>
      </c>
      <c r="D11" s="145">
        <f>IF('P1'!D15="","",'P1'!D15)</f>
        <v>24011</v>
      </c>
      <c r="E11" s="146" t="str">
        <f>IF('P1'!F15="","",'P1'!F15)</f>
        <v>Alexander Bahmanyar</v>
      </c>
      <c r="F11" s="146" t="str">
        <f>IF('P1'!G15="","",'P1'!G15)</f>
        <v>Spydeberg Atletene</v>
      </c>
      <c r="G11" s="147">
        <f>IF('P1'!N15="","",'P1'!N15)</f>
        <v>100</v>
      </c>
      <c r="H11" s="147">
        <f>IF('P1'!O15="","",'P1'!O15)</f>
        <v>135</v>
      </c>
      <c r="I11" s="147">
        <f>IF('P1'!P15="","",'P1'!P15)</f>
        <v>235</v>
      </c>
      <c r="J11" s="144">
        <f>IF('P1'!R15="","",'P1'!R15)</f>
        <v>350.03965150568473</v>
      </c>
      <c r="K11">
        <v>23</v>
      </c>
    </row>
    <row r="12" spans="1:11" ht="14.1">
      <c r="A12" s="74">
        <v>3</v>
      </c>
      <c r="B12" s="144">
        <f>IF('P1'!B14="","",'P1'!B14)</f>
        <v>95.18</v>
      </c>
      <c r="C12" s="144" t="str">
        <f>IF('P1'!C14="","",'P1'!C14)</f>
        <v>M7</v>
      </c>
      <c r="D12" s="145">
        <f>IF('P1'!D14="","",'P1'!D14)</f>
        <v>19656</v>
      </c>
      <c r="E12" s="146" t="str">
        <f>IF('P1'!F14="","",'P1'!F14)</f>
        <v>Johan Thonerud</v>
      </c>
      <c r="F12" s="146" t="str">
        <f>IF('P1'!G14="","",'P1'!G14)</f>
        <v>Spydeberg Atletene</v>
      </c>
      <c r="G12" s="147">
        <f>IF('P1'!N14="","",'P1'!N14)</f>
        <v>73</v>
      </c>
      <c r="H12" s="147">
        <f>IF('P1'!O14="","",'P1'!O14)</f>
        <v>93</v>
      </c>
      <c r="I12" s="147">
        <f>IF('P1'!P14="","",'P1'!P14)</f>
        <v>166</v>
      </c>
      <c r="J12" s="144">
        <f>IF('P1'!R14="","",'P1'!R14)</f>
        <v>311.96472133085535</v>
      </c>
      <c r="K12">
        <v>21</v>
      </c>
    </row>
  </sheetData>
  <mergeCells count="6">
    <mergeCell ref="A8:J8"/>
    <mergeCell ref="A1:J1"/>
    <mergeCell ref="A2:D2"/>
    <mergeCell ref="E2:F2"/>
    <mergeCell ref="G2:J2"/>
    <mergeCell ref="A3:J3"/>
  </mergeCells>
  <pageMargins left="0.75" right="0.75" top="1" bottom="1" header="0.5" footer="0.5"/>
  <pageSetup paperSize="9" scale="73" fitToHeight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>
    <pageSetUpPr fitToPage="1"/>
  </sheetPr>
  <dimension ref="A1:P31"/>
  <sheetViews>
    <sheetView showGridLines="0" showRowColHeaders="0" showZeros="0" workbookViewId="0">
      <selection activeCell="K7" sqref="K7"/>
    </sheetView>
  </sheetViews>
  <sheetFormatPr defaultColWidth="8.85546875" defaultRowHeight="12.95"/>
  <cols>
    <col min="1" max="1" width="5.5703125" customWidth="1"/>
    <col min="2" max="2" width="7.5703125" customWidth="1"/>
    <col min="3" max="3" width="27.5703125" customWidth="1"/>
    <col min="4" max="14" width="7.42578125" customWidth="1"/>
    <col min="15" max="15" width="9.42578125" customWidth="1"/>
    <col min="16" max="16" width="4.5703125" style="36" customWidth="1"/>
  </cols>
  <sheetData>
    <row r="1" spans="1:16" ht="23.1">
      <c r="A1" s="399" t="s">
        <v>78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15"/>
      <c r="P1" s="315"/>
    </row>
    <row r="2" spans="1:16" ht="15" customHeight="1">
      <c r="B2" s="75" t="s">
        <v>280</v>
      </c>
      <c r="C2" s="401" t="str">
        <f>IF('P2'!C5&gt;0,'P2'!C5,"")</f>
        <v>NM 5-kamp og Norges Cup 3. runde</v>
      </c>
      <c r="D2" s="401"/>
      <c r="E2" s="401"/>
      <c r="F2" s="401"/>
      <c r="G2" s="401"/>
      <c r="H2" s="76"/>
      <c r="I2" s="76"/>
      <c r="J2" s="76"/>
      <c r="K2" s="76"/>
      <c r="L2" s="76"/>
      <c r="M2" s="76"/>
      <c r="N2" s="76"/>
      <c r="O2" s="76"/>
      <c r="P2" s="76"/>
    </row>
    <row r="3" spans="1:16" ht="15.6">
      <c r="A3" s="400" t="s">
        <v>4</v>
      </c>
      <c r="B3" s="400"/>
      <c r="C3" s="401" t="str">
        <f>IF('P2'!J5&gt;0,'P2'!J5,"")</f>
        <v>Larvik AK</v>
      </c>
      <c r="D3" s="401"/>
      <c r="E3" s="77" t="s">
        <v>6</v>
      </c>
      <c r="F3" s="402" t="str">
        <f>IF('P2'!P5&gt;0,'P2'!P5,"")</f>
        <v>Stavernhallen</v>
      </c>
      <c r="G3" s="403"/>
      <c r="H3" s="403"/>
      <c r="I3" s="403"/>
      <c r="J3" s="261" t="s">
        <v>8</v>
      </c>
      <c r="K3" s="404">
        <f>IF('P2'!U5&gt;0,'P2'!U5,"")</f>
        <v>43358</v>
      </c>
      <c r="L3" s="404"/>
      <c r="M3" s="78" t="s">
        <v>9</v>
      </c>
      <c r="N3" s="131">
        <v>2</v>
      </c>
      <c r="O3" s="130"/>
      <c r="P3" s="79"/>
    </row>
    <row r="4" spans="1:16" ht="14.45" thickBot="1">
      <c r="B4" s="395" t="s">
        <v>281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78"/>
      <c r="P4" s="79"/>
    </row>
    <row r="5" spans="1:16" s="80" customFormat="1" ht="14.1">
      <c r="B5" s="81" t="s">
        <v>72</v>
      </c>
      <c r="C5" s="82" t="s">
        <v>15</v>
      </c>
      <c r="D5" s="396" t="s">
        <v>75</v>
      </c>
      <c r="E5" s="396"/>
      <c r="F5" s="396"/>
      <c r="G5" s="396"/>
      <c r="H5" s="397" t="s">
        <v>76</v>
      </c>
      <c r="I5" s="397"/>
      <c r="J5" s="397"/>
      <c r="K5" s="397"/>
      <c r="L5" s="398" t="s">
        <v>282</v>
      </c>
      <c r="M5" s="398"/>
      <c r="N5" s="398"/>
      <c r="O5" s="83"/>
      <c r="P5" s="84"/>
    </row>
    <row r="6" spans="1:16" ht="13.5" thickBot="1">
      <c r="B6" s="85" t="s">
        <v>79</v>
      </c>
      <c r="C6" s="86" t="s">
        <v>85</v>
      </c>
      <c r="D6" s="87">
        <v>1</v>
      </c>
      <c r="E6" s="87">
        <v>2</v>
      </c>
      <c r="F6" s="88">
        <v>3</v>
      </c>
      <c r="G6" s="89" t="s">
        <v>283</v>
      </c>
      <c r="H6" s="90">
        <v>1</v>
      </c>
      <c r="I6" s="87">
        <v>2</v>
      </c>
      <c r="J6" s="88">
        <v>3</v>
      </c>
      <c r="K6" s="89" t="s">
        <v>283</v>
      </c>
      <c r="L6" s="90">
        <v>1</v>
      </c>
      <c r="M6" s="88">
        <v>2</v>
      </c>
      <c r="N6" s="91" t="s">
        <v>283</v>
      </c>
      <c r="O6" s="92"/>
      <c r="P6" s="93"/>
    </row>
    <row r="7" spans="1:16" ht="18" customHeight="1">
      <c r="B7" s="94" t="e">
        <f>IF([1]P2!D9="","",[1]P2!D9)</f>
        <v>#REF!</v>
      </c>
      <c r="C7" s="124" t="e">
        <f>IF([1]P2!G9="","",[1]P2!G9)</f>
        <v>#REF!</v>
      </c>
      <c r="D7" s="114">
        <v>3.4</v>
      </c>
      <c r="E7" s="114">
        <v>3.52</v>
      </c>
      <c r="F7" s="115">
        <v>3.89</v>
      </c>
      <c r="G7" s="95">
        <f>IF(MAX(D7,E7,F7)&gt;0,MAX(D7,E7,F7),"")</f>
        <v>3.89</v>
      </c>
      <c r="H7" s="118">
        <v>5.9</v>
      </c>
      <c r="I7" s="114">
        <v>4.66</v>
      </c>
      <c r="J7" s="114">
        <v>4.3499999999999996</v>
      </c>
      <c r="K7" s="95">
        <f>IF(MAX(H7,I7,J7)&gt;0,MAX(H7,I7,J7),"")</f>
        <v>5.9</v>
      </c>
      <c r="L7" s="120">
        <v>10.15</v>
      </c>
      <c r="M7" s="115">
        <v>10.23</v>
      </c>
      <c r="N7" s="105">
        <f>IF(MIN(L7,M7)&gt;0,MIN(L7,M7),"")</f>
        <v>10.15</v>
      </c>
      <c r="O7" s="96"/>
      <c r="P7" s="97"/>
    </row>
    <row r="8" spans="1:16" ht="18" customHeight="1">
      <c r="B8" s="98"/>
      <c r="C8" s="125" t="e">
        <f>IF([1]P2!G10="","",[1]P2!G10)</f>
        <v>#REF!</v>
      </c>
      <c r="D8" s="106"/>
      <c r="E8" s="106"/>
      <c r="F8" s="107"/>
      <c r="G8" s="99"/>
      <c r="H8" s="109"/>
      <c r="I8" s="106"/>
      <c r="J8" s="107"/>
      <c r="K8" s="100"/>
      <c r="L8" s="109"/>
      <c r="M8" s="107"/>
      <c r="N8" s="101"/>
      <c r="O8" s="102" t="str">
        <f>IF(SUM(L8:N8)&gt;0,SUM(L8:N8),"")</f>
        <v/>
      </c>
      <c r="P8" s="74"/>
    </row>
    <row r="9" spans="1:16" ht="18" customHeight="1">
      <c r="B9" s="103" t="e">
        <f>IF([1]P2!D11="","",[1]P2!D11)</f>
        <v>#REF!</v>
      </c>
      <c r="C9" s="126" t="e">
        <f>IF([1]P2!G11="","",[1]P2!G11)</f>
        <v>#REF!</v>
      </c>
      <c r="D9" s="116">
        <v>5.99</v>
      </c>
      <c r="E9" s="116">
        <v>6.09</v>
      </c>
      <c r="F9" s="117">
        <v>6.47</v>
      </c>
      <c r="G9" s="104">
        <f>IF(MAX(D9,E9,F9)&gt;0,MAX(D9,E9,F9),"")</f>
        <v>6.47</v>
      </c>
      <c r="H9" s="119">
        <v>9.1300000000000008</v>
      </c>
      <c r="I9" s="116">
        <v>10.119999999999999</v>
      </c>
      <c r="J9" s="116">
        <v>9.34</v>
      </c>
      <c r="K9" s="105">
        <f>IF(MAX(H9,I9,J9)&gt;0,MAX(H9,I9,J9),"")</f>
        <v>10.119999999999999</v>
      </c>
      <c r="L9" s="121">
        <v>7.39</v>
      </c>
      <c r="M9" s="117">
        <v>7.27</v>
      </c>
      <c r="N9" s="105">
        <f>IF(MIN(L9,M9)&gt;0,MIN(L9,M9),"")</f>
        <v>7.27</v>
      </c>
      <c r="O9" s="96"/>
      <c r="P9" s="97"/>
    </row>
    <row r="10" spans="1:16" ht="18" customHeight="1">
      <c r="B10" s="98"/>
      <c r="C10" s="125" t="e">
        <f>IF([1]P2!G12="","",[1]P2!G12)</f>
        <v>#REF!</v>
      </c>
      <c r="D10" s="106"/>
      <c r="E10" s="106"/>
      <c r="F10" s="107"/>
      <c r="G10" s="99"/>
      <c r="H10" s="109"/>
      <c r="I10" s="106"/>
      <c r="J10" s="107"/>
      <c r="K10" s="100"/>
      <c r="L10" s="109"/>
      <c r="M10" s="107"/>
      <c r="N10" s="101"/>
      <c r="O10" s="102" t="str">
        <f>IF(SUM(L10:N10)&gt;0,SUM(L10:N10),"")</f>
        <v/>
      </c>
      <c r="P10" s="74"/>
    </row>
    <row r="11" spans="1:16" ht="18" customHeight="1">
      <c r="B11" s="103" t="e">
        <f>IF([1]P2!D13="","",[1]P2!D13)</f>
        <v>#REF!</v>
      </c>
      <c r="C11" s="126" t="e">
        <f>IF([1]P2!G13="","",[1]P2!G13)</f>
        <v>#REF!</v>
      </c>
      <c r="D11" s="116">
        <v>6.29</v>
      </c>
      <c r="E11" s="116">
        <v>6.18</v>
      </c>
      <c r="F11" s="117">
        <v>6.44</v>
      </c>
      <c r="G11" s="104">
        <f>IF(MAX(D11,E11,F11)&gt;0,MAX(D11,E11,F11),"")</f>
        <v>6.44</v>
      </c>
      <c r="H11" s="119">
        <v>11.56</v>
      </c>
      <c r="I11" s="116">
        <v>11.49</v>
      </c>
      <c r="J11" s="116">
        <v>11.5</v>
      </c>
      <c r="K11" s="105">
        <f>IF(MAX(H11,I11,J11)&gt;0,MAX(H11,I11,J11),"")</f>
        <v>11.56</v>
      </c>
      <c r="L11" s="121">
        <v>7.24</v>
      </c>
      <c r="M11" s="117">
        <v>7.3</v>
      </c>
      <c r="N11" s="105">
        <f>IF(MIN(L11,M11)&gt;0,MIN(L11,M11),"")</f>
        <v>7.24</v>
      </c>
      <c r="O11" s="96"/>
      <c r="P11" s="97"/>
    </row>
    <row r="12" spans="1:16" ht="18" customHeight="1">
      <c r="B12" s="98"/>
      <c r="C12" s="125" t="e">
        <f>IF([1]P2!G14="","",[1]P2!G14)</f>
        <v>#REF!</v>
      </c>
      <c r="D12" s="106"/>
      <c r="E12" s="106"/>
      <c r="F12" s="107"/>
      <c r="G12" s="99"/>
      <c r="H12" s="109"/>
      <c r="I12" s="106"/>
      <c r="J12" s="107"/>
      <c r="K12" s="100"/>
      <c r="L12" s="109"/>
      <c r="M12" s="107"/>
      <c r="N12" s="101"/>
      <c r="O12" s="102" t="str">
        <f>IF(SUM(L12:N12)&gt;0,SUM(L12:N12),"")</f>
        <v/>
      </c>
      <c r="P12" s="74"/>
    </row>
    <row r="13" spans="1:16" ht="18" customHeight="1">
      <c r="B13" s="103" t="e">
        <f>IF([1]P2!D15="","",[1]P2!D15)</f>
        <v>#REF!</v>
      </c>
      <c r="C13" s="126" t="e">
        <f>IF([1]P2!G15="","",[1]P2!G15)</f>
        <v>#REF!</v>
      </c>
      <c r="D13" s="116">
        <v>4.96</v>
      </c>
      <c r="E13" s="116">
        <v>5.0999999999999996</v>
      </c>
      <c r="F13" s="117">
        <v>5.33</v>
      </c>
      <c r="G13" s="104">
        <f>IF(MAX(D13,E13,F13)&gt;0,MAX(D13,E13,F13),"")</f>
        <v>5.33</v>
      </c>
      <c r="H13" s="119">
        <v>4.32</v>
      </c>
      <c r="I13" s="116">
        <v>6.54</v>
      </c>
      <c r="J13" s="116">
        <v>6.39</v>
      </c>
      <c r="K13" s="105">
        <f>IF(MAX(H13,I13,J13)&gt;0,MAX(H13,I13,J13),"")</f>
        <v>6.54</v>
      </c>
      <c r="L13" s="121">
        <v>8.43</v>
      </c>
      <c r="M13" s="117">
        <v>8.4499999999999993</v>
      </c>
      <c r="N13" s="105">
        <f>IF(MIN(L13,M13)&gt;0,MIN(L13,M13),"")</f>
        <v>8.43</v>
      </c>
      <c r="O13" s="96"/>
      <c r="P13" s="97"/>
    </row>
    <row r="14" spans="1:16" ht="18" customHeight="1">
      <c r="B14" s="98"/>
      <c r="C14" s="125" t="e">
        <f>IF([1]P2!G16="","",[1]P2!G16)</f>
        <v>#REF!</v>
      </c>
      <c r="D14" s="106"/>
      <c r="E14" s="106"/>
      <c r="F14" s="107"/>
      <c r="G14" s="99"/>
      <c r="H14" s="109"/>
      <c r="I14" s="106"/>
      <c r="J14" s="107"/>
      <c r="K14" s="100"/>
      <c r="L14" s="109"/>
      <c r="M14" s="107"/>
      <c r="N14" s="101"/>
      <c r="O14" s="102" t="str">
        <f>IF(SUM(L14:N14)&gt;0,SUM(L14:N14),"")</f>
        <v/>
      </c>
      <c r="P14" s="74"/>
    </row>
    <row r="15" spans="1:16" ht="18" customHeight="1">
      <c r="B15" s="103" t="e">
        <f>IF([1]P2!D17="","",[1]P2!D17)</f>
        <v>#REF!</v>
      </c>
      <c r="C15" s="126" t="e">
        <f>IF([1]P2!G17="","",[1]P2!G17)</f>
        <v>#REF!</v>
      </c>
      <c r="D15" s="116">
        <v>4.92</v>
      </c>
      <c r="E15" s="116">
        <v>5.18</v>
      </c>
      <c r="F15" s="117">
        <v>5.14</v>
      </c>
      <c r="G15" s="104">
        <f>IF(MAX(D15,E15,F15)&gt;0,MAX(D15,E15,F15),"")</f>
        <v>5.18</v>
      </c>
      <c r="H15" s="119">
        <v>7.69</v>
      </c>
      <c r="I15" s="116">
        <v>10.28</v>
      </c>
      <c r="J15" s="116">
        <v>8.91</v>
      </c>
      <c r="K15" s="105">
        <f>IF(MAX(H15,I15,J15)&gt;0,MAX(H15,I15,J15),"")</f>
        <v>10.28</v>
      </c>
      <c r="L15" s="121">
        <v>8.84</v>
      </c>
      <c r="M15" s="117">
        <v>8.6999999999999993</v>
      </c>
      <c r="N15" s="105">
        <f>IF(MIN(L15,M15)&gt;0,MIN(L15,M15),"")</f>
        <v>8.6999999999999993</v>
      </c>
      <c r="O15" s="96"/>
      <c r="P15" s="97"/>
    </row>
    <row r="16" spans="1:16" ht="18" customHeight="1">
      <c r="B16" s="98"/>
      <c r="C16" s="125" t="e">
        <f>IF([1]P2!G18="","",[1]P2!G18)</f>
        <v>#REF!</v>
      </c>
      <c r="D16" s="106"/>
      <c r="E16" s="106"/>
      <c r="F16" s="107"/>
      <c r="G16" s="99"/>
      <c r="H16" s="109"/>
      <c r="I16" s="106"/>
      <c r="J16" s="107"/>
      <c r="K16" s="100"/>
      <c r="L16" s="109"/>
      <c r="M16" s="107"/>
      <c r="N16" s="101"/>
      <c r="O16" s="102" t="str">
        <f>IF(SUM(L16:N16)&gt;0,SUM(L16:N16),"")</f>
        <v/>
      </c>
      <c r="P16" s="74"/>
    </row>
    <row r="17" spans="2:16" ht="18" customHeight="1">
      <c r="B17" s="103" t="e">
        <f>IF([1]P2!D19="","",[1]P2!D19)</f>
        <v>#REF!</v>
      </c>
      <c r="C17" s="126" t="e">
        <f>IF([1]P2!G19="","",[1]P2!G19)</f>
        <v>#REF!</v>
      </c>
      <c r="D17" s="116">
        <v>5.58</v>
      </c>
      <c r="E17" s="116">
        <v>5.51</v>
      </c>
      <c r="F17" s="117">
        <v>5.79</v>
      </c>
      <c r="G17" s="104">
        <f>IF(MAX(D17,E17,F17)&gt;0,MAX(D17,E17,F17),"")</f>
        <v>5.79</v>
      </c>
      <c r="H17" s="119">
        <v>5.15</v>
      </c>
      <c r="I17" s="116">
        <v>4.8600000000000003</v>
      </c>
      <c r="J17" s="116">
        <v>2.88</v>
      </c>
      <c r="K17" s="105">
        <f>IF(MAX(H17,I17,J17)&gt;0,MAX(H17,I17,J17),"")</f>
        <v>5.15</v>
      </c>
      <c r="L17" s="121">
        <v>8.34</v>
      </c>
      <c r="M17" s="117">
        <v>8.36</v>
      </c>
      <c r="N17" s="105">
        <f>IF(MIN(L17,M17)&gt;0,MIN(L17,M17),"")</f>
        <v>8.34</v>
      </c>
      <c r="O17" s="96"/>
      <c r="P17" s="97"/>
    </row>
    <row r="18" spans="2:16" ht="18" customHeight="1">
      <c r="B18" s="98"/>
      <c r="C18" s="125" t="e">
        <f>IF([1]P2!G20="","",[1]P2!G20)</f>
        <v>#REF!</v>
      </c>
      <c r="D18" s="106"/>
      <c r="E18" s="106"/>
      <c r="F18" s="107"/>
      <c r="G18" s="99"/>
      <c r="H18" s="109"/>
      <c r="I18" s="106"/>
      <c r="J18" s="107"/>
      <c r="K18" s="100"/>
      <c r="L18" s="109"/>
      <c r="M18" s="107"/>
      <c r="N18" s="101"/>
      <c r="O18" s="102" t="str">
        <f>IF(SUM(L18:N18)&gt;0,SUM(L18:N18),"")</f>
        <v/>
      </c>
      <c r="P18" s="74"/>
    </row>
    <row r="19" spans="2:16" ht="18" customHeight="1">
      <c r="B19" s="103" t="e">
        <f>IF([1]P2!D21="","",[1]P2!D21)</f>
        <v>#REF!</v>
      </c>
      <c r="C19" s="126" t="e">
        <f>IF([1]P2!G21="","",[1]P2!G21)</f>
        <v>#REF!</v>
      </c>
      <c r="D19" s="116">
        <v>7.05</v>
      </c>
      <c r="E19" s="116">
        <v>7.17</v>
      </c>
      <c r="F19" s="117"/>
      <c r="G19" s="104">
        <f>IF(MAX(D19,E19,F19)&gt;0,MAX(D19,E19,F19),"")</f>
        <v>7.17</v>
      </c>
      <c r="H19" s="119">
        <v>12.03</v>
      </c>
      <c r="I19" s="116">
        <v>12.33</v>
      </c>
      <c r="J19" s="116">
        <v>13.86</v>
      </c>
      <c r="K19" s="105">
        <f>IF(MAX(H19,I19,J19)&gt;0,MAX(H19,I19,J19),"")</f>
        <v>13.86</v>
      </c>
      <c r="L19" s="121">
        <v>7.02</v>
      </c>
      <c r="M19" s="117">
        <v>6.64</v>
      </c>
      <c r="N19" s="105">
        <f>IF(MIN(L19,M19)&gt;0,MIN(L19,M19),"")</f>
        <v>6.64</v>
      </c>
      <c r="O19" s="96"/>
      <c r="P19" s="97"/>
    </row>
    <row r="20" spans="2:16" ht="18" customHeight="1">
      <c r="B20" s="98"/>
      <c r="C20" s="125" t="e">
        <f>IF([1]P2!G22="","",[1]P2!G22)</f>
        <v>#REF!</v>
      </c>
      <c r="D20" s="106"/>
      <c r="E20" s="106"/>
      <c r="F20" s="107"/>
      <c r="G20" s="99"/>
      <c r="H20" s="109"/>
      <c r="I20" s="106"/>
      <c r="J20" s="107"/>
      <c r="K20" s="100"/>
      <c r="L20" s="109"/>
      <c r="M20" s="107"/>
      <c r="N20" s="101"/>
      <c r="O20" s="102" t="str">
        <f>IF(SUM(L20:N20)&gt;0,SUM(L20:N20),"")</f>
        <v/>
      </c>
      <c r="P20" s="74"/>
    </row>
    <row r="21" spans="2:16" ht="18" customHeight="1">
      <c r="B21" s="103" t="e">
        <f>IF([1]P2!D23="","",[1]P2!D23)</f>
        <v>#REF!</v>
      </c>
      <c r="C21" s="126" t="e">
        <f>IF([1]P2!G23="","",[1]P2!G23)</f>
        <v>#REF!</v>
      </c>
      <c r="D21" s="116">
        <v>5.54</v>
      </c>
      <c r="E21" s="116">
        <v>5.16</v>
      </c>
      <c r="F21" s="117">
        <v>5.35</v>
      </c>
      <c r="G21" s="104">
        <f>IF(MAX(D21,E21,F21)&gt;0,MAX(D21,E21,F21),"")</f>
        <v>5.54</v>
      </c>
      <c r="H21" s="119">
        <v>8.83</v>
      </c>
      <c r="I21" s="116">
        <v>8.3800000000000008</v>
      </c>
      <c r="J21" s="116">
        <v>8.39</v>
      </c>
      <c r="K21" s="105">
        <f>IF(MAX(H21,I21,J21)&gt;0,MAX(H21,I21,J21),"")</f>
        <v>8.83</v>
      </c>
      <c r="L21" s="121">
        <v>8.27</v>
      </c>
      <c r="M21" s="117">
        <v>8.49</v>
      </c>
      <c r="N21" s="105">
        <f>IF(MIN(L21,M21)&gt;0,MIN(L21,M21),"")</f>
        <v>8.27</v>
      </c>
      <c r="O21" s="96"/>
      <c r="P21" s="97"/>
    </row>
    <row r="22" spans="2:16" ht="18" customHeight="1">
      <c r="B22" s="98"/>
      <c r="C22" s="125" t="e">
        <f>IF([1]P2!G24="","",[1]P2!G24)</f>
        <v>#REF!</v>
      </c>
      <c r="D22" s="106"/>
      <c r="E22" s="106"/>
      <c r="F22" s="107"/>
      <c r="G22" s="108"/>
      <c r="H22" s="109"/>
      <c r="I22" s="106"/>
      <c r="J22" s="107"/>
      <c r="K22" s="110"/>
      <c r="L22" s="109"/>
      <c r="M22" s="107"/>
      <c r="N22" s="101"/>
      <c r="O22" s="102" t="str">
        <f>IF(SUM(L22:N22)&gt;0,SUM(L22:N22),"")</f>
        <v/>
      </c>
      <c r="P22" s="74"/>
    </row>
    <row r="23" spans="2:16" ht="18" customHeight="1">
      <c r="B23" s="103" t="e">
        <f>IF([1]P2!D25="","",[1]P2!D25)</f>
        <v>#REF!</v>
      </c>
      <c r="C23" s="126" t="e">
        <f>IF([1]P2!G25="","",[1]P2!G25)</f>
        <v>#REF!</v>
      </c>
      <c r="D23" s="116">
        <v>5.74</v>
      </c>
      <c r="E23" s="116">
        <v>5.67</v>
      </c>
      <c r="F23" s="117">
        <v>5.69</v>
      </c>
      <c r="G23" s="104">
        <f>IF(MAX(D23,E23,F23)&gt;0,MAX(D23,E23,F23),"")</f>
        <v>5.74</v>
      </c>
      <c r="H23" s="119">
        <v>6.96</v>
      </c>
      <c r="I23" s="116">
        <v>6.61</v>
      </c>
      <c r="J23" s="116"/>
      <c r="K23" s="105">
        <f>IF(MAX(H23,I23,J23)&gt;0,MAX(H23,I23,J23),"")</f>
        <v>6.96</v>
      </c>
      <c r="L23" s="121">
        <v>8.6300000000000008</v>
      </c>
      <c r="M23" s="117">
        <v>9.11</v>
      </c>
      <c r="N23" s="105">
        <f>IF(MIN(L23,M23)&gt;0,MIN(L23,M23),"")</f>
        <v>8.6300000000000008</v>
      </c>
      <c r="O23" s="96"/>
      <c r="P23" s="97"/>
    </row>
    <row r="24" spans="2:16" ht="18" customHeight="1">
      <c r="B24" s="98"/>
      <c r="C24" s="125" t="e">
        <f>IF([1]P2!G26="","",[1]P2!G26)</f>
        <v>#REF!</v>
      </c>
      <c r="D24" s="106"/>
      <c r="E24" s="106"/>
      <c r="F24" s="107"/>
      <c r="G24" s="99"/>
      <c r="H24" s="109"/>
      <c r="I24" s="106"/>
      <c r="J24" s="107"/>
      <c r="K24" s="100"/>
      <c r="L24" s="109"/>
      <c r="M24" s="107"/>
      <c r="N24" s="101"/>
      <c r="O24" s="102" t="str">
        <f>IF(SUM(L24:N24)&gt;0,SUM(L24:N24),"")</f>
        <v/>
      </c>
      <c r="P24" s="74"/>
    </row>
    <row r="25" spans="2:16" ht="18" customHeight="1">
      <c r="B25" s="103" t="e">
        <f>IF([1]P2!D27="","",[1]P2!D27)</f>
        <v>#REF!</v>
      </c>
      <c r="C25" s="126" t="e">
        <f>IF([1]P2!G27="","",[1]P2!G27)</f>
        <v>#REF!</v>
      </c>
      <c r="D25" s="116">
        <v>5.08</v>
      </c>
      <c r="E25" s="116">
        <v>5.23</v>
      </c>
      <c r="F25" s="117">
        <v>5.41</v>
      </c>
      <c r="G25" s="104">
        <f>IF(MAX(D25,E25,F25)&gt;0,MAX(D25,E25,F25),"")</f>
        <v>5.41</v>
      </c>
      <c r="H25" s="119">
        <v>8.7899999999999991</v>
      </c>
      <c r="I25" s="116">
        <v>9.85</v>
      </c>
      <c r="J25" s="116">
        <v>9.4499999999999993</v>
      </c>
      <c r="K25" s="105">
        <f>IF(MAX(H25,I25,J25)&gt;0,MAX(H25,I25,J25),"")</f>
        <v>9.85</v>
      </c>
      <c r="L25" s="121">
        <v>8.8000000000000007</v>
      </c>
      <c r="M25" s="117">
        <v>8.6</v>
      </c>
      <c r="N25" s="105">
        <f>IF(MIN(L25,M25)&gt;0,MIN(L25,M25),"")</f>
        <v>8.6</v>
      </c>
      <c r="O25" s="96"/>
      <c r="P25" s="97"/>
    </row>
    <row r="26" spans="2:16" ht="18" customHeight="1">
      <c r="B26" s="98"/>
      <c r="C26" s="125" t="e">
        <f>IF([1]P2!G28="","",[1]P2!G28)</f>
        <v>#REF!</v>
      </c>
      <c r="D26" s="106"/>
      <c r="E26" s="106"/>
      <c r="F26" s="107"/>
      <c r="G26" s="99"/>
      <c r="H26" s="109"/>
      <c r="I26" s="106"/>
      <c r="J26" s="107"/>
      <c r="K26" s="100"/>
      <c r="L26" s="109"/>
      <c r="M26" s="107"/>
      <c r="N26" s="101"/>
      <c r="O26" s="102" t="str">
        <f>IF(SUM(L26:N26)&gt;0,SUM(L26:N26),"")</f>
        <v/>
      </c>
      <c r="P26" s="74"/>
    </row>
    <row r="27" spans="2:16" ht="18" customHeight="1">
      <c r="B27" s="103" t="str">
        <f>IF('P2'!D29="","",'P2'!D29)</f>
        <v/>
      </c>
      <c r="C27" s="126" t="str">
        <f>IF('P2'!G29="","",'P2'!G29)</f>
        <v/>
      </c>
      <c r="D27" s="116"/>
      <c r="E27" s="116"/>
      <c r="F27" s="117"/>
      <c r="G27" s="104" t="str">
        <f>IF(MAX(D27,E27,F27)&gt;0,MAX(D27,E27,F27),"")</f>
        <v/>
      </c>
      <c r="H27" s="119"/>
      <c r="I27" s="116"/>
      <c r="J27" s="116"/>
      <c r="K27" s="105" t="str">
        <f>IF(MAX(H27,I27,J27)&gt;0,MAX(H27,I27,J27),"")</f>
        <v/>
      </c>
      <c r="L27" s="121"/>
      <c r="M27" s="117"/>
      <c r="N27" s="105" t="str">
        <f>IF(MIN(L27,M27)&gt;0,MIN(L27,M27),"")</f>
        <v/>
      </c>
      <c r="O27" s="96"/>
      <c r="P27" s="97"/>
    </row>
    <row r="28" spans="2:16" ht="18" customHeight="1">
      <c r="B28" s="98"/>
      <c r="C28" s="125" t="str">
        <f>IF('P2'!G30="","",'P2'!G30)</f>
        <v/>
      </c>
      <c r="D28" s="106"/>
      <c r="E28" s="106"/>
      <c r="F28" s="107"/>
      <c r="G28" s="99"/>
      <c r="H28" s="109"/>
      <c r="I28" s="106"/>
      <c r="J28" s="107"/>
      <c r="K28" s="100"/>
      <c r="L28" s="122"/>
      <c r="M28" s="107"/>
      <c r="N28" s="101"/>
      <c r="O28" s="102" t="str">
        <f>IF(SUM(L28:N28)&gt;0,SUM(L28:N28),"")</f>
        <v/>
      </c>
      <c r="P28" s="74"/>
    </row>
    <row r="29" spans="2:16" ht="18" customHeight="1">
      <c r="B29" s="103" t="str">
        <f>IF('P2'!D31="","",'P2'!D31)</f>
        <v/>
      </c>
      <c r="C29" s="126" t="str">
        <f>IF('P2'!G31="","",'P2'!G31)</f>
        <v/>
      </c>
      <c r="D29" s="116"/>
      <c r="E29" s="116"/>
      <c r="F29" s="117"/>
      <c r="G29" s="104" t="str">
        <f>IF(MAX(D29,E29,F29)&gt;0,MAX(D29,E29,F29),"")</f>
        <v/>
      </c>
      <c r="H29" s="119"/>
      <c r="I29" s="116"/>
      <c r="J29" s="116"/>
      <c r="K29" s="105" t="str">
        <f>IF(MAX(H29,I29,J29)&gt;0,MAX(H29,I29,J29),"")</f>
        <v/>
      </c>
      <c r="L29" s="123"/>
      <c r="M29" s="117"/>
      <c r="N29" s="105" t="str">
        <f>IF(MIN(L29,M29)&gt;0,MIN(L29,M29),"")</f>
        <v/>
      </c>
      <c r="O29" s="96"/>
      <c r="P29" s="97"/>
    </row>
    <row r="30" spans="2:16" ht="18" customHeight="1">
      <c r="B30" s="98"/>
      <c r="C30" s="125" t="str">
        <f>IF('P2'!G32="","",'P2'!G32)</f>
        <v/>
      </c>
      <c r="D30" s="106"/>
      <c r="E30" s="106"/>
      <c r="F30" s="107"/>
      <c r="G30" s="111"/>
      <c r="H30" s="109"/>
      <c r="I30" s="106"/>
      <c r="J30" s="107"/>
      <c r="K30" s="108"/>
      <c r="L30" s="109"/>
      <c r="M30" s="107"/>
      <c r="N30" s="112"/>
      <c r="O30" s="102" t="str">
        <f>IF(SUM(L30:N30)&gt;0,SUM(L30:N30),"")</f>
        <v/>
      </c>
      <c r="P30" s="74"/>
    </row>
    <row r="31" spans="2:16">
      <c r="B31" s="113"/>
      <c r="C31" s="113"/>
    </row>
  </sheetData>
  <mergeCells count="10">
    <mergeCell ref="B4:N4"/>
    <mergeCell ref="D5:G5"/>
    <mergeCell ref="H5:K5"/>
    <mergeCell ref="L5:N5"/>
    <mergeCell ref="A1:N1"/>
    <mergeCell ref="A3:B3"/>
    <mergeCell ref="C3:D3"/>
    <mergeCell ref="F3:I3"/>
    <mergeCell ref="K3:L3"/>
    <mergeCell ref="C2:G2"/>
  </mergeCells>
  <phoneticPr fontId="22" type="noConversion"/>
  <pageMargins left="0.27559055118110237" right="0.27559055118110237" top="0.27559055118110237" bottom="0.27559055118110237" header="0.51181102362204722" footer="0.51181102362204722"/>
  <pageSetup paperSize="9" fitToHeight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>
    <pageSetUpPr fitToPage="1"/>
  </sheetPr>
  <dimension ref="A1:P31"/>
  <sheetViews>
    <sheetView showGridLines="0" showRowColHeaders="0" showZeros="0" workbookViewId="0">
      <selection activeCell="B7" sqref="B7"/>
    </sheetView>
  </sheetViews>
  <sheetFormatPr defaultColWidth="8.85546875" defaultRowHeight="12.95"/>
  <cols>
    <col min="1" max="1" width="5.5703125" customWidth="1"/>
    <col min="2" max="2" width="7.5703125" customWidth="1"/>
    <col min="3" max="3" width="27.5703125" customWidth="1"/>
    <col min="4" max="14" width="7.42578125" customWidth="1"/>
    <col min="15" max="15" width="9.42578125" customWidth="1"/>
    <col min="16" max="16" width="4.5703125" style="36" customWidth="1"/>
  </cols>
  <sheetData>
    <row r="1" spans="1:16" ht="23.1">
      <c r="A1" s="399" t="s">
        <v>78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15"/>
      <c r="P1" s="315"/>
    </row>
    <row r="2" spans="1:16" ht="15" customHeight="1">
      <c r="B2" s="75" t="s">
        <v>280</v>
      </c>
      <c r="C2" s="265" t="str">
        <f>IF('P2'!C5&gt;0,'P2'!C5,"")</f>
        <v>NM 5-kamp og Norges Cup 3. runde</v>
      </c>
      <c r="D2" s="265"/>
      <c r="E2" s="26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6">
      <c r="A3" s="400" t="s">
        <v>4</v>
      </c>
      <c r="B3" s="400"/>
      <c r="C3" s="401" t="str">
        <f>IF('P2'!J5&gt;0,'P2'!J5,"")</f>
        <v>Larvik AK</v>
      </c>
      <c r="D3" s="401"/>
      <c r="E3" s="77" t="s">
        <v>6</v>
      </c>
      <c r="F3" s="403" t="str">
        <f>IF('P2'!P5&gt;0,'P2'!P5,"")</f>
        <v>Stavernhallen</v>
      </c>
      <c r="G3" s="403"/>
      <c r="H3" s="403"/>
      <c r="I3" s="403"/>
      <c r="J3" s="261" t="s">
        <v>8</v>
      </c>
      <c r="K3" s="404">
        <f>IF('P2'!U5&gt;0,'P2'!U5,"")</f>
        <v>43358</v>
      </c>
      <c r="L3" s="404"/>
      <c r="M3" s="78" t="s">
        <v>9</v>
      </c>
      <c r="N3" s="131">
        <v>3</v>
      </c>
      <c r="O3" s="130"/>
      <c r="P3" s="79"/>
    </row>
    <row r="4" spans="1:16" ht="14.45" thickBot="1">
      <c r="B4" s="395" t="s">
        <v>284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78"/>
      <c r="P4" s="79"/>
    </row>
    <row r="5" spans="1:16" s="80" customFormat="1" ht="14.1">
      <c r="B5" s="81" t="s">
        <v>72</v>
      </c>
      <c r="C5" s="82" t="s">
        <v>15</v>
      </c>
      <c r="D5" s="396" t="s">
        <v>75</v>
      </c>
      <c r="E5" s="396"/>
      <c r="F5" s="396"/>
      <c r="G5" s="396"/>
      <c r="H5" s="397" t="s">
        <v>76</v>
      </c>
      <c r="I5" s="397"/>
      <c r="J5" s="397"/>
      <c r="K5" s="397"/>
      <c r="L5" s="398" t="s">
        <v>282</v>
      </c>
      <c r="M5" s="398"/>
      <c r="N5" s="398"/>
      <c r="O5" s="83"/>
      <c r="P5" s="84"/>
    </row>
    <row r="6" spans="1:16" ht="13.5" thickBot="1">
      <c r="B6" s="85" t="s">
        <v>79</v>
      </c>
      <c r="C6" s="86" t="s">
        <v>85</v>
      </c>
      <c r="D6" s="87">
        <v>1</v>
      </c>
      <c r="E6" s="87">
        <v>2</v>
      </c>
      <c r="F6" s="88">
        <v>3</v>
      </c>
      <c r="G6" s="89" t="s">
        <v>283</v>
      </c>
      <c r="H6" s="90">
        <v>1</v>
      </c>
      <c r="I6" s="87">
        <v>2</v>
      </c>
      <c r="J6" s="88">
        <v>3</v>
      </c>
      <c r="K6" s="89" t="s">
        <v>283</v>
      </c>
      <c r="L6" s="90">
        <v>1</v>
      </c>
      <c r="M6" s="88">
        <v>2</v>
      </c>
      <c r="N6" s="91" t="s">
        <v>283</v>
      </c>
      <c r="O6" s="92"/>
      <c r="P6" s="93"/>
    </row>
    <row r="7" spans="1:16" ht="18" customHeight="1">
      <c r="B7" s="94" t="e">
        <f>IF([2]P3!D9="","",[2]P3!D9)</f>
        <v>#REF!</v>
      </c>
      <c r="C7" s="124" t="e">
        <f>IF([2]P3!G9="","",[2]P3!G9)</f>
        <v>#REF!</v>
      </c>
      <c r="D7" s="114">
        <v>7.73</v>
      </c>
      <c r="E7" s="114">
        <v>7.87</v>
      </c>
      <c r="F7" s="115">
        <v>7.58</v>
      </c>
      <c r="G7" s="95">
        <f>IF(MAX(D7,E7,F7)&gt;0,MAX(D7,E7,F7),"")</f>
        <v>7.87</v>
      </c>
      <c r="H7" s="118">
        <v>11.92</v>
      </c>
      <c r="I7" s="114">
        <v>12.94</v>
      </c>
      <c r="J7" s="114">
        <v>12.67</v>
      </c>
      <c r="K7" s="95">
        <f>IF(MAX(H7,I7,J7)&gt;0,MAX(H7,I7,J7),"")</f>
        <v>12.94</v>
      </c>
      <c r="L7" s="120">
        <v>6.93</v>
      </c>
      <c r="M7" s="115">
        <v>6.93</v>
      </c>
      <c r="N7" s="95">
        <f>IF(MIN(L7,M7)&gt;0,MIN(L7,M7),"")</f>
        <v>6.93</v>
      </c>
      <c r="O7" s="96"/>
      <c r="P7" s="97"/>
    </row>
    <row r="8" spans="1:16" ht="18" customHeight="1">
      <c r="B8" s="98"/>
      <c r="C8" s="125" t="e">
        <f>IF([2]P3!G10="","",[2]P3!G10)</f>
        <v>#REF!</v>
      </c>
      <c r="D8" s="106"/>
      <c r="E8" s="106"/>
      <c r="F8" s="107"/>
      <c r="G8" s="99"/>
      <c r="H8" s="109"/>
      <c r="I8" s="106"/>
      <c r="J8" s="107"/>
      <c r="K8" s="100"/>
      <c r="L8" s="109"/>
      <c r="M8" s="107"/>
      <c r="N8" s="101"/>
      <c r="O8" s="102" t="str">
        <f>IF(SUM(L8:N8)&gt;0,SUM(L8:N8),"")</f>
        <v/>
      </c>
      <c r="P8" s="74"/>
    </row>
    <row r="9" spans="1:16" ht="18" customHeight="1">
      <c r="B9" s="103" t="e">
        <f>IF([2]P3!D11="","",[2]P3!D11)</f>
        <v>#REF!</v>
      </c>
      <c r="C9" s="126" t="e">
        <f>IF([2]P3!G11="","",[2]P3!G11)</f>
        <v>#REF!</v>
      </c>
      <c r="D9" s="116">
        <v>7.02</v>
      </c>
      <c r="E9" s="116">
        <v>7.1</v>
      </c>
      <c r="F9" s="117">
        <v>7.14</v>
      </c>
      <c r="G9" s="104">
        <f>IF(MAX(D9,E9,F9)&gt;0,MAX(D9,E9,F9),"")</f>
        <v>7.14</v>
      </c>
      <c r="H9" s="119">
        <v>9.73</v>
      </c>
      <c r="I9" s="116">
        <v>10.48</v>
      </c>
      <c r="J9" s="116">
        <v>10.5</v>
      </c>
      <c r="K9" s="105">
        <f>IF(MAX(H9,I9,J9)&gt;0,MAX(H9,I9,J9),"")</f>
        <v>10.5</v>
      </c>
      <c r="L9" s="121">
        <v>7.36</v>
      </c>
      <c r="M9" s="117">
        <v>7.29</v>
      </c>
      <c r="N9" s="105">
        <f>IF(MIN(L9,M9)&gt;0,MIN(L9,M9),"")</f>
        <v>7.29</v>
      </c>
      <c r="O9" s="96"/>
      <c r="P9" s="97"/>
    </row>
    <row r="10" spans="1:16" ht="18" customHeight="1">
      <c r="B10" s="98"/>
      <c r="C10" s="125" t="e">
        <f>IF([2]P3!G12="","",[2]P3!G12)</f>
        <v>#REF!</v>
      </c>
      <c r="D10" s="106"/>
      <c r="E10" s="106"/>
      <c r="F10" s="107"/>
      <c r="G10" s="99"/>
      <c r="H10" s="109"/>
      <c r="I10" s="106"/>
      <c r="J10" s="107"/>
      <c r="K10" s="100"/>
      <c r="L10" s="109"/>
      <c r="M10" s="107"/>
      <c r="N10" s="101"/>
      <c r="O10" s="102" t="str">
        <f>IF(SUM(L10:N10)&gt;0,SUM(L10:N10),"")</f>
        <v/>
      </c>
      <c r="P10" s="74"/>
    </row>
    <row r="11" spans="1:16" ht="18" customHeight="1">
      <c r="B11" s="103" t="e">
        <f>IF([2]P3!D13="","",[2]P3!D13)</f>
        <v>#REF!</v>
      </c>
      <c r="C11" s="126" t="e">
        <f>IF([2]P3!G13="","",[2]P3!G13)</f>
        <v>#REF!</v>
      </c>
      <c r="D11" s="116">
        <v>6.75</v>
      </c>
      <c r="E11" s="116">
        <v>6.8</v>
      </c>
      <c r="F11" s="117">
        <v>6.79</v>
      </c>
      <c r="G11" s="104">
        <f>IF(MAX(D11,E11,F11)&gt;0,MAX(D11,E11,F11),"")</f>
        <v>6.8</v>
      </c>
      <c r="H11" s="119">
        <v>8.4499999999999993</v>
      </c>
      <c r="I11" s="116">
        <v>8.5299999999999994</v>
      </c>
      <c r="J11" s="116">
        <v>9.76</v>
      </c>
      <c r="K11" s="105">
        <f>IF(MAX(H11,I11,J11)&gt;0,MAX(H11,I11,J11),"")</f>
        <v>9.76</v>
      </c>
      <c r="L11" s="121">
        <v>7.14</v>
      </c>
      <c r="M11" s="117">
        <v>7.16</v>
      </c>
      <c r="N11" s="105">
        <f>IF(MIN(L11,M11)&gt;0,MIN(L11,M11),"")</f>
        <v>7.14</v>
      </c>
      <c r="O11" s="96"/>
      <c r="P11" s="97"/>
    </row>
    <row r="12" spans="1:16" ht="18" customHeight="1">
      <c r="B12" s="98"/>
      <c r="C12" s="125" t="e">
        <f>IF([2]P3!G14="","",[2]P3!G14)</f>
        <v>#REF!</v>
      </c>
      <c r="D12" s="106"/>
      <c r="E12" s="106"/>
      <c r="F12" s="107"/>
      <c r="G12" s="99"/>
      <c r="H12" s="109"/>
      <c r="I12" s="106"/>
      <c r="J12" s="107"/>
      <c r="K12" s="100"/>
      <c r="L12" s="109"/>
      <c r="M12" s="107"/>
      <c r="N12" s="101"/>
      <c r="O12" s="102" t="str">
        <f>IF(SUM(L12:N12)&gt;0,SUM(L12:N12),"")</f>
        <v/>
      </c>
      <c r="P12" s="74"/>
    </row>
    <row r="13" spans="1:16" ht="18" customHeight="1">
      <c r="B13" s="103" t="e">
        <f>IF([2]P3!D15="","",[2]P3!D15)</f>
        <v>#REF!</v>
      </c>
      <c r="C13" s="126" t="e">
        <f>IF([2]P3!G15="","",[2]P3!G15)</f>
        <v>#REF!</v>
      </c>
      <c r="D13" s="116">
        <v>6.01</v>
      </c>
      <c r="E13" s="116">
        <v>6.15</v>
      </c>
      <c r="F13" s="117">
        <v>6.07</v>
      </c>
      <c r="G13" s="104">
        <f>IF(MAX(D13,E13,F13)&gt;0,MAX(D13,E13,F13),"")</f>
        <v>6.15</v>
      </c>
      <c r="H13" s="119">
        <v>8.85</v>
      </c>
      <c r="I13" s="116">
        <v>8.41</v>
      </c>
      <c r="J13" s="116">
        <v>6.81</v>
      </c>
      <c r="K13" s="105">
        <f>IF(MAX(H13,I13,J13)&gt;0,MAX(H13,I13,J13),"")</f>
        <v>8.85</v>
      </c>
      <c r="L13" s="121">
        <v>7.55</v>
      </c>
      <c r="M13" s="117">
        <v>7.54</v>
      </c>
      <c r="N13" s="105">
        <f>IF(MIN(L13,M13)&gt;0,MIN(L13,M13),"")</f>
        <v>7.54</v>
      </c>
      <c r="O13" s="96"/>
      <c r="P13" s="97"/>
    </row>
    <row r="14" spans="1:16" ht="18" customHeight="1">
      <c r="B14" s="98"/>
      <c r="C14" s="125" t="e">
        <f>IF([2]P3!G16="","",[2]P3!G16)</f>
        <v>#REF!</v>
      </c>
      <c r="D14" s="106"/>
      <c r="E14" s="106"/>
      <c r="F14" s="107"/>
      <c r="G14" s="99"/>
      <c r="H14" s="109"/>
      <c r="I14" s="106"/>
      <c r="J14" s="107"/>
      <c r="K14" s="100"/>
      <c r="L14" s="109"/>
      <c r="M14" s="107"/>
      <c r="N14" s="101"/>
      <c r="O14" s="102" t="str">
        <f>IF(SUM(L14:N14)&gt;0,SUM(L14:N14),"")</f>
        <v/>
      </c>
      <c r="P14" s="74"/>
    </row>
    <row r="15" spans="1:16" ht="18" customHeight="1">
      <c r="B15" s="103" t="e">
        <f>IF([2]P3!D17="","",[2]P3!D17)</f>
        <v>#REF!</v>
      </c>
      <c r="C15" s="126" t="e">
        <f>IF([2]P3!G17="","",[2]P3!G17)</f>
        <v>#REF!</v>
      </c>
      <c r="D15" s="116">
        <v>5.8</v>
      </c>
      <c r="E15" s="116">
        <v>6.03</v>
      </c>
      <c r="F15" s="117">
        <v>6.12</v>
      </c>
      <c r="G15" s="104">
        <f>IF(MAX(D15,E15,F15)&gt;0,MAX(D15,E15,F15),"")</f>
        <v>6.12</v>
      </c>
      <c r="H15" s="119">
        <v>11.75</v>
      </c>
      <c r="I15" s="116">
        <v>11.08</v>
      </c>
      <c r="J15" s="116">
        <v>11.32</v>
      </c>
      <c r="K15" s="105">
        <f>IF(MAX(H15,I15,J15)&gt;0,MAX(H15,I15,J15),"")</f>
        <v>11.75</v>
      </c>
      <c r="L15" s="121">
        <v>7.85</v>
      </c>
      <c r="M15" s="117">
        <v>7.83</v>
      </c>
      <c r="N15" s="105">
        <f>IF(MIN(L15,M15)&gt;0,MIN(L15,M15),"")</f>
        <v>7.83</v>
      </c>
      <c r="O15" s="96"/>
      <c r="P15" s="97"/>
    </row>
    <row r="16" spans="1:16" ht="18" customHeight="1">
      <c r="B16" s="98"/>
      <c r="C16" s="125" t="e">
        <f>IF([2]P3!G18="","",[2]P3!G18)</f>
        <v>#REF!</v>
      </c>
      <c r="D16" s="106"/>
      <c r="E16" s="106"/>
      <c r="F16" s="107"/>
      <c r="G16" s="99"/>
      <c r="H16" s="109"/>
      <c r="I16" s="106"/>
      <c r="J16" s="107"/>
      <c r="K16" s="100"/>
      <c r="L16" s="109"/>
      <c r="M16" s="107"/>
      <c r="N16" s="101"/>
      <c r="O16" s="102" t="str">
        <f>IF(SUM(L16:N16)&gt;0,SUM(L16:N16),"")</f>
        <v/>
      </c>
      <c r="P16" s="74"/>
    </row>
    <row r="17" spans="1:16" ht="18" customHeight="1">
      <c r="B17" s="103" t="e">
        <f>IF([2]P3!D19="","",[2]P3!D19)</f>
        <v>#REF!</v>
      </c>
      <c r="C17" s="126" t="e">
        <f>IF([2]P3!G19="","",[2]P3!G19)</f>
        <v>#REF!</v>
      </c>
      <c r="D17" s="116">
        <v>5.96</v>
      </c>
      <c r="E17" s="116"/>
      <c r="F17" s="117">
        <v>6.19</v>
      </c>
      <c r="G17" s="104">
        <f>IF(MAX(D17,E17,F17)&gt;0,MAX(D17,E17,F17),"")</f>
        <v>6.19</v>
      </c>
      <c r="H17" s="119">
        <v>5.88</v>
      </c>
      <c r="I17" s="116">
        <v>9.65</v>
      </c>
      <c r="J17" s="116">
        <v>10.49</v>
      </c>
      <c r="K17" s="105">
        <f>IF(MAX(H17,I17,J17)&gt;0,MAX(H17,I17,J17),"")</f>
        <v>10.49</v>
      </c>
      <c r="L17" s="121">
        <v>8.11</v>
      </c>
      <c r="M17" s="117">
        <v>8.09</v>
      </c>
      <c r="N17" s="105">
        <f>IF(MIN(L17,M17)&gt;0,MIN(L17,M17),"")</f>
        <v>8.09</v>
      </c>
      <c r="O17" s="96"/>
      <c r="P17" s="97"/>
    </row>
    <row r="18" spans="1:16" ht="18" customHeight="1">
      <c r="B18" s="98"/>
      <c r="C18" s="125" t="e">
        <f>IF([2]P3!G20="","",[2]P3!G20)</f>
        <v>#REF!</v>
      </c>
      <c r="D18" s="106"/>
      <c r="E18" s="106"/>
      <c r="F18" s="107"/>
      <c r="G18" s="99"/>
      <c r="H18" s="109"/>
      <c r="I18" s="106"/>
      <c r="J18" s="107"/>
      <c r="K18" s="100"/>
      <c r="L18" s="109"/>
      <c r="M18" s="107"/>
      <c r="N18" s="101"/>
      <c r="O18" s="102" t="str">
        <f>IF(SUM(L18:N18)&gt;0,SUM(L18:N18),"")</f>
        <v/>
      </c>
      <c r="P18" s="74"/>
    </row>
    <row r="19" spans="1:16" ht="18" customHeight="1">
      <c r="B19" s="103" t="str">
        <f>IF('P3'!D21="","",'P3'!D21)</f>
        <v/>
      </c>
      <c r="C19" s="126" t="str">
        <f>IF('P3'!G21="","",'P3'!G21)</f>
        <v/>
      </c>
      <c r="D19" s="116"/>
      <c r="E19" s="116"/>
      <c r="F19" s="117"/>
      <c r="G19" s="104" t="str">
        <f>IF(MAX(D19,E19,F19)&gt;0,MAX(D19,E19,F19),"")</f>
        <v/>
      </c>
      <c r="H19" s="119"/>
      <c r="I19" s="116"/>
      <c r="J19" s="116"/>
      <c r="K19" s="105" t="str">
        <f>IF(MAX(H19,I19,J19)&gt;0,MAX(H19,I19,J19),"")</f>
        <v/>
      </c>
      <c r="L19" s="121"/>
      <c r="M19" s="117"/>
      <c r="N19" s="105" t="str">
        <f>IF(MIN(L19,M19)&gt;0,MIN(L19,M19),"")</f>
        <v/>
      </c>
      <c r="O19" s="96"/>
      <c r="P19" s="97"/>
    </row>
    <row r="20" spans="1:16" ht="18" customHeight="1">
      <c r="B20" s="98"/>
      <c r="C20" s="125" t="str">
        <f>IF('P3'!G22="","",'P3'!G22)</f>
        <v/>
      </c>
      <c r="D20" s="106"/>
      <c r="E20" s="106"/>
      <c r="F20" s="107"/>
      <c r="G20" s="99"/>
      <c r="H20" s="109"/>
      <c r="I20" s="106"/>
      <c r="J20" s="107"/>
      <c r="K20" s="100"/>
      <c r="L20" s="109"/>
      <c r="M20" s="107"/>
      <c r="N20" s="101"/>
      <c r="O20" s="102" t="str">
        <f>IF(SUM(L20:N20)&gt;0,SUM(L20:N20),"")</f>
        <v/>
      </c>
      <c r="P20" s="74"/>
    </row>
    <row r="21" spans="1:16" ht="18" customHeight="1">
      <c r="B21" s="103" t="str">
        <f>IF('P3'!D23="","",'P3'!D23)</f>
        <v/>
      </c>
      <c r="C21" s="126" t="str">
        <f>IF('P3'!G23="","",'P3'!G23)</f>
        <v/>
      </c>
      <c r="D21" s="116"/>
      <c r="E21" s="116"/>
      <c r="F21" s="117"/>
      <c r="G21" s="104" t="str">
        <f>IF(MAX(D21,E21,F21)&gt;0,MAX(D21,E21,F21),"")</f>
        <v/>
      </c>
      <c r="H21" s="119"/>
      <c r="I21" s="116"/>
      <c r="J21" s="116"/>
      <c r="K21" s="105" t="str">
        <f>IF(MAX(H21,I21,J21)&gt;0,MAX(H21,I21,J21),"")</f>
        <v/>
      </c>
      <c r="L21" s="121"/>
      <c r="M21" s="117"/>
      <c r="N21" s="105" t="str">
        <f>IF(MIN(L21,M21)&gt;0,MIN(L21,M21),"")</f>
        <v/>
      </c>
      <c r="O21" s="96"/>
      <c r="P21" s="97"/>
    </row>
    <row r="22" spans="1:16" ht="18" customHeight="1">
      <c r="B22" s="98"/>
      <c r="C22" s="125" t="str">
        <f>IF('P3'!G24="","",'P3'!G24)</f>
        <v/>
      </c>
      <c r="D22" s="106"/>
      <c r="E22" s="106"/>
      <c r="F22" s="107"/>
      <c r="G22" s="108"/>
      <c r="H22" s="109"/>
      <c r="I22" s="106"/>
      <c r="J22" s="107"/>
      <c r="K22" s="110"/>
      <c r="L22" s="109"/>
      <c r="M22" s="107"/>
      <c r="N22" s="101"/>
      <c r="O22" s="102" t="str">
        <f>IF(SUM(L22:N22)&gt;0,SUM(L22:N22),"")</f>
        <v/>
      </c>
      <c r="P22" s="74"/>
    </row>
    <row r="23" spans="1:16" ht="18" customHeight="1">
      <c r="B23" s="103" t="str">
        <f>IF('P3'!D25="","",'P3'!D25)</f>
        <v/>
      </c>
      <c r="C23" s="126" t="str">
        <f>IF('P3'!G25="","",'P3'!G25)</f>
        <v/>
      </c>
      <c r="D23" s="116"/>
      <c r="E23" s="116"/>
      <c r="F23" s="117"/>
      <c r="G23" s="104" t="str">
        <f>IF(MAX(D23,E23,F23)&gt;0,MAX(D23,E23,F23),"")</f>
        <v/>
      </c>
      <c r="H23" s="119"/>
      <c r="I23" s="116"/>
      <c r="J23" s="116"/>
      <c r="K23" s="105" t="str">
        <f>IF(MAX(H23,I23,J23)&gt;0,MAX(H23,I23,J23),"")</f>
        <v/>
      </c>
      <c r="L23" s="121"/>
      <c r="M23" s="117"/>
      <c r="N23" s="105" t="str">
        <f>IF(MIN(L23,M23)&gt;0,MIN(L23,M23),"")</f>
        <v/>
      </c>
      <c r="O23" s="96"/>
      <c r="P23" s="97"/>
    </row>
    <row r="24" spans="1:16" ht="18" customHeight="1">
      <c r="B24" s="98"/>
      <c r="C24" s="125" t="str">
        <f>IF('P3'!G26="","",'P3'!G26)</f>
        <v/>
      </c>
      <c r="D24" s="106"/>
      <c r="E24" s="106"/>
      <c r="F24" s="107"/>
      <c r="G24" s="99"/>
      <c r="H24" s="109"/>
      <c r="I24" s="106"/>
      <c r="J24" s="107"/>
      <c r="K24" s="100"/>
      <c r="L24" s="109"/>
      <c r="M24" s="107"/>
      <c r="N24" s="101"/>
      <c r="O24" s="102" t="str">
        <f>IF(SUM(L24:N24)&gt;0,SUM(L24:N24),"")</f>
        <v/>
      </c>
      <c r="P24" s="74"/>
    </row>
    <row r="25" spans="1:16" ht="18" customHeight="1">
      <c r="B25" s="103" t="str">
        <f>IF('P3'!D27="","",'P3'!D27)</f>
        <v/>
      </c>
      <c r="C25" s="126" t="str">
        <f>IF('P3'!G27="","",'P3'!G27)</f>
        <v/>
      </c>
      <c r="D25" s="116"/>
      <c r="E25" s="116"/>
      <c r="F25" s="117"/>
      <c r="G25" s="104" t="str">
        <f>IF(MAX(D25,E25,F25)&gt;0,MAX(D25,E25,F25),"")</f>
        <v/>
      </c>
      <c r="H25" s="119"/>
      <c r="I25" s="116"/>
      <c r="J25" s="116"/>
      <c r="K25" s="105" t="str">
        <f>IF(MAX(H25,I25,J25)&gt;0,MAX(H25,I25,J25),"")</f>
        <v/>
      </c>
      <c r="L25" s="121"/>
      <c r="M25" s="117"/>
      <c r="N25" s="105" t="str">
        <f>IF(MIN(L25,M25)&gt;0,MIN(L25,M25),"")</f>
        <v/>
      </c>
      <c r="O25" s="96"/>
      <c r="P25" s="97"/>
    </row>
    <row r="26" spans="1:16" ht="18" customHeight="1">
      <c r="B26" s="98"/>
      <c r="C26" s="125" t="str">
        <f>IF('P3'!G28="","",'P3'!G28)</f>
        <v/>
      </c>
      <c r="D26" s="106"/>
      <c r="E26" s="106"/>
      <c r="F26" s="107"/>
      <c r="G26" s="99"/>
      <c r="H26" s="109"/>
      <c r="I26" s="106"/>
      <c r="J26" s="107"/>
      <c r="K26" s="100"/>
      <c r="L26" s="109"/>
      <c r="M26" s="107"/>
      <c r="N26" s="101"/>
      <c r="O26" s="102" t="str">
        <f>IF(SUM(L26:N26)&gt;0,SUM(L26:N26),"")</f>
        <v/>
      </c>
      <c r="P26" s="74"/>
    </row>
    <row r="27" spans="1:16" ht="18" customHeight="1">
      <c r="B27" s="103" t="str">
        <f>IF('P3'!D29="","",'P3'!D29)</f>
        <v/>
      </c>
      <c r="C27" s="126" t="str">
        <f>IF('P3'!G29="","",'P3'!G29)</f>
        <v/>
      </c>
      <c r="D27" s="116"/>
      <c r="E27" s="116"/>
      <c r="F27" s="117"/>
      <c r="G27" s="104" t="str">
        <f>IF(MAX(D27,E27,F27)&gt;0,MAX(D27,E27,F27),"")</f>
        <v/>
      </c>
      <c r="H27" s="119"/>
      <c r="I27" s="116"/>
      <c r="J27" s="116"/>
      <c r="K27" s="105" t="str">
        <f>IF(MAX(H27,I27,J27)&gt;0,MAX(H27,I27,J27),"")</f>
        <v/>
      </c>
      <c r="L27" s="121"/>
      <c r="M27" s="117"/>
      <c r="N27" s="105" t="str">
        <f>IF(MIN(L27,M27)&gt;0,MIN(L27,M27),"")</f>
        <v/>
      </c>
      <c r="O27" s="96"/>
      <c r="P27" s="97"/>
    </row>
    <row r="28" spans="1:16" ht="18" customHeight="1">
      <c r="B28" s="98"/>
      <c r="C28" s="125" t="str">
        <f>IF('P3'!G30="","",'P3'!G30)</f>
        <v/>
      </c>
      <c r="D28" s="106"/>
      <c r="E28" s="106"/>
      <c r="F28" s="107"/>
      <c r="G28" s="99"/>
      <c r="H28" s="109"/>
      <c r="I28" s="106"/>
      <c r="J28" s="107"/>
      <c r="K28" s="100"/>
      <c r="L28" s="122"/>
      <c r="M28" s="107"/>
      <c r="N28" s="101"/>
      <c r="O28" s="102" t="str">
        <f>IF(SUM(L28:N28)&gt;0,SUM(L28:N28),"")</f>
        <v/>
      </c>
      <c r="P28" s="74"/>
    </row>
    <row r="29" spans="1:16" ht="18" customHeight="1">
      <c r="B29" s="103" t="str">
        <f>IF('P3'!D31="","",'P3'!D31)</f>
        <v/>
      </c>
      <c r="C29" s="126" t="str">
        <f>IF('P3'!G31="","",'P3'!G31)</f>
        <v/>
      </c>
      <c r="D29" s="116"/>
      <c r="E29" s="116"/>
      <c r="F29" s="117"/>
      <c r="G29" s="104" t="str">
        <f>IF(MAX(D29,E29,F29)&gt;0,MAX(D29,E29,F29),"")</f>
        <v/>
      </c>
      <c r="H29" s="119"/>
      <c r="I29" s="116"/>
      <c r="J29" s="116"/>
      <c r="K29" s="105" t="str">
        <f>IF(MAX(H29,I29,J29)&gt;0,MAX(H29,I29,J29),"")</f>
        <v/>
      </c>
      <c r="L29" s="123"/>
      <c r="M29" s="117"/>
      <c r="N29" s="105" t="str">
        <f>IF(MIN(L29,M29)&gt;0,MIN(L29,M29),"")</f>
        <v/>
      </c>
      <c r="O29" s="96"/>
      <c r="P29" s="97"/>
    </row>
    <row r="30" spans="1:16" ht="18" customHeight="1">
      <c r="A30" s="128"/>
      <c r="B30" s="129"/>
      <c r="C30" s="125" t="str">
        <f>IF('P3'!G32="","",'P3'!G32)</f>
        <v/>
      </c>
      <c r="D30" s="106"/>
      <c r="E30" s="106"/>
      <c r="F30" s="107"/>
      <c r="G30" s="111"/>
      <c r="H30" s="109"/>
      <c r="I30" s="106"/>
      <c r="J30" s="107"/>
      <c r="K30" s="108"/>
      <c r="L30" s="109"/>
      <c r="M30" s="107"/>
      <c r="N30" s="112"/>
      <c r="O30" s="102" t="str">
        <f>IF(SUM(L30:N30)&gt;0,SUM(L30:N30),"")</f>
        <v/>
      </c>
      <c r="P30" s="74"/>
    </row>
    <row r="31" spans="1:16">
      <c r="B31" s="127"/>
      <c r="C31" s="127"/>
    </row>
  </sheetData>
  <mergeCells count="9">
    <mergeCell ref="B4:N4"/>
    <mergeCell ref="D5:G5"/>
    <mergeCell ref="H5:K5"/>
    <mergeCell ref="L5:N5"/>
    <mergeCell ref="A1:N1"/>
    <mergeCell ref="A3:B3"/>
    <mergeCell ref="C3:D3"/>
    <mergeCell ref="F3:I3"/>
    <mergeCell ref="K3:L3"/>
  </mergeCells>
  <phoneticPr fontId="0" type="noConversion"/>
  <pageMargins left="0.27559055118110237" right="0.27559055118110237" top="0.27559055118110237" bottom="0.27559055118110237" header="0.51181102362204722" footer="0.51181102362204722"/>
  <pageSetup paperSize="9" fitToHeight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1">
    <pageSetUpPr fitToPage="1"/>
  </sheetPr>
  <dimension ref="A1:P31"/>
  <sheetViews>
    <sheetView showGridLines="0" showRowColHeaders="0" showZeros="0" workbookViewId="0">
      <selection activeCell="B7" sqref="B7"/>
    </sheetView>
  </sheetViews>
  <sheetFormatPr defaultColWidth="8.85546875" defaultRowHeight="12.95"/>
  <cols>
    <col min="1" max="1" width="5.5703125" customWidth="1"/>
    <col min="2" max="2" width="7.5703125" customWidth="1"/>
    <col min="3" max="3" width="27.5703125" customWidth="1"/>
    <col min="4" max="14" width="7.42578125" customWidth="1"/>
    <col min="15" max="15" width="9.42578125" customWidth="1"/>
    <col min="16" max="16" width="4.5703125" style="36" customWidth="1"/>
  </cols>
  <sheetData>
    <row r="1" spans="1:16" ht="23.1">
      <c r="A1" s="399" t="s">
        <v>78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15"/>
      <c r="P1" s="315"/>
    </row>
    <row r="2" spans="1:16" ht="15" customHeight="1">
      <c r="B2" s="75" t="s">
        <v>280</v>
      </c>
      <c r="C2" s="265" t="str">
        <f>IF('P2'!C5&gt;0,'P2'!C5,"")</f>
        <v>NM 5-kamp og Norges Cup 3. runde</v>
      </c>
      <c r="D2" s="265"/>
      <c r="E2" s="26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6">
      <c r="A3" s="400" t="s">
        <v>4</v>
      </c>
      <c r="B3" s="400"/>
      <c r="C3" s="401" t="str">
        <f>IF('P2'!J5&gt;0,'P2'!J5,"")</f>
        <v>Larvik AK</v>
      </c>
      <c r="D3" s="401"/>
      <c r="E3" s="77" t="s">
        <v>6</v>
      </c>
      <c r="F3" s="403" t="str">
        <f>IF('P2'!P5&gt;0,'P2'!P5,"")</f>
        <v>Stavernhallen</v>
      </c>
      <c r="G3" s="403"/>
      <c r="H3" s="403"/>
      <c r="I3" s="403"/>
      <c r="J3" s="261" t="s">
        <v>8</v>
      </c>
      <c r="K3" s="405">
        <f>IF('P2'!U5&gt;0,'P2'!U5,"")</f>
        <v>43358</v>
      </c>
      <c r="L3" s="405"/>
      <c r="M3" s="78" t="s">
        <v>9</v>
      </c>
      <c r="N3" s="133">
        <v>4</v>
      </c>
      <c r="O3" s="132"/>
      <c r="P3" s="79"/>
    </row>
    <row r="4" spans="1:16" ht="14.45" thickBot="1">
      <c r="B4" s="395" t="s">
        <v>284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78"/>
      <c r="P4" s="79"/>
    </row>
    <row r="5" spans="1:16" s="80" customFormat="1" ht="14.1">
      <c r="B5" s="81" t="s">
        <v>72</v>
      </c>
      <c r="C5" s="82" t="s">
        <v>15</v>
      </c>
      <c r="D5" s="396" t="s">
        <v>75</v>
      </c>
      <c r="E5" s="396"/>
      <c r="F5" s="396"/>
      <c r="G5" s="396"/>
      <c r="H5" s="397" t="s">
        <v>76</v>
      </c>
      <c r="I5" s="397"/>
      <c r="J5" s="397"/>
      <c r="K5" s="397"/>
      <c r="L5" s="398" t="s">
        <v>282</v>
      </c>
      <c r="M5" s="398"/>
      <c r="N5" s="398"/>
      <c r="O5" s="83"/>
      <c r="P5" s="84"/>
    </row>
    <row r="6" spans="1:16" ht="13.5" thickBot="1">
      <c r="B6" s="85" t="s">
        <v>79</v>
      </c>
      <c r="C6" s="86" t="s">
        <v>85</v>
      </c>
      <c r="D6" s="87">
        <v>1</v>
      </c>
      <c r="E6" s="87">
        <v>2</v>
      </c>
      <c r="F6" s="88">
        <v>3</v>
      </c>
      <c r="G6" s="89" t="s">
        <v>283</v>
      </c>
      <c r="H6" s="90">
        <v>1</v>
      </c>
      <c r="I6" s="87">
        <v>2</v>
      </c>
      <c r="J6" s="88">
        <v>3</v>
      </c>
      <c r="K6" s="89" t="s">
        <v>283</v>
      </c>
      <c r="L6" s="90">
        <v>1</v>
      </c>
      <c r="M6" s="88">
        <v>2</v>
      </c>
      <c r="N6" s="91" t="s">
        <v>283</v>
      </c>
      <c r="O6" s="92"/>
      <c r="P6" s="93"/>
    </row>
    <row r="7" spans="1:16" ht="18" customHeight="1">
      <c r="B7" s="94" t="e">
        <f>IF([2]P4!D9="","",[2]P4!D9)</f>
        <v>#REF!</v>
      </c>
      <c r="C7" s="124" t="e">
        <f>IF([2]P4!G9="","",[2]P4!G9)</f>
        <v>#REF!</v>
      </c>
      <c r="D7" s="114">
        <v>7.32</v>
      </c>
      <c r="E7" s="114">
        <v>7.53</v>
      </c>
      <c r="F7" s="115">
        <v>7.31</v>
      </c>
      <c r="G7" s="95">
        <f>IF(MAX(D7,E7,F7)&gt;0,MAX(D7,E7,F7),"")</f>
        <v>7.53</v>
      </c>
      <c r="H7" s="118">
        <v>12.81</v>
      </c>
      <c r="I7" s="114">
        <v>12.94</v>
      </c>
      <c r="J7" s="114">
        <v>13.5</v>
      </c>
      <c r="K7" s="95">
        <f>IF(MAX(H7,I7,J7)&gt;0,MAX(H7,I7,J7),"")</f>
        <v>13.5</v>
      </c>
      <c r="L7" s="120">
        <v>6.79</v>
      </c>
      <c r="M7" s="115">
        <v>6.83</v>
      </c>
      <c r="N7" s="95">
        <f>IF(MIN(L7,M7)&gt;0,MIN(L7,M7),"")</f>
        <v>6.79</v>
      </c>
      <c r="O7" s="96"/>
      <c r="P7" s="97"/>
    </row>
    <row r="8" spans="1:16" ht="18" customHeight="1">
      <c r="B8" s="98"/>
      <c r="C8" s="125" t="e">
        <f>IF([2]P4!G10="","",[2]P4!G10)</f>
        <v>#REF!</v>
      </c>
      <c r="D8" s="106"/>
      <c r="E8" s="106"/>
      <c r="F8" s="107"/>
      <c r="G8" s="99"/>
      <c r="H8" s="109"/>
      <c r="I8" s="106"/>
      <c r="J8" s="107"/>
      <c r="K8" s="100"/>
      <c r="L8" s="109"/>
      <c r="M8" s="107"/>
      <c r="N8" s="101"/>
      <c r="O8" s="102" t="str">
        <f>IF(SUM(L8:N8)&gt;0,SUM(L8:N8),"")</f>
        <v/>
      </c>
      <c r="P8" s="74"/>
    </row>
    <row r="9" spans="1:16" ht="18" customHeight="1">
      <c r="B9" s="103" t="e">
        <f>IF([2]P4!D11="","",[2]P4!D11)</f>
        <v>#REF!</v>
      </c>
      <c r="C9" s="126" t="e">
        <f>IF([2]P4!G11="","",[2]P4!G11)</f>
        <v>#REF!</v>
      </c>
      <c r="D9" s="116">
        <v>6.92</v>
      </c>
      <c r="E9" s="116">
        <v>7.03</v>
      </c>
      <c r="F9" s="117">
        <v>6.9</v>
      </c>
      <c r="G9" s="104">
        <f>IF(MAX(D9,E9,F9)&gt;0,MAX(D9,E9,F9),"")</f>
        <v>7.03</v>
      </c>
      <c r="H9" s="119">
        <v>7.11</v>
      </c>
      <c r="I9" s="116">
        <v>7.08</v>
      </c>
      <c r="J9" s="116">
        <v>8.08</v>
      </c>
      <c r="K9" s="105">
        <f>IF(MAX(H9,I9,J9)&gt;0,MAX(H9,I9,J9),"")</f>
        <v>8.08</v>
      </c>
      <c r="L9" s="121">
        <v>6.77</v>
      </c>
      <c r="M9" s="117">
        <v>6.74</v>
      </c>
      <c r="N9" s="105">
        <f>IF(MIN(L9,M9)&gt;0,MIN(L9,M9),"")</f>
        <v>6.74</v>
      </c>
      <c r="O9" s="96"/>
      <c r="P9" s="97"/>
    </row>
    <row r="10" spans="1:16" ht="18" customHeight="1">
      <c r="B10" s="98"/>
      <c r="C10" s="125" t="e">
        <f>IF([2]P4!G12="","",[2]P4!G12)</f>
        <v>#REF!</v>
      </c>
      <c r="D10" s="106"/>
      <c r="E10" s="106"/>
      <c r="F10" s="107"/>
      <c r="G10" s="99"/>
      <c r="H10" s="109"/>
      <c r="I10" s="106"/>
      <c r="J10" s="107"/>
      <c r="K10" s="100"/>
      <c r="L10" s="109"/>
      <c r="M10" s="107"/>
      <c r="N10" s="101"/>
      <c r="O10" s="102" t="str">
        <f>IF(SUM(L10:N10)&gt;0,SUM(L10:N10),"")</f>
        <v/>
      </c>
      <c r="P10" s="74"/>
    </row>
    <row r="11" spans="1:16" ht="18" customHeight="1">
      <c r="B11" s="103" t="e">
        <f>IF([2]P4!D13="","",[2]P4!D13)</f>
        <v>#REF!</v>
      </c>
      <c r="C11" s="126" t="e">
        <f>IF([2]P4!G13="","",[2]P4!G13)</f>
        <v>#REF!</v>
      </c>
      <c r="D11" s="116">
        <v>6.48</v>
      </c>
      <c r="E11" s="116">
        <v>6.51</v>
      </c>
      <c r="F11" s="117">
        <v>6.55</v>
      </c>
      <c r="G11" s="104">
        <f>IF(MAX(D11,E11,F11)&gt;0,MAX(D11,E11,F11),"")</f>
        <v>6.55</v>
      </c>
      <c r="H11" s="119">
        <v>9.6199999999999992</v>
      </c>
      <c r="I11" s="116">
        <v>10.050000000000001</v>
      </c>
      <c r="J11" s="116">
        <v>7.73</v>
      </c>
      <c r="K11" s="105">
        <f>IF(MAX(H11,I11,J11)&gt;0,MAX(H11,I11,J11),"")</f>
        <v>10.050000000000001</v>
      </c>
      <c r="L11" s="121">
        <v>7.71</v>
      </c>
      <c r="M11" s="117">
        <v>7.71</v>
      </c>
      <c r="N11" s="105">
        <f>IF(MIN(L11,M11)&gt;0,MIN(L11,M11),"")</f>
        <v>7.71</v>
      </c>
      <c r="O11" s="96"/>
      <c r="P11" s="97"/>
    </row>
    <row r="12" spans="1:16" ht="18" customHeight="1">
      <c r="B12" s="98"/>
      <c r="C12" s="125" t="e">
        <f>IF([2]P4!G14="","",[2]P4!G14)</f>
        <v>#REF!</v>
      </c>
      <c r="D12" s="106"/>
      <c r="E12" s="106"/>
      <c r="F12" s="107"/>
      <c r="G12" s="99"/>
      <c r="H12" s="109"/>
      <c r="I12" s="106"/>
      <c r="J12" s="107"/>
      <c r="K12" s="100"/>
      <c r="L12" s="109"/>
      <c r="M12" s="107"/>
      <c r="N12" s="101"/>
      <c r="O12" s="102" t="str">
        <f>IF(SUM(L12:N12)&gt;0,SUM(L12:N12),"")</f>
        <v/>
      </c>
      <c r="P12" s="74"/>
    </row>
    <row r="13" spans="1:16" ht="18" customHeight="1">
      <c r="B13" s="103" t="e">
        <f>IF([2]P4!D15="","",[2]P4!D15)</f>
        <v>#REF!</v>
      </c>
      <c r="C13" s="126" t="e">
        <f>IF([2]P4!G15="","",[2]P4!G15)</f>
        <v>#REF!</v>
      </c>
      <c r="D13" s="116">
        <v>6.6</v>
      </c>
      <c r="E13" s="116">
        <v>6.38</v>
      </c>
      <c r="F13" s="117">
        <v>6.23</v>
      </c>
      <c r="G13" s="104">
        <f>IF(MAX(D13,E13,F13)&gt;0,MAX(D13,E13,F13),"")</f>
        <v>6.6</v>
      </c>
      <c r="H13" s="119">
        <v>6.19</v>
      </c>
      <c r="I13" s="116">
        <v>7</v>
      </c>
      <c r="J13" s="116">
        <v>6.87</v>
      </c>
      <c r="K13" s="105">
        <f>IF(MAX(H13,I13,J13)&gt;0,MAX(H13,I13,J13),"")</f>
        <v>7</v>
      </c>
      <c r="L13" s="121">
        <v>7.25</v>
      </c>
      <c r="M13" s="117">
        <v>7.35</v>
      </c>
      <c r="N13" s="105">
        <f>IF(MIN(L13,M13)&gt;0,MIN(L13,M13),"")</f>
        <v>7.25</v>
      </c>
      <c r="O13" s="96"/>
      <c r="P13" s="97"/>
    </row>
    <row r="14" spans="1:16" ht="18" customHeight="1">
      <c r="B14" s="98"/>
      <c r="C14" s="125" t="e">
        <f>IF([2]P4!G16="","",[2]P4!G16)</f>
        <v>#REF!</v>
      </c>
      <c r="D14" s="106"/>
      <c r="E14" s="106"/>
      <c r="F14" s="107"/>
      <c r="G14" s="99"/>
      <c r="H14" s="109"/>
      <c r="I14" s="106"/>
      <c r="J14" s="107"/>
      <c r="K14" s="100"/>
      <c r="L14" s="109"/>
      <c r="M14" s="107"/>
      <c r="N14" s="101"/>
      <c r="O14" s="102" t="str">
        <f>IF(SUM(L14:N14)&gt;0,SUM(L14:N14),"")</f>
        <v/>
      </c>
      <c r="P14" s="74"/>
    </row>
    <row r="15" spans="1:16" ht="18" customHeight="1">
      <c r="B15" s="103" t="e">
        <f>IF([2]P4!D17="","",[2]P4!D17)</f>
        <v>#REF!</v>
      </c>
      <c r="C15" s="126" t="e">
        <f>IF([2]P4!G17="","",[2]P4!G17)</f>
        <v>#REF!</v>
      </c>
      <c r="D15" s="116">
        <v>6.64</v>
      </c>
      <c r="E15" s="116">
        <v>6.83</v>
      </c>
      <c r="F15" s="117">
        <v>6.81</v>
      </c>
      <c r="G15" s="104">
        <f>IF(MAX(D15,E15,F15)&gt;0,MAX(D15,E15,F15),"")</f>
        <v>6.83</v>
      </c>
      <c r="H15" s="119">
        <v>10.73</v>
      </c>
      <c r="I15" s="116">
        <v>11.21</v>
      </c>
      <c r="J15" s="116">
        <v>10.49</v>
      </c>
      <c r="K15" s="105">
        <f>IF(MAX(H15,I15,J15)&gt;0,MAX(H15,I15,J15),"")</f>
        <v>11.21</v>
      </c>
      <c r="L15" s="121">
        <v>7.67</v>
      </c>
      <c r="M15" s="117">
        <v>7.44</v>
      </c>
      <c r="N15" s="105">
        <f>IF(MIN(L15,M15)&gt;0,MIN(L15,M15),"")</f>
        <v>7.44</v>
      </c>
      <c r="O15" s="96"/>
      <c r="P15" s="97"/>
    </row>
    <row r="16" spans="1:16" ht="18" customHeight="1">
      <c r="B16" s="98"/>
      <c r="C16" s="125" t="e">
        <f>IF([2]P4!G18="","",[2]P4!G18)</f>
        <v>#REF!</v>
      </c>
      <c r="D16" s="106"/>
      <c r="E16" s="106"/>
      <c r="F16" s="107"/>
      <c r="G16" s="99"/>
      <c r="H16" s="109"/>
      <c r="I16" s="106"/>
      <c r="J16" s="107"/>
      <c r="K16" s="100"/>
      <c r="L16" s="109"/>
      <c r="M16" s="107"/>
      <c r="N16" s="101"/>
      <c r="O16" s="102" t="str">
        <f>IF(SUM(L16:N16)&gt;0,SUM(L16:N16),"")</f>
        <v/>
      </c>
      <c r="P16" s="74"/>
    </row>
    <row r="17" spans="2:16" ht="18" customHeight="1">
      <c r="B17" s="103" t="e">
        <f>IF([2]P4!D19="","",[2]P4!D19)</f>
        <v>#REF!</v>
      </c>
      <c r="C17" s="126" t="e">
        <f>IF([2]P4!G19="","",[2]P4!G19)</f>
        <v>#REF!</v>
      </c>
      <c r="D17" s="116">
        <v>6.15</v>
      </c>
      <c r="E17" s="116">
        <v>6.22</v>
      </c>
      <c r="F17" s="117">
        <v>6.12</v>
      </c>
      <c r="G17" s="104">
        <f>IF(MAX(D17,E17,F17)&gt;0,MAX(D17,E17,F17),"")</f>
        <v>6.22</v>
      </c>
      <c r="H17" s="119">
        <v>11.35</v>
      </c>
      <c r="I17" s="116">
        <v>10.83</v>
      </c>
      <c r="J17" s="116">
        <v>9.7100000000000009</v>
      </c>
      <c r="K17" s="105">
        <f>IF(MAX(H17,I17,J17)&gt;0,MAX(H17,I17,J17),"")</f>
        <v>11.35</v>
      </c>
      <c r="L17" s="121">
        <v>6.99</v>
      </c>
      <c r="M17" s="117">
        <v>6.97</v>
      </c>
      <c r="N17" s="105">
        <f>IF(MIN(L17,M17)&gt;0,MIN(L17,M17),"")</f>
        <v>6.97</v>
      </c>
      <c r="O17" s="96"/>
      <c r="P17" s="97"/>
    </row>
    <row r="18" spans="2:16" ht="18" customHeight="1">
      <c r="B18" s="98"/>
      <c r="C18" s="125" t="e">
        <f>IF([2]P4!G20="","",[2]P4!G20)</f>
        <v>#REF!</v>
      </c>
      <c r="D18" s="106"/>
      <c r="E18" s="106"/>
      <c r="F18" s="107"/>
      <c r="G18" s="99"/>
      <c r="H18" s="109"/>
      <c r="I18" s="106"/>
      <c r="J18" s="107"/>
      <c r="K18" s="100"/>
      <c r="L18" s="109"/>
      <c r="M18" s="107"/>
      <c r="N18" s="101"/>
      <c r="O18" s="102" t="str">
        <f>IF(SUM(L18:N18)&gt;0,SUM(L18:N18),"")</f>
        <v/>
      </c>
      <c r="P18" s="74"/>
    </row>
    <row r="19" spans="2:16" ht="18" customHeight="1">
      <c r="B19" s="103" t="e">
        <f>IF([2]P4!D21="","",[2]P4!D21)</f>
        <v>#REF!</v>
      </c>
      <c r="C19" s="126" t="e">
        <f>IF([2]P4!G21="","",[2]P4!G21)</f>
        <v>#REF!</v>
      </c>
      <c r="D19" s="116">
        <v>6.18</v>
      </c>
      <c r="E19" s="116">
        <v>6.66</v>
      </c>
      <c r="F19" s="117">
        <v>6.66</v>
      </c>
      <c r="G19" s="104">
        <f>IF(MAX(D19,E19,F19)&gt;0,MAX(D19,E19,F19),"")</f>
        <v>6.66</v>
      </c>
      <c r="H19" s="119">
        <v>11.91</v>
      </c>
      <c r="I19" s="116">
        <v>11.04</v>
      </c>
      <c r="J19" s="116">
        <v>11.93</v>
      </c>
      <c r="K19" s="105">
        <f>IF(MAX(H19,I19,J19)&gt;0,MAX(H19,I19,J19),"")</f>
        <v>11.93</v>
      </c>
      <c r="L19" s="121">
        <v>7.76</v>
      </c>
      <c r="M19" s="117">
        <v>7.79</v>
      </c>
      <c r="N19" s="105">
        <f>IF(MIN(L19,M19)&gt;0,MIN(L19,M19),"")</f>
        <v>7.76</v>
      </c>
      <c r="O19" s="96"/>
      <c r="P19" s="97"/>
    </row>
    <row r="20" spans="2:16" ht="18" customHeight="1">
      <c r="B20" s="98"/>
      <c r="C20" s="125" t="e">
        <f>IF([2]P4!G22="","",[2]P4!G22)</f>
        <v>#REF!</v>
      </c>
      <c r="D20" s="106"/>
      <c r="E20" s="106"/>
      <c r="F20" s="107"/>
      <c r="G20" s="99"/>
      <c r="H20" s="109"/>
      <c r="I20" s="106"/>
      <c r="J20" s="107"/>
      <c r="K20" s="100"/>
      <c r="L20" s="109"/>
      <c r="M20" s="107"/>
      <c r="N20" s="101"/>
      <c r="O20" s="102" t="str">
        <f>IF(SUM(L20:N20)&gt;0,SUM(L20:N20),"")</f>
        <v/>
      </c>
      <c r="P20" s="74"/>
    </row>
    <row r="21" spans="2:16" ht="18" customHeight="1">
      <c r="B21" s="103" t="str">
        <f>IF('P4'!D23="","",'P4'!D23)</f>
        <v/>
      </c>
      <c r="C21" s="126" t="str">
        <f>IF('P4'!G23="","",'P4'!G23)</f>
        <v/>
      </c>
      <c r="D21" s="116"/>
      <c r="E21" s="116"/>
      <c r="F21" s="117"/>
      <c r="G21" s="104" t="str">
        <f>IF(MAX(D21,E21,F21)&gt;0,MAX(D21,E21,F21),"")</f>
        <v/>
      </c>
      <c r="H21" s="119"/>
      <c r="I21" s="116"/>
      <c r="J21" s="116"/>
      <c r="K21" s="105" t="str">
        <f>IF(MAX(H21,I21,J21)&gt;0,MAX(H21,I21,J21),"")</f>
        <v/>
      </c>
      <c r="L21" s="121"/>
      <c r="M21" s="117"/>
      <c r="N21" s="105" t="str">
        <f>IF(MIN(L21,M21)&gt;0,MIN(L21,M21),"")</f>
        <v/>
      </c>
      <c r="O21" s="96"/>
      <c r="P21" s="97"/>
    </row>
    <row r="22" spans="2:16" ht="18" customHeight="1">
      <c r="B22" s="98"/>
      <c r="C22" s="125" t="str">
        <f>IF('P4'!G24="","",'P4'!G24)</f>
        <v/>
      </c>
      <c r="D22" s="106"/>
      <c r="E22" s="106"/>
      <c r="F22" s="107"/>
      <c r="G22" s="108"/>
      <c r="H22" s="109"/>
      <c r="I22" s="106"/>
      <c r="J22" s="107"/>
      <c r="K22" s="110"/>
      <c r="L22" s="109"/>
      <c r="M22" s="107"/>
      <c r="N22" s="101"/>
      <c r="O22" s="102" t="str">
        <f>IF(SUM(L22:N22)&gt;0,SUM(L22:N22),"")</f>
        <v/>
      </c>
      <c r="P22" s="74"/>
    </row>
    <row r="23" spans="2:16" ht="18" customHeight="1">
      <c r="B23" s="103" t="str">
        <f>IF('P4'!D25="","",'P4'!D25)</f>
        <v/>
      </c>
      <c r="C23" s="126" t="str">
        <f>IF('P4'!G25="","",'P4'!G25)</f>
        <v/>
      </c>
      <c r="D23" s="116"/>
      <c r="E23" s="116"/>
      <c r="F23" s="117"/>
      <c r="G23" s="104" t="str">
        <f>IF(MAX(D23,E23,F23)&gt;0,MAX(D23,E23,F23),"")</f>
        <v/>
      </c>
      <c r="H23" s="119"/>
      <c r="I23" s="116"/>
      <c r="J23" s="116"/>
      <c r="K23" s="105" t="str">
        <f>IF(MAX(H23,I23,J23)&gt;0,MAX(H23,I23,J23),"")</f>
        <v/>
      </c>
      <c r="L23" s="121"/>
      <c r="M23" s="117"/>
      <c r="N23" s="105" t="str">
        <f>IF(MIN(L23,M23)&gt;0,MIN(L23,M23),"")</f>
        <v/>
      </c>
      <c r="O23" s="96"/>
      <c r="P23" s="97"/>
    </row>
    <row r="24" spans="2:16" ht="18" customHeight="1">
      <c r="B24" s="98"/>
      <c r="C24" s="125" t="str">
        <f>IF('P4'!G26="","",'P4'!G26)</f>
        <v/>
      </c>
      <c r="D24" s="106"/>
      <c r="E24" s="106"/>
      <c r="F24" s="107"/>
      <c r="G24" s="99"/>
      <c r="H24" s="109"/>
      <c r="I24" s="106"/>
      <c r="J24" s="107"/>
      <c r="K24" s="100"/>
      <c r="L24" s="109"/>
      <c r="M24" s="107"/>
      <c r="N24" s="101"/>
      <c r="O24" s="102" t="str">
        <f>IF(SUM(L24:N24)&gt;0,SUM(L24:N24),"")</f>
        <v/>
      </c>
      <c r="P24" s="74"/>
    </row>
    <row r="25" spans="2:16" ht="18" customHeight="1">
      <c r="B25" s="103" t="str">
        <f>IF('P4'!D27="","",'P4'!D27)</f>
        <v/>
      </c>
      <c r="C25" s="126" t="str">
        <f>IF('P4'!G27="","",'P4'!G27)</f>
        <v/>
      </c>
      <c r="D25" s="116"/>
      <c r="E25" s="116"/>
      <c r="F25" s="117"/>
      <c r="G25" s="104" t="str">
        <f>IF(MAX(D25,E25,F25)&gt;0,MAX(D25,E25,F25),"")</f>
        <v/>
      </c>
      <c r="H25" s="119"/>
      <c r="I25" s="116"/>
      <c r="J25" s="116"/>
      <c r="K25" s="105" t="str">
        <f>IF(MAX(H25,I25,J25)&gt;0,MAX(H25,I25,J25),"")</f>
        <v/>
      </c>
      <c r="L25" s="121"/>
      <c r="M25" s="117"/>
      <c r="N25" s="105" t="str">
        <f>IF(MIN(L25,M25)&gt;0,MIN(L25,M25),"")</f>
        <v/>
      </c>
      <c r="O25" s="96"/>
      <c r="P25" s="97"/>
    </row>
    <row r="26" spans="2:16" ht="18" customHeight="1">
      <c r="B26" s="98"/>
      <c r="C26" s="125" t="str">
        <f>IF('P4'!G28="","",'P4'!G28)</f>
        <v/>
      </c>
      <c r="D26" s="106"/>
      <c r="E26" s="106"/>
      <c r="F26" s="107"/>
      <c r="G26" s="99"/>
      <c r="H26" s="109"/>
      <c r="I26" s="106"/>
      <c r="J26" s="107"/>
      <c r="K26" s="100"/>
      <c r="L26" s="109"/>
      <c r="M26" s="107"/>
      <c r="N26" s="101"/>
      <c r="O26" s="102" t="str">
        <f>IF(SUM(L26:N26)&gt;0,SUM(L26:N26),"")</f>
        <v/>
      </c>
      <c r="P26" s="74"/>
    </row>
    <row r="27" spans="2:16" ht="18" customHeight="1">
      <c r="B27" s="103" t="str">
        <f>IF('P4'!D29="","",'P4'!D29)</f>
        <v/>
      </c>
      <c r="C27" s="126" t="str">
        <f>IF('P4'!G29="","",'P4'!G29)</f>
        <v/>
      </c>
      <c r="D27" s="116"/>
      <c r="E27" s="116"/>
      <c r="F27" s="117"/>
      <c r="G27" s="104" t="str">
        <f>IF(MAX(D27,E27,F27)&gt;0,MAX(D27,E27,F27),"")</f>
        <v/>
      </c>
      <c r="H27" s="119"/>
      <c r="I27" s="116"/>
      <c r="J27" s="116"/>
      <c r="K27" s="105" t="str">
        <f>IF(MAX(H27,I27,J27)&gt;0,MAX(H27,I27,J27),"")</f>
        <v/>
      </c>
      <c r="L27" s="121"/>
      <c r="M27" s="117"/>
      <c r="N27" s="105" t="str">
        <f>IF(MIN(L27,M27)&gt;0,MIN(L27,M27),"")</f>
        <v/>
      </c>
      <c r="O27" s="96"/>
      <c r="P27" s="97"/>
    </row>
    <row r="28" spans="2:16" ht="18" customHeight="1">
      <c r="B28" s="98"/>
      <c r="C28" s="125" t="str">
        <f>IF('P4'!G30="","",'P4'!G30)</f>
        <v/>
      </c>
      <c r="D28" s="106"/>
      <c r="E28" s="106"/>
      <c r="F28" s="107"/>
      <c r="G28" s="99"/>
      <c r="H28" s="109"/>
      <c r="I28" s="106"/>
      <c r="J28" s="107"/>
      <c r="K28" s="100"/>
      <c r="L28" s="122"/>
      <c r="M28" s="107"/>
      <c r="N28" s="101"/>
      <c r="O28" s="102" t="str">
        <f>IF(SUM(L28:N28)&gt;0,SUM(L28:N28),"")</f>
        <v/>
      </c>
      <c r="P28" s="74"/>
    </row>
    <row r="29" spans="2:16" ht="18" customHeight="1">
      <c r="B29" s="103" t="str">
        <f>IF('P4'!D31="","",'P4'!D31)</f>
        <v/>
      </c>
      <c r="C29" s="126" t="str">
        <f>IF('P4'!G31="","",'P4'!G31)</f>
        <v/>
      </c>
      <c r="D29" s="116"/>
      <c r="E29" s="116"/>
      <c r="F29" s="117"/>
      <c r="G29" s="104" t="str">
        <f>IF(MAX(D29,E29,F29)&gt;0,MAX(D29,E29,F29),"")</f>
        <v/>
      </c>
      <c r="H29" s="119"/>
      <c r="I29" s="116"/>
      <c r="J29" s="116"/>
      <c r="K29" s="105" t="str">
        <f>IF(MAX(H29,I29,J29)&gt;0,MAX(H29,I29,J29),"")</f>
        <v/>
      </c>
      <c r="L29" s="123"/>
      <c r="M29" s="117"/>
      <c r="N29" s="105" t="str">
        <f>IF(MIN(L29,M29)&gt;0,MIN(L29,M29),"")</f>
        <v/>
      </c>
      <c r="O29" s="96"/>
      <c r="P29" s="97"/>
    </row>
    <row r="30" spans="2:16" ht="18" customHeight="1">
      <c r="B30" s="98"/>
      <c r="C30" s="125" t="str">
        <f>IF('P4'!G32="","",'P4'!G32)</f>
        <v/>
      </c>
      <c r="D30" s="106"/>
      <c r="E30" s="106"/>
      <c r="F30" s="107"/>
      <c r="G30" s="111"/>
      <c r="H30" s="109"/>
      <c r="I30" s="106"/>
      <c r="J30" s="107"/>
      <c r="K30" s="108"/>
      <c r="L30" s="109"/>
      <c r="M30" s="107"/>
      <c r="N30" s="112"/>
      <c r="O30" s="102" t="str">
        <f>IF(SUM(L30:N30)&gt;0,SUM(L30:N30),"")</f>
        <v/>
      </c>
      <c r="P30" s="74"/>
    </row>
    <row r="31" spans="2:16">
      <c r="B31" s="113"/>
      <c r="C31" s="113"/>
    </row>
  </sheetData>
  <mergeCells count="9">
    <mergeCell ref="B4:N4"/>
    <mergeCell ref="D5:G5"/>
    <mergeCell ref="H5:K5"/>
    <mergeCell ref="L5:N5"/>
    <mergeCell ref="A1:N1"/>
    <mergeCell ref="A3:B3"/>
    <mergeCell ref="C3:D3"/>
    <mergeCell ref="F3:I3"/>
    <mergeCell ref="K3:L3"/>
  </mergeCells>
  <phoneticPr fontId="0" type="noConversion"/>
  <pageMargins left="0.27559055118110237" right="0.27559055118110237" top="0.27559055118110237" bottom="0.27559055118110237" header="0.51181102362204722" footer="0.51181102362204722"/>
  <pageSetup paperSize="9" fitToHeight="0" orientation="landscape" horizontalDpi="300" verticalDpi="300" copies="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Z55"/>
  <sheetViews>
    <sheetView showGridLines="0" showRowColHeaders="0" showZeros="0" workbookViewId="0">
      <selection activeCell="A9" sqref="A9"/>
    </sheetView>
  </sheetViews>
  <sheetFormatPr defaultColWidth="8.85546875" defaultRowHeight="12.95"/>
  <cols>
    <col min="1" max="1" width="7.85546875" customWidth="1"/>
    <col min="2" max="2" width="6.85546875" customWidth="1"/>
    <col min="3" max="3" width="5.5703125" customWidth="1"/>
    <col min="4" max="4" width="7.5703125" customWidth="1"/>
    <col min="5" max="5" width="10.42578125" customWidth="1"/>
    <col min="6" max="6" width="3.85546875" customWidth="1"/>
    <col min="7" max="7" width="27.5703125" customWidth="1"/>
    <col min="8" max="16" width="6.5703125" customWidth="1"/>
    <col min="17" max="18" width="8.85546875" customWidth="1"/>
    <col min="19" max="20" width="8.5703125" customWidth="1"/>
    <col min="21" max="21" width="9.85546875" customWidth="1"/>
    <col min="22" max="23" width="8.5703125" customWidth="1"/>
    <col min="24" max="24" width="4.42578125" customWidth="1"/>
    <col min="25" max="25" width="5.5703125" customWidth="1"/>
    <col min="26" max="26" width="0" hidden="1" customWidth="1"/>
  </cols>
  <sheetData>
    <row r="1" spans="1:26" ht="12.95" customHeight="1">
      <c r="A1" s="36"/>
      <c r="B1" s="36"/>
      <c r="C1" s="36"/>
      <c r="D1" s="36"/>
      <c r="E1" s="36"/>
      <c r="F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ht="72.75" customHeight="1">
      <c r="A2" s="36"/>
      <c r="B2" s="36"/>
      <c r="C2" s="36"/>
      <c r="D2" s="36"/>
      <c r="E2" s="36"/>
      <c r="F2" s="36"/>
      <c r="G2" s="346" t="s">
        <v>70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02"/>
      <c r="S2" s="36"/>
      <c r="T2" s="36"/>
      <c r="U2" s="36"/>
      <c r="V2" s="36"/>
      <c r="W2" s="36"/>
      <c r="X2" s="36"/>
      <c r="Y2" s="36"/>
    </row>
    <row r="3" spans="1:26" ht="27.95">
      <c r="A3" s="36"/>
      <c r="B3" s="36"/>
      <c r="C3" s="36"/>
      <c r="D3" s="36"/>
      <c r="E3" s="36"/>
      <c r="F3" s="36"/>
      <c r="G3" s="320" t="s">
        <v>1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00"/>
      <c r="S3" s="36"/>
      <c r="T3" s="36"/>
      <c r="U3" s="36"/>
      <c r="V3" s="36"/>
      <c r="W3" s="36"/>
      <c r="X3" s="36"/>
      <c r="Y3" s="36"/>
    </row>
    <row r="4" spans="1:26" ht="12.95" customHeight="1">
      <c r="A4" s="36"/>
      <c r="B4" s="36"/>
      <c r="C4" s="36"/>
      <c r="D4" s="36"/>
      <c r="E4" s="36"/>
      <c r="F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6" ht="15" customHeight="1">
      <c r="A5" s="344" t="s">
        <v>2</v>
      </c>
      <c r="B5" s="344"/>
      <c r="C5" s="321" t="s">
        <v>3</v>
      </c>
      <c r="D5" s="321"/>
      <c r="E5" s="321"/>
      <c r="F5" s="321"/>
      <c r="G5" s="321"/>
      <c r="H5" s="344" t="s">
        <v>4</v>
      </c>
      <c r="I5" s="344"/>
      <c r="J5" s="321" t="s">
        <v>5</v>
      </c>
      <c r="K5" s="321"/>
      <c r="L5" s="321"/>
      <c r="M5" s="321"/>
      <c r="N5" s="321"/>
      <c r="O5" s="306" t="s">
        <v>6</v>
      </c>
      <c r="P5" s="345" t="s">
        <v>7</v>
      </c>
      <c r="Q5" s="345"/>
      <c r="R5" s="345"/>
      <c r="S5" s="345"/>
      <c r="T5" s="306" t="s">
        <v>8</v>
      </c>
      <c r="U5" s="325">
        <v>43358</v>
      </c>
      <c r="V5" s="325"/>
      <c r="W5" s="52" t="s">
        <v>9</v>
      </c>
      <c r="X5" s="263" t="s">
        <v>71</v>
      </c>
      <c r="Y5" s="263"/>
    </row>
    <row r="6" spans="1:26" ht="13.7" customHeight="1" thickBot="1">
      <c r="A6" s="53"/>
      <c r="B6" s="53"/>
      <c r="C6" s="53"/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5"/>
      <c r="X6" s="53"/>
      <c r="Y6" s="53"/>
    </row>
    <row r="7" spans="1:26" ht="15" customHeight="1">
      <c r="A7" s="241" t="s">
        <v>12</v>
      </c>
      <c r="B7" s="242" t="s">
        <v>11</v>
      </c>
      <c r="C7" s="304" t="s">
        <v>72</v>
      </c>
      <c r="D7" s="243" t="s">
        <v>72</v>
      </c>
      <c r="E7" s="303" t="s">
        <v>14</v>
      </c>
      <c r="F7" s="303" t="s">
        <v>73</v>
      </c>
      <c r="G7" s="303" t="s">
        <v>15</v>
      </c>
      <c r="H7" s="348" t="s">
        <v>17</v>
      </c>
      <c r="I7" s="349"/>
      <c r="J7" s="350"/>
      <c r="K7" s="348" t="s">
        <v>18</v>
      </c>
      <c r="L7" s="349"/>
      <c r="M7" s="350"/>
      <c r="N7" s="351" t="s">
        <v>74</v>
      </c>
      <c r="O7" s="352"/>
      <c r="P7" s="352"/>
      <c r="Q7" s="352"/>
      <c r="R7" s="244" t="s">
        <v>21</v>
      </c>
      <c r="S7" s="242" t="s">
        <v>75</v>
      </c>
      <c r="T7" s="242" t="s">
        <v>76</v>
      </c>
      <c r="U7" s="242" t="s">
        <v>77</v>
      </c>
      <c r="V7" s="303" t="s">
        <v>78</v>
      </c>
      <c r="W7" s="245" t="s">
        <v>79</v>
      </c>
      <c r="X7" s="245" t="s">
        <v>80</v>
      </c>
      <c r="Y7" s="246" t="s">
        <v>81</v>
      </c>
    </row>
    <row r="8" spans="1:26" ht="15" customHeight="1" thickBot="1">
      <c r="A8" s="247" t="s">
        <v>26</v>
      </c>
      <c r="B8" s="248" t="s">
        <v>25</v>
      </c>
      <c r="C8" s="249" t="s">
        <v>82</v>
      </c>
      <c r="D8" s="250" t="s">
        <v>79</v>
      </c>
      <c r="E8" s="251" t="s">
        <v>83</v>
      </c>
      <c r="F8" s="251" t="s">
        <v>84</v>
      </c>
      <c r="G8" s="305" t="s">
        <v>85</v>
      </c>
      <c r="H8" s="353" t="s">
        <v>86</v>
      </c>
      <c r="I8" s="354"/>
      <c r="J8" s="355"/>
      <c r="K8" s="353" t="s">
        <v>86</v>
      </c>
      <c r="L8" s="354"/>
      <c r="M8" s="355"/>
      <c r="N8" s="252" t="s">
        <v>17</v>
      </c>
      <c r="O8" s="253" t="s">
        <v>18</v>
      </c>
      <c r="P8" s="248" t="s">
        <v>87</v>
      </c>
      <c r="Q8" s="249" t="s">
        <v>21</v>
      </c>
      <c r="R8" s="248" t="s">
        <v>31</v>
      </c>
      <c r="S8" s="254" t="s">
        <v>21</v>
      </c>
      <c r="T8" s="254" t="s">
        <v>21</v>
      </c>
      <c r="U8" s="254" t="s">
        <v>21</v>
      </c>
      <c r="V8" s="251" t="s">
        <v>88</v>
      </c>
      <c r="W8" s="255" t="s">
        <v>89</v>
      </c>
      <c r="X8" s="255"/>
      <c r="Y8" s="256"/>
    </row>
    <row r="9" spans="1:26" ht="18" customHeight="1">
      <c r="A9" s="185">
        <v>47.7</v>
      </c>
      <c r="B9" s="186" t="s">
        <v>90</v>
      </c>
      <c r="C9" s="187" t="s">
        <v>91</v>
      </c>
      <c r="D9" s="186" t="s">
        <v>92</v>
      </c>
      <c r="E9" s="188">
        <v>38239</v>
      </c>
      <c r="F9" s="189"/>
      <c r="G9" s="190" t="s">
        <v>93</v>
      </c>
      <c r="H9" s="191">
        <v>16</v>
      </c>
      <c r="I9" s="192">
        <v>18</v>
      </c>
      <c r="J9" s="192">
        <v>-20</v>
      </c>
      <c r="K9" s="191">
        <v>22</v>
      </c>
      <c r="L9" s="192">
        <v>24</v>
      </c>
      <c r="M9" s="192">
        <v>-26</v>
      </c>
      <c r="N9" s="209">
        <f>IF(MAX(H9:J9)&gt;0,IF(MAX(H9:J9)&lt;0,0,TRUNC(MAX(H9:J9)/1)*1),"")</f>
        <v>18</v>
      </c>
      <c r="O9" s="210">
        <f>IF(MAX(K9:M9)&gt;0,IF(MAX(K9:M9)&lt;0,0,TRUNC(MAX(K9:M9)/1)*1),"")</f>
        <v>24</v>
      </c>
      <c r="P9" s="211">
        <f>IF(N9="","",IF(O9="","",IF(SUM(N9:O9)=0,"",SUM(N9:O9))))</f>
        <v>42</v>
      </c>
      <c r="Q9" s="223">
        <f>IF(P9="","",IF(A9="","",IF(OR(C9="UK",C9="JK",C9="SK",C9="K1",C9="K2",C9="K3",C9="K4",C9="K5",C9="K6",C9="K7",C9="K8",C9="K9",C9="K10"),IF(A9&gt;153.655,P9,IF(A9&lt;28,10^(0.783497476*LOG10(28/153.655)^2)*P9,10^(0.783497476*LOG10(A9/153.655)^2)*P9)),IF(A9&gt;175.508,P9,IF(A9&lt;32,10^(0.75194503*LOG10(32/175.508)^2)*P9,10^(0.75194503*LOG10(A9/175.508)^2)*P9)))))</f>
        <v>66.905885917746986</v>
      </c>
      <c r="R9" s="162" t="str">
        <f>IF(OR(E9="",A9="",Z9="",Q9=""),"",IF(OR(C9="UM",C9="JM",C9="SM",C9="UK",C9="JK",C9="SK"),"",Q9*(IF(ABS(1900-YEAR((Z9+1)-E9))&lt;29,0,(VLOOKUP((YEAR(Z9)-YEAR(E9)),'Meltzer-Malone'!$A$3:$B$63,2))))))</f>
        <v/>
      </c>
      <c r="S9" s="163">
        <f>IF('K2'!G7="","",'K2'!G7)</f>
        <v>3.89</v>
      </c>
      <c r="T9" s="163">
        <f>IF('K2'!K7="","",'K2'!K7)</f>
        <v>5.9</v>
      </c>
      <c r="U9" s="163">
        <f>IF('K2'!N7="","",'K2'!N7)</f>
        <v>10.15</v>
      </c>
      <c r="V9" s="235"/>
      <c r="W9" s="236"/>
      <c r="X9" s="195"/>
      <c r="Y9" s="196" t="s">
        <v>42</v>
      </c>
      <c r="Z9" s="225">
        <f>U5</f>
        <v>43358</v>
      </c>
    </row>
    <row r="10" spans="1:26" ht="18" customHeight="1">
      <c r="A10" s="165"/>
      <c r="B10" s="166"/>
      <c r="C10" s="167"/>
      <c r="D10" s="168"/>
      <c r="E10" s="169"/>
      <c r="F10" s="193"/>
      <c r="G10" s="170" t="s">
        <v>94</v>
      </c>
      <c r="H10" s="338"/>
      <c r="I10" s="339"/>
      <c r="J10" s="340"/>
      <c r="K10" s="341"/>
      <c r="L10" s="342"/>
      <c r="M10" s="343"/>
      <c r="N10" s="167"/>
      <c r="O10" s="171"/>
      <c r="P10" s="336">
        <f>IF(Q9="","",Q9*1.2)</f>
        <v>80.287063101296383</v>
      </c>
      <c r="Q10" s="334"/>
      <c r="R10" s="222"/>
      <c r="S10" s="172">
        <f>IF(S9="","",S9*20)</f>
        <v>77.8</v>
      </c>
      <c r="T10" s="172">
        <f>IF(T9="","",T9*11)</f>
        <v>64.900000000000006</v>
      </c>
      <c r="U10" s="173">
        <f>IF(U9="","",IF((80+(8-ROUNDUP(U9,1))*40)&lt;0,0,80+(8-ROUNDUP(U9,1))*40))</f>
        <v>0</v>
      </c>
      <c r="V10" s="237">
        <f>IF(SUM(S10,T10,U10)&gt;0,SUM(S10,T10,U10),"")</f>
        <v>142.69999999999999</v>
      </c>
      <c r="W10" s="238">
        <f>IF(OR(P10="",S10="",T10="",U10=""),"",SUM(P10,S10,T10,U10))</f>
        <v>222.9870631012964</v>
      </c>
      <c r="X10" s="239">
        <v>5</v>
      </c>
      <c r="Y10" s="240"/>
      <c r="Z10" s="225"/>
    </row>
    <row r="11" spans="1:26" ht="18" customHeight="1">
      <c r="A11" s="185">
        <v>50.38</v>
      </c>
      <c r="B11" s="186" t="s">
        <v>95</v>
      </c>
      <c r="C11" s="187" t="s">
        <v>91</v>
      </c>
      <c r="D11" s="186" t="s">
        <v>92</v>
      </c>
      <c r="E11" s="188">
        <v>38084</v>
      </c>
      <c r="F11" s="189"/>
      <c r="G11" s="190" t="s">
        <v>96</v>
      </c>
      <c r="H11" s="191">
        <v>40</v>
      </c>
      <c r="I11" s="192">
        <v>44</v>
      </c>
      <c r="J11" s="192">
        <v>47</v>
      </c>
      <c r="K11" s="191">
        <v>52</v>
      </c>
      <c r="L11" s="192">
        <v>-56</v>
      </c>
      <c r="M11" s="192">
        <v>-57</v>
      </c>
      <c r="N11" s="209">
        <f>IF(MAX(H11:J11)&gt;0,IF(MAX(H11:J11)&lt;0,0,TRUNC(MAX(H11:J11)/1)*1),"")</f>
        <v>47</v>
      </c>
      <c r="O11" s="210">
        <f>IF(MAX(K11:M11)&gt;0,IF(MAX(K11:M11)&lt;0,0,TRUNC(MAX(K11:M11)/1)*1),"")</f>
        <v>52</v>
      </c>
      <c r="P11" s="211">
        <f>IF(N11="","",IF(O11="","",IF(SUM(N11:O11)=0,"",SUM(N11:O11))))</f>
        <v>99</v>
      </c>
      <c r="Q11" s="223">
        <f>IF(P11="","",IF(A11="","",IF(OR(C11="UK",C11="JK",C11="SK",C11="K1",C11="K2",C11="K3",C11="K4",C11="K5",C11="K6",C11="K7",C11="K8",C11="K9",C11="K10"),IF(A11&gt;153.655,P11,IF(A11&lt;28,10^(0.783497476*LOG10(28/153.655)^2)*P11,10^(0.783497476*LOG10(A11/153.655)^2)*P11)),IF(A11&gt;175.508,P11,IF(A11&lt;32,10^(0.75194503*LOG10(32/175.508)^2)*P11,10^(0.75194503*LOG10(A11/175.508)^2)*P11)))))</f>
        <v>151.14475326073452</v>
      </c>
      <c r="R11" s="224" t="str">
        <f>IF(OR(E11="",A11="",Z11="",Q11=""),"",IF(OR(C11="UM",C11="JM",C11="SM",C11="UK",C11="JK",C11="SK"),"",Q11*(IF(ABS(1900-YEAR((Z11+1)-E11))&lt;29,0,(VLOOKUP((YEAR(Z11)-YEAR(E11)),'Meltzer-Malone'!$A$3:$B$63,2))))))</f>
        <v/>
      </c>
      <c r="S11" s="174">
        <f>IF('K2'!G9="","",'K2'!G9)</f>
        <v>6.47</v>
      </c>
      <c r="T11" s="174">
        <f>IF('K2'!K9="","",'K2'!K9)</f>
        <v>10.119999999999999</v>
      </c>
      <c r="U11" s="174">
        <f>IF('K2'!N9="","",'K2'!N9)</f>
        <v>7.27</v>
      </c>
      <c r="V11" s="163"/>
      <c r="W11" s="164"/>
      <c r="X11" s="175"/>
      <c r="Y11" s="176"/>
      <c r="Z11" s="225">
        <f>U5</f>
        <v>43358</v>
      </c>
    </row>
    <row r="12" spans="1:26" ht="18" customHeight="1">
      <c r="A12" s="165"/>
      <c r="B12" s="166"/>
      <c r="C12" s="167"/>
      <c r="D12" s="168"/>
      <c r="E12" s="169"/>
      <c r="F12" s="193"/>
      <c r="G12" s="170" t="s">
        <v>97</v>
      </c>
      <c r="H12" s="338"/>
      <c r="I12" s="339"/>
      <c r="J12" s="340"/>
      <c r="K12" s="341"/>
      <c r="L12" s="342"/>
      <c r="M12" s="343"/>
      <c r="N12" s="167"/>
      <c r="O12" s="171"/>
      <c r="P12" s="336">
        <f>IF(Q11="","",Q11*1.2)</f>
        <v>181.37370391288141</v>
      </c>
      <c r="Q12" s="334"/>
      <c r="R12" s="222"/>
      <c r="S12" s="172">
        <f>IF(S11="","",S11*20)</f>
        <v>129.4</v>
      </c>
      <c r="T12" s="172">
        <f>IF(T11="","",T11*11)</f>
        <v>111.32</v>
      </c>
      <c r="U12" s="173">
        <f>IF(U11="","",IF((80+(8-ROUNDUP(U11,1))*40)&lt;0,0,80+(8-ROUNDUP(U11,1))*40))</f>
        <v>108</v>
      </c>
      <c r="V12" s="237">
        <f>IF(SUM(S12,T12,U12)&gt;0,SUM(S12,T12,U12),"")</f>
        <v>348.72</v>
      </c>
      <c r="W12" s="238">
        <f>IF(OR(P12="",S12="",T12="",U12=""),"",SUM(P12,S12,T12,U12))</f>
        <v>530.09370391288144</v>
      </c>
      <c r="X12" s="239">
        <v>2</v>
      </c>
      <c r="Y12" s="240"/>
      <c r="Z12" s="225"/>
    </row>
    <row r="13" spans="1:26" ht="18" customHeight="1">
      <c r="A13" s="185">
        <v>52.62</v>
      </c>
      <c r="B13" s="186" t="s">
        <v>95</v>
      </c>
      <c r="C13" s="187" t="s">
        <v>91</v>
      </c>
      <c r="D13" s="186" t="s">
        <v>92</v>
      </c>
      <c r="E13" s="188">
        <v>38256</v>
      </c>
      <c r="F13" s="189"/>
      <c r="G13" s="190" t="s">
        <v>98</v>
      </c>
      <c r="H13" s="191">
        <v>38</v>
      </c>
      <c r="I13" s="192">
        <v>41</v>
      </c>
      <c r="J13" s="192">
        <v>44</v>
      </c>
      <c r="K13" s="191">
        <v>51</v>
      </c>
      <c r="L13" s="192">
        <v>55</v>
      </c>
      <c r="M13" s="192">
        <v>58</v>
      </c>
      <c r="N13" s="209">
        <f>IF(MAX(H13:J13)&gt;0,IF(MAX(H13:J13)&lt;0,0,TRUNC(MAX(H13:J13)/1)*1),"")</f>
        <v>44</v>
      </c>
      <c r="O13" s="210">
        <f>IF(MAX(K13:M13)&gt;0,IF(MAX(K13:M13)&lt;0,0,TRUNC(MAX(K13:M13)/1)*1),"")</f>
        <v>58</v>
      </c>
      <c r="P13" s="211">
        <f>IF(N13="","",IF(O13="","",IF(SUM(N13:O13)=0,"",SUM(N13:O13))))</f>
        <v>102</v>
      </c>
      <c r="Q13" s="223">
        <f>IF(P13="","",IF(A13="","",IF(OR(C13="UK",C13="JK",C13="SK",C13="K1",C13="K2",C13="K3",C13="K4",C13="K5",C13="K6",C13="K7",C13="K8",C13="K9",C13="K10"),IF(A13&gt;153.655,P13,IF(A13&lt;28,10^(0.783497476*LOG10(28/153.655)^2)*P13,10^(0.783497476*LOG10(A13/153.655)^2)*P13)),IF(A13&gt;175.508,P13,IF(A13&lt;32,10^(0.75194503*LOG10(32/175.508)^2)*P13,10^(0.75194503*LOG10(A13/175.508)^2)*P13)))))</f>
        <v>150.764980464611</v>
      </c>
      <c r="R13" s="224" t="str">
        <f>IF(OR(E13="",A13="",Z13="",Q13=""),"",IF(OR(C13="UM",C13="JM",C13="SM",C13="UK",C13="JK",C13="SK"),"",Q13*(IF(ABS(1900-YEAR((Z13+1)-E13))&lt;29,0,(VLOOKUP((YEAR(Z13)-YEAR(E13)),'Meltzer-Malone'!$A$3:$B$63,2))))))</f>
        <v/>
      </c>
      <c r="S13" s="174">
        <f>IF('K2'!G11="","",'K2'!G11)</f>
        <v>6.44</v>
      </c>
      <c r="T13" s="174">
        <f>IF('K2'!K11="","",'K2'!K11)</f>
        <v>11.56</v>
      </c>
      <c r="U13" s="174">
        <f>IF('K2'!N11="","",'K2'!N11)</f>
        <v>7.24</v>
      </c>
      <c r="V13" s="163"/>
      <c r="W13" s="164"/>
      <c r="X13" s="175"/>
      <c r="Y13" s="176"/>
      <c r="Z13" s="225">
        <f>U5</f>
        <v>43358</v>
      </c>
    </row>
    <row r="14" spans="1:26" ht="18" customHeight="1">
      <c r="A14" s="165"/>
      <c r="B14" s="166"/>
      <c r="C14" s="167"/>
      <c r="D14" s="168"/>
      <c r="E14" s="169"/>
      <c r="F14" s="193"/>
      <c r="G14" s="170" t="s">
        <v>97</v>
      </c>
      <c r="H14" s="338"/>
      <c r="I14" s="339"/>
      <c r="J14" s="340"/>
      <c r="K14" s="341"/>
      <c r="L14" s="342"/>
      <c r="M14" s="343"/>
      <c r="N14" s="167"/>
      <c r="O14" s="171"/>
      <c r="P14" s="336">
        <f>IF(Q13="","",Q13*1.2)</f>
        <v>180.91797655753319</v>
      </c>
      <c r="Q14" s="334"/>
      <c r="R14" s="222"/>
      <c r="S14" s="172">
        <f>IF(S13="","",S13*20)</f>
        <v>128.80000000000001</v>
      </c>
      <c r="T14" s="172">
        <f>IF(T13="","",T13*11)</f>
        <v>127.16000000000001</v>
      </c>
      <c r="U14" s="173">
        <f>IF(U13="","",IF((80+(8-ROUNDUP(U13,1))*40)&lt;0,0,80+(8-ROUNDUP(U13,1))*40))</f>
        <v>108</v>
      </c>
      <c r="V14" s="237">
        <f>IF(SUM(S14,T14,U14)&gt;0,SUM(S14,T14,U14),"")</f>
        <v>363.96000000000004</v>
      </c>
      <c r="W14" s="238">
        <f>IF(OR(P14="",S14="",T14="",U14=""),"",SUM(P14,S14,T14,U14))</f>
        <v>544.8779765575332</v>
      </c>
      <c r="X14" s="239">
        <v>1</v>
      </c>
      <c r="Y14" s="240"/>
      <c r="Z14" s="225"/>
    </row>
    <row r="15" spans="1:26" ht="18" customHeight="1">
      <c r="A15" s="185">
        <v>53.8</v>
      </c>
      <c r="B15" s="186" t="s">
        <v>99</v>
      </c>
      <c r="C15" s="187" t="s">
        <v>91</v>
      </c>
      <c r="D15" s="186" t="s">
        <v>92</v>
      </c>
      <c r="E15" s="188">
        <v>38645</v>
      </c>
      <c r="F15" s="189"/>
      <c r="G15" s="190" t="s">
        <v>100</v>
      </c>
      <c r="H15" s="191">
        <v>30</v>
      </c>
      <c r="I15" s="192">
        <v>-33</v>
      </c>
      <c r="J15" s="192">
        <v>33</v>
      </c>
      <c r="K15" s="191">
        <v>37</v>
      </c>
      <c r="L15" s="192">
        <v>39</v>
      </c>
      <c r="M15" s="192">
        <v>41</v>
      </c>
      <c r="N15" s="209">
        <f>IF(MAX(H15:J15)&gt;0,IF(MAX(H15:J15)&lt;0,0,TRUNC(MAX(H15:J15)/1)*1),"")</f>
        <v>33</v>
      </c>
      <c r="O15" s="210">
        <f>IF(MAX(K15:M15)&gt;0,IF(MAX(K15:M15)&lt;0,0,TRUNC(MAX(K15:M15)/1)*1),"")</f>
        <v>41</v>
      </c>
      <c r="P15" s="211">
        <f>IF(N15="","",IF(O15="","",IF(SUM(N15:O15)=0,"",SUM(N15:O15))))</f>
        <v>74</v>
      </c>
      <c r="Q15" s="223">
        <f>IF(P15="","",IF(A15="","",IF(OR(C15="UK",C15="JK",C15="SK",C15="K1",C15="K2",C15="K3",C15="K4",C15="K5",C15="K6",C15="K7",C15="K8",C15="K9",C15="K10"),IF(A15&gt;153.655,P15,IF(A15&lt;28,10^(0.783497476*LOG10(28/153.655)^2)*P15,10^(0.783497476*LOG10(A15/153.655)^2)*P15)),IF(A15&gt;175.508,P15,IF(A15&lt;32,10^(0.75194503*LOG10(32/175.508)^2)*P15,10^(0.75194503*LOG10(A15/175.508)^2)*P15)))))</f>
        <v>107.64175295795756</v>
      </c>
      <c r="R15" s="224" t="str">
        <f>IF(OR(E15="",A15="",Z15="",Q15=""),"",IF(OR(C15="UM",C15="JM",C15="SM",C15="UK",C15="JK",C15="SK"),"",Q15*(IF(ABS(1900-YEAR((Z15+1)-E15))&lt;29,0,(VLOOKUP((YEAR(Z15)-YEAR(E15)),'Meltzer-Malone'!$A$3:$B$63,2))))))</f>
        <v/>
      </c>
      <c r="S15" s="174">
        <f>IF('K2'!G13="","",'K2'!G13)</f>
        <v>5.33</v>
      </c>
      <c r="T15" s="174">
        <f>IF('K2'!K13="","",'K2'!K13)</f>
        <v>6.54</v>
      </c>
      <c r="U15" s="174">
        <f>IF('K2'!N13="","",'K2'!N13)</f>
        <v>8.43</v>
      </c>
      <c r="V15" s="163"/>
      <c r="W15" s="164"/>
      <c r="X15" s="175"/>
      <c r="Y15" s="176"/>
      <c r="Z15" s="225">
        <f>U5</f>
        <v>43358</v>
      </c>
    </row>
    <row r="16" spans="1:26" ht="18" customHeight="1">
      <c r="A16" s="165"/>
      <c r="B16" s="166"/>
      <c r="C16" s="167"/>
      <c r="D16" s="168"/>
      <c r="E16" s="169"/>
      <c r="F16" s="193"/>
      <c r="G16" s="170" t="s">
        <v>5</v>
      </c>
      <c r="H16" s="338"/>
      <c r="I16" s="339"/>
      <c r="J16" s="340"/>
      <c r="K16" s="341"/>
      <c r="L16" s="342"/>
      <c r="M16" s="343"/>
      <c r="N16" s="167"/>
      <c r="O16" s="171"/>
      <c r="P16" s="336">
        <f>IF(Q15="","",Q15*1.2)</f>
        <v>129.17010354954908</v>
      </c>
      <c r="Q16" s="334"/>
      <c r="R16" s="222"/>
      <c r="S16" s="172">
        <f>IF(S15="","",S15*20)</f>
        <v>106.6</v>
      </c>
      <c r="T16" s="172">
        <f>IF(T15="","",T15*11)</f>
        <v>71.94</v>
      </c>
      <c r="U16" s="173">
        <f>IF(U15="","",IF((80+(8-ROUNDUP(U15,1))*40)&lt;0,0,80+(8-ROUNDUP(U15,1))*40))</f>
        <v>60</v>
      </c>
      <c r="V16" s="237">
        <f>IF(SUM(S16,T16,U16)&gt;0,SUM(S16,T16,U16),"")</f>
        <v>238.54</v>
      </c>
      <c r="W16" s="238">
        <f>IF(OR(P16="",S16="",T16="",U16=""),"",SUM(P16,S16,T16,U16))</f>
        <v>367.7101035495491</v>
      </c>
      <c r="X16" s="239">
        <v>4</v>
      </c>
      <c r="Y16" s="240"/>
      <c r="Z16" s="225"/>
    </row>
    <row r="17" spans="1:26" ht="18" customHeight="1">
      <c r="A17" s="185">
        <v>86.31</v>
      </c>
      <c r="B17" s="206" t="s">
        <v>101</v>
      </c>
      <c r="C17" s="187" t="s">
        <v>91</v>
      </c>
      <c r="D17" s="186" t="s">
        <v>92</v>
      </c>
      <c r="E17" s="188">
        <v>38134</v>
      </c>
      <c r="F17" s="189"/>
      <c r="G17" s="190" t="s">
        <v>102</v>
      </c>
      <c r="H17" s="191">
        <v>48</v>
      </c>
      <c r="I17" s="192">
        <v>-51</v>
      </c>
      <c r="J17" s="192">
        <v>-51</v>
      </c>
      <c r="K17" s="191">
        <v>59</v>
      </c>
      <c r="L17" s="192">
        <v>62</v>
      </c>
      <c r="M17" s="192">
        <v>-65</v>
      </c>
      <c r="N17" s="209">
        <f>IF(MAX(H17:J17)&gt;0,IF(MAX(H17:J17)&lt;0,0,TRUNC(MAX(H17:J17)/1)*1),"")</f>
        <v>48</v>
      </c>
      <c r="O17" s="210">
        <f>IF(MAX(K17:M17)&gt;0,IF(MAX(K17:M17)&lt;0,0,TRUNC(MAX(K17:M17)/1)*1),"")</f>
        <v>62</v>
      </c>
      <c r="P17" s="211">
        <f>IF(N17="","",IF(O17="","",IF(SUM(N17:O17)=0,"",SUM(N17:O17))))</f>
        <v>110</v>
      </c>
      <c r="Q17" s="223">
        <f>IF(P17="","",IF(A17="","",IF(OR(C17="UK",C17="JK",C17="SK",C17="K1",C17="K2",C17="K3",C17="K4",C17="K5",C17="K6",C17="K7",C17="K8",C17="K9",C17="K10"),IF(A17&gt;153.655,P17,IF(A17&lt;28,10^(0.783497476*LOG10(28/153.655)^2)*P17,10^(0.783497476*LOG10(A17/153.655)^2)*P17)),IF(A17&gt;175.508,P17,IF(A17&lt;32,10^(0.75194503*LOG10(32/175.508)^2)*P17,10^(0.75194503*LOG10(A17/175.508)^2)*P17)))))</f>
        <v>123.18325837836386</v>
      </c>
      <c r="R17" s="224" t="str">
        <f>IF(OR(E17="",A17="",Z17="",Q17=""),"",IF(OR(C17="UM",C17="JM",C17="SM",C17="UK",C17="JK",C17="SK"),"",Q17*(IF(ABS(1900-YEAR((Z17+1)-E17))&lt;29,0,(VLOOKUP((YEAR(Z17)-YEAR(E17)),'Meltzer-Malone'!$A$3:$B$63,2))))))</f>
        <v/>
      </c>
      <c r="S17" s="174">
        <f>IF('K2'!G15="","",'K2'!G15)</f>
        <v>5.18</v>
      </c>
      <c r="T17" s="174">
        <f>IF('K2'!K15="","",'K2'!K15)</f>
        <v>10.28</v>
      </c>
      <c r="U17" s="174">
        <f>IF('K2'!N15="","",'K2'!N15)</f>
        <v>8.6999999999999993</v>
      </c>
      <c r="V17" s="163"/>
      <c r="W17" s="164"/>
      <c r="X17" s="175"/>
      <c r="Y17" s="176"/>
      <c r="Z17" s="225">
        <f>U5</f>
        <v>43358</v>
      </c>
    </row>
    <row r="18" spans="1:26" ht="18" customHeight="1">
      <c r="A18" s="165"/>
      <c r="B18" s="166"/>
      <c r="C18" s="167"/>
      <c r="D18" s="168"/>
      <c r="E18" s="169"/>
      <c r="F18" s="193"/>
      <c r="G18" s="170" t="s">
        <v>103</v>
      </c>
      <c r="H18" s="338"/>
      <c r="I18" s="339"/>
      <c r="J18" s="340"/>
      <c r="K18" s="341"/>
      <c r="L18" s="342"/>
      <c r="M18" s="343"/>
      <c r="N18" s="167"/>
      <c r="O18" s="171"/>
      <c r="P18" s="336">
        <f>IF(Q17="","",Q17*1.2)</f>
        <v>147.81991005403663</v>
      </c>
      <c r="Q18" s="334"/>
      <c r="R18" s="222"/>
      <c r="S18" s="172">
        <f>IF(S17="","",S17*20)</f>
        <v>103.6</v>
      </c>
      <c r="T18" s="172">
        <f>IF(T17="","",T17*11)</f>
        <v>113.08</v>
      </c>
      <c r="U18" s="173">
        <f>IF(U17="","",IF((80+(8-ROUNDUP(U17,1))*40)&lt;0,0,80+(8-ROUNDUP(U17,1))*40))</f>
        <v>52.000000000000028</v>
      </c>
      <c r="V18" s="237">
        <f>IF(SUM(S18,T18,U18)&gt;0,SUM(S18,T18,U18),"")</f>
        <v>268.68000000000006</v>
      </c>
      <c r="W18" s="238">
        <f>IF(OR(P18="",S18="",T18="",U18=""),"",SUM(P18,S18,T18,U18))</f>
        <v>416.4999100540366</v>
      </c>
      <c r="X18" s="239">
        <v>3</v>
      </c>
      <c r="Y18" s="240"/>
      <c r="Z18" s="225"/>
    </row>
    <row r="19" spans="1:26" ht="18" customHeight="1">
      <c r="A19" s="185">
        <v>51.66</v>
      </c>
      <c r="B19" s="186" t="s">
        <v>95</v>
      </c>
      <c r="C19" s="187" t="s">
        <v>91</v>
      </c>
      <c r="D19" s="186" t="s">
        <v>104</v>
      </c>
      <c r="E19" s="188">
        <v>37977</v>
      </c>
      <c r="F19" s="189"/>
      <c r="G19" s="190" t="s">
        <v>105</v>
      </c>
      <c r="H19" s="191">
        <v>18</v>
      </c>
      <c r="I19" s="192">
        <v>20</v>
      </c>
      <c r="J19" s="192">
        <v>22</v>
      </c>
      <c r="K19" s="191">
        <v>22</v>
      </c>
      <c r="L19" s="192">
        <v>24</v>
      </c>
      <c r="M19" s="192">
        <v>-26</v>
      </c>
      <c r="N19" s="209">
        <f>IF(MAX(H19:J19)&gt;0,IF(MAX(H19:J19)&lt;0,0,TRUNC(MAX(H19:J19)/1)*1),"")</f>
        <v>22</v>
      </c>
      <c r="O19" s="210">
        <f>IF(MAX(K19:M19)&gt;0,IF(MAX(K19:M19)&lt;0,0,TRUNC(MAX(K19:M19)/1)*1),"")</f>
        <v>24</v>
      </c>
      <c r="P19" s="211">
        <f>IF(N19="","",IF(O19="","",IF(SUM(N19:O19)=0,"",SUM(N19:O19))))</f>
        <v>46</v>
      </c>
      <c r="Q19" s="223">
        <f>IF(P19="","",IF(A19="","",IF(OR(C19="UK",C19="JK",C19="SK",C19="K1",C19="K2",C19="K3",C19="K4",C19="K5",C19="K6",C19="K7",C19="K8",C19="K9",C19="K10"),IF(A19&gt;153.655,P19,IF(A19&lt;28,10^(0.783497476*LOG10(28/153.655)^2)*P19,10^(0.783497476*LOG10(A19/153.655)^2)*P19)),IF(A19&gt;175.508,P19,IF(A19&lt;32,10^(0.75194503*LOG10(32/175.508)^2)*P19,10^(0.75194503*LOG10(A19/175.508)^2)*P19)))))</f>
        <v>68.91913590967448</v>
      </c>
      <c r="R19" s="224" t="str">
        <f>IF(OR(E19="",A19="",Z19="",Q19=""),"",IF(OR(C19="UM",C19="JM",C19="SM",C19="UK",C19="JK",C19="SK"),"",Q19*(IF(ABS(1900-YEAR((Z19+1)-E19))&lt;29,0,(VLOOKUP((YEAR(Z19)-YEAR(E19)),'Meltzer-Malone'!$A$3:$B$63,2))))))</f>
        <v/>
      </c>
      <c r="S19" s="174">
        <f>IF('K2'!G17="","",'K2'!G17)</f>
        <v>5.79</v>
      </c>
      <c r="T19" s="174">
        <f>IF('K2'!K17="","",'K2'!K17)</f>
        <v>5.15</v>
      </c>
      <c r="U19" s="174">
        <f>IF('K2'!N17="","",'K2'!N17)</f>
        <v>8.34</v>
      </c>
      <c r="V19" s="163"/>
      <c r="W19" s="164"/>
      <c r="X19" s="175"/>
      <c r="Y19" s="176"/>
      <c r="Z19" s="225">
        <f>U5</f>
        <v>43358</v>
      </c>
    </row>
    <row r="20" spans="1:26" ht="18" customHeight="1">
      <c r="A20" s="165"/>
      <c r="B20" s="166"/>
      <c r="C20" s="167"/>
      <c r="D20" s="168"/>
      <c r="E20" s="169"/>
      <c r="F20" s="193"/>
      <c r="G20" s="170" t="s">
        <v>94</v>
      </c>
      <c r="H20" s="338"/>
      <c r="I20" s="339"/>
      <c r="J20" s="340"/>
      <c r="K20" s="341"/>
      <c r="L20" s="342"/>
      <c r="M20" s="343"/>
      <c r="N20" s="167"/>
      <c r="O20" s="171"/>
      <c r="P20" s="336">
        <f>IF(Q19="","",Q19*1.2)</f>
        <v>82.702963091609377</v>
      </c>
      <c r="Q20" s="334"/>
      <c r="R20" s="222"/>
      <c r="S20" s="172">
        <f>IF(S19="","",S19*20)</f>
        <v>115.8</v>
      </c>
      <c r="T20" s="172">
        <f>IF(T19="","",T19*11)</f>
        <v>56.650000000000006</v>
      </c>
      <c r="U20" s="173">
        <f>IF(U19="","",IF((80+(8-ROUNDUP(U19,1))*40)&lt;0,0,80+(8-ROUNDUP(U19,1))*40))</f>
        <v>63.999999999999986</v>
      </c>
      <c r="V20" s="237">
        <f>IF(SUM(S20,T20,U20)&gt;0,SUM(S20,T20,U20),"")</f>
        <v>236.45</v>
      </c>
      <c r="W20" s="238">
        <f>IF(OR(P20="",S20="",T20="",U20=""),"",SUM(P20,S20,T20,U20))</f>
        <v>319.15296309160937</v>
      </c>
      <c r="X20" s="239">
        <v>4</v>
      </c>
      <c r="Y20" s="240"/>
      <c r="Z20" s="225"/>
    </row>
    <row r="21" spans="1:26" ht="18" customHeight="1">
      <c r="A21" s="185">
        <v>57.19</v>
      </c>
      <c r="B21" s="186" t="s">
        <v>99</v>
      </c>
      <c r="C21" s="187" t="s">
        <v>91</v>
      </c>
      <c r="D21" s="186" t="s">
        <v>106</v>
      </c>
      <c r="E21" s="188">
        <v>37315</v>
      </c>
      <c r="F21" s="189"/>
      <c r="G21" s="190" t="s">
        <v>107</v>
      </c>
      <c r="H21" s="191">
        <v>48</v>
      </c>
      <c r="I21" s="192">
        <v>54</v>
      </c>
      <c r="J21" s="192">
        <v>-56</v>
      </c>
      <c r="K21" s="191">
        <v>68</v>
      </c>
      <c r="L21" s="192">
        <v>71</v>
      </c>
      <c r="M21" s="192">
        <v>73</v>
      </c>
      <c r="N21" s="209">
        <f>IF(MAX(H21:J21)&gt;0,IF(MAX(H21:J21)&lt;0,0,TRUNC(MAX(H21:J21)/1)*1),"")</f>
        <v>54</v>
      </c>
      <c r="O21" s="210">
        <f>IF(MAX(K21:M21)&gt;0,IF(MAX(K21:M21)&lt;0,0,TRUNC(MAX(K21:M21)/1)*1),"")</f>
        <v>73</v>
      </c>
      <c r="P21" s="211">
        <f>IF(N21="","",IF(O21="","",IF(SUM(N21:O21)=0,"",SUM(N21:O21))))</f>
        <v>127</v>
      </c>
      <c r="Q21" s="223">
        <f>IF(P21="","",IF(A21="","",IF(OR(C21="UK",C21="JK",C21="SK",C21="K1",C21="K2",C21="K3",C21="K4",C21="K5",C21="K6",C21="K7",C21="K8",C21="K9",C21="K10"),IF(A21&gt;153.655,P21,IF(A21&lt;28,10^(0.783497476*LOG10(28/153.655)^2)*P21,10^(0.783497476*LOG10(A21/153.655)^2)*P21)),IF(A21&gt;175.508,P21,IF(A21&lt;32,10^(0.75194503*LOG10(32/175.508)^2)*P21,10^(0.75194503*LOG10(A21/175.508)^2)*P21)))))</f>
        <v>177.07275739282295</v>
      </c>
      <c r="R21" s="224" t="str">
        <f>IF(OR(E21="",A21="",Z21="",Q21=""),"",IF(OR(C21="UM",C21="JM",C21="SM",C21="UK",C21="JK",C21="SK"),"",Q21*(IF(ABS(1900-YEAR((Z21+1)-E21))&lt;29,0,(VLOOKUP((YEAR(Z21)-YEAR(E21)),'Meltzer-Malone'!$A$3:$B$63,2))))))</f>
        <v/>
      </c>
      <c r="S21" s="174">
        <f>IF('K2'!G19="","",'K2'!G19)</f>
        <v>7.17</v>
      </c>
      <c r="T21" s="174">
        <f>IF('K2'!K19="","",'K2'!K19)</f>
        <v>13.86</v>
      </c>
      <c r="U21" s="174">
        <f>IF('K2'!N19="","",'K2'!N19)</f>
        <v>6.64</v>
      </c>
      <c r="V21" s="163"/>
      <c r="W21" s="164"/>
      <c r="X21" s="175"/>
      <c r="Y21" s="176"/>
      <c r="Z21" s="225">
        <f>U5</f>
        <v>43358</v>
      </c>
    </row>
    <row r="22" spans="1:26" ht="18" customHeight="1">
      <c r="A22" s="165"/>
      <c r="B22" s="166"/>
      <c r="C22" s="167"/>
      <c r="D22" s="168"/>
      <c r="E22" s="169"/>
      <c r="F22" s="193"/>
      <c r="G22" s="170" t="s">
        <v>108</v>
      </c>
      <c r="H22" s="338"/>
      <c r="I22" s="339"/>
      <c r="J22" s="340"/>
      <c r="K22" s="341"/>
      <c r="L22" s="342"/>
      <c r="M22" s="343"/>
      <c r="N22" s="167"/>
      <c r="O22" s="171"/>
      <c r="P22" s="336">
        <f>IF(Q21="","",Q21*1.2)</f>
        <v>212.48730887138754</v>
      </c>
      <c r="Q22" s="334"/>
      <c r="R22" s="222"/>
      <c r="S22" s="172">
        <f>IF(S21="","",S21*20)</f>
        <v>143.4</v>
      </c>
      <c r="T22" s="172">
        <f>IF(T21="","",T21*11)</f>
        <v>152.45999999999998</v>
      </c>
      <c r="U22" s="173">
        <f>IF(U21="","",IF((80+(8-ROUNDUP(U21,1))*40)&lt;0,0,80+(8-ROUNDUP(U21,1))*40))</f>
        <v>132.00000000000003</v>
      </c>
      <c r="V22" s="237">
        <f>IF(SUM(S22,T22,U22)&gt;0,SUM(S22,T22,U22),"")</f>
        <v>427.86</v>
      </c>
      <c r="W22" s="238">
        <f>IF(OR(P22="",S22="",T22="",U22=""),"",SUM(P22,S22,T22,U22))</f>
        <v>640.34730887138755</v>
      </c>
      <c r="X22" s="239">
        <v>1</v>
      </c>
      <c r="Y22" s="240"/>
      <c r="Z22" s="225"/>
    </row>
    <row r="23" spans="1:26" ht="18" customHeight="1">
      <c r="A23" s="185">
        <v>60.07</v>
      </c>
      <c r="B23" s="186" t="s">
        <v>109</v>
      </c>
      <c r="C23" s="187" t="s">
        <v>91</v>
      </c>
      <c r="D23" s="186" t="s">
        <v>106</v>
      </c>
      <c r="E23" s="188">
        <v>37547</v>
      </c>
      <c r="F23" s="189"/>
      <c r="G23" s="190" t="s">
        <v>110</v>
      </c>
      <c r="H23" s="191">
        <v>27</v>
      </c>
      <c r="I23" s="192">
        <v>30</v>
      </c>
      <c r="J23" s="192">
        <v>32</v>
      </c>
      <c r="K23" s="191">
        <v>-38</v>
      </c>
      <c r="L23" s="192">
        <v>39</v>
      </c>
      <c r="M23" s="192">
        <v>42</v>
      </c>
      <c r="N23" s="209">
        <f>IF(MAX(H23:J23)&gt;0,IF(MAX(H23:J23)&lt;0,0,TRUNC(MAX(H23:J23)/1)*1),"")</f>
        <v>32</v>
      </c>
      <c r="O23" s="210">
        <f>IF(MAX(K23:M23)&gt;0,IF(MAX(K23:M23)&lt;0,0,TRUNC(MAX(K23:M23)/1)*1),"")</f>
        <v>42</v>
      </c>
      <c r="P23" s="211">
        <f>IF(N23="","",IF(O23="","",IF(SUM(N23:O23)=0,"",SUM(N23:O23))))</f>
        <v>74</v>
      </c>
      <c r="Q23" s="223">
        <f>IF(P23="","",IF(A23="","",IF(OR(C23="UK",C23="JK",C23="SK",C23="K1",C23="K2",C23="K3",C23="K4",C23="K5",C23="K6",C23="K7",C23="K8",C23="K9",C23="K10"),IF(A23&gt;153.655,P23,IF(A23&lt;28,10^(0.783497476*LOG10(28/153.655)^2)*P23,10^(0.783497476*LOG10(A23/153.655)^2)*P23)),IF(A23&gt;175.508,P23,IF(A23&lt;32,10^(0.75194503*LOG10(32/175.508)^2)*P23,10^(0.75194503*LOG10(A23/175.508)^2)*P23)))))</f>
        <v>99.904471960715782</v>
      </c>
      <c r="R23" s="224" t="str">
        <f>IF(OR(E23="",A23="",Z23="",Q23=""),"",IF(OR(C23="UM",C23="JM",C23="SM",C23="UK",C23="JK",C23="SK"),"",Q23*(IF(ABS(1900-YEAR((Z23+1)-E23))&lt;29,0,(VLOOKUP((YEAR(Z23)-YEAR(E23)),'Meltzer-Malone'!$A$3:$B$63,2))))))</f>
        <v/>
      </c>
      <c r="S23" s="174">
        <f>IF('K2'!G21="","",'K2'!G21)</f>
        <v>5.54</v>
      </c>
      <c r="T23" s="174">
        <f>IF('K2'!K21="","",'K2'!K21)</f>
        <v>8.83</v>
      </c>
      <c r="U23" s="174">
        <f>IF('K2'!N21="","",'K2'!N21)</f>
        <v>8.27</v>
      </c>
      <c r="V23" s="163"/>
      <c r="W23" s="164"/>
      <c r="X23" s="175"/>
      <c r="Y23" s="176"/>
      <c r="Z23" s="225">
        <f>U5</f>
        <v>43358</v>
      </c>
    </row>
    <row r="24" spans="1:26" ht="18" customHeight="1">
      <c r="A24" s="165"/>
      <c r="B24" s="166"/>
      <c r="C24" s="167"/>
      <c r="D24" s="168"/>
      <c r="E24" s="169"/>
      <c r="F24" s="193"/>
      <c r="G24" s="170" t="s">
        <v>111</v>
      </c>
      <c r="H24" s="338"/>
      <c r="I24" s="339"/>
      <c r="J24" s="340"/>
      <c r="K24" s="341"/>
      <c r="L24" s="342"/>
      <c r="M24" s="343"/>
      <c r="N24" s="167"/>
      <c r="O24" s="171"/>
      <c r="P24" s="336">
        <f>IF(Q23="","",Q23*1.2)</f>
        <v>119.88536635285894</v>
      </c>
      <c r="Q24" s="334"/>
      <c r="R24" s="222"/>
      <c r="S24" s="172">
        <f>IF(S23="","",S23*20)</f>
        <v>110.8</v>
      </c>
      <c r="T24" s="172">
        <f>IF(T23="","",T23*11)</f>
        <v>97.13</v>
      </c>
      <c r="U24" s="173">
        <f>IF(U23="","",IF((80+(8-ROUNDUP(U23,1))*40)&lt;0,0,80+(8-ROUNDUP(U23,1))*40))</f>
        <v>68.000000000000043</v>
      </c>
      <c r="V24" s="237">
        <f>IF(SUM(S24,T24,U24)&gt;0,SUM(S24,T24,U24),"")</f>
        <v>275.93000000000006</v>
      </c>
      <c r="W24" s="238">
        <f>IF(OR(P24="",S24="",T24="",U24=""),"",SUM(P24,S24,T24,U24))</f>
        <v>395.81536635285897</v>
      </c>
      <c r="X24" s="239">
        <v>3</v>
      </c>
      <c r="Y24" s="240"/>
      <c r="Z24" s="225"/>
    </row>
    <row r="25" spans="1:26" ht="18" customHeight="1">
      <c r="A25" s="185">
        <v>70.959999999999994</v>
      </c>
      <c r="B25" s="186" t="s">
        <v>112</v>
      </c>
      <c r="C25" s="187" t="s">
        <v>91</v>
      </c>
      <c r="D25" s="186" t="s">
        <v>106</v>
      </c>
      <c r="E25" s="188">
        <v>37889</v>
      </c>
      <c r="F25" s="189"/>
      <c r="G25" s="190" t="s">
        <v>113</v>
      </c>
      <c r="H25" s="191">
        <v>32</v>
      </c>
      <c r="I25" s="192">
        <v>34</v>
      </c>
      <c r="J25" s="192">
        <v>36</v>
      </c>
      <c r="K25" s="191">
        <v>-45</v>
      </c>
      <c r="L25" s="191">
        <v>-45</v>
      </c>
      <c r="M25" s="191">
        <v>-45</v>
      </c>
      <c r="N25" s="209">
        <f>IF(MAX(H25:J25)&gt;0,IF(MAX(H25:J25)&lt;0,0,TRUNC(MAX(H25:J25)/1)*1),"")</f>
        <v>36</v>
      </c>
      <c r="O25" s="210" t="str">
        <f>IF(MAX(K25:M25)&gt;0,IF(MAX(K25:M25)&lt;0,0,TRUNC(MAX(K25:M25)/1)*1),"")</f>
        <v/>
      </c>
      <c r="P25" s="211" t="str">
        <f>IF(N25="","",IF(O25="","",IF(SUM(N25:O25)=0,"",SUM(N25:O25))))</f>
        <v/>
      </c>
      <c r="Q25" s="223" t="str">
        <f>IF(P25="","",IF(A25="","",IF(OR(C25="UK",C25="JK",C25="SK",C25="K1",C25="K2",C25="K3",C25="K4",C25="K5",C25="K6",C25="K7",C25="K8",C25="K9",C25="K10"),IF(A25&gt;153.655,P25,IF(A25&lt;28,10^(0.783497476*LOG10(28/153.655)^2)*P25,10^(0.783497476*LOG10(A25/153.655)^2)*P25)),IF(A25&gt;175.508,P25,IF(A25&lt;32,10^(0.75194503*LOG10(32/175.508)^2)*P25,10^(0.75194503*LOG10(A25/175.508)^2)*P25)))))</f>
        <v/>
      </c>
      <c r="R25" s="224" t="str">
        <f>IF(OR(E25="",A25="",Z25="",Q25=""),"",IF(OR(C25="UM",C25="JM",C25="SM",C25="UK",C25="JK",C25="SK"),"",Q25*(IF(ABS(1900-YEAR((Z25+1)-E25))&lt;29,0,(VLOOKUP((YEAR(Z25)-YEAR(E25)),'Meltzer-Malone'!$A$3:$B$63,2))))))</f>
        <v/>
      </c>
      <c r="S25" s="174">
        <f>IF('K2'!G23="","",'K2'!G23)</f>
        <v>5.74</v>
      </c>
      <c r="T25" s="174">
        <f>IF('K2'!K23="","",'K2'!K23)</f>
        <v>6.96</v>
      </c>
      <c r="U25" s="174">
        <f>IF('K2'!N23="","",'K2'!N23)</f>
        <v>8.6300000000000008</v>
      </c>
      <c r="V25" s="163"/>
      <c r="W25" s="164"/>
      <c r="X25" s="175"/>
      <c r="Y25" s="176"/>
      <c r="Z25" s="225">
        <f>U5</f>
        <v>43358</v>
      </c>
    </row>
    <row r="26" spans="1:26" ht="18" customHeight="1">
      <c r="A26" s="165"/>
      <c r="B26" s="166"/>
      <c r="C26" s="167"/>
      <c r="D26" s="168"/>
      <c r="E26" s="169"/>
      <c r="F26" s="193"/>
      <c r="G26" s="170" t="s">
        <v>5</v>
      </c>
      <c r="H26" s="338"/>
      <c r="I26" s="339"/>
      <c r="J26" s="340"/>
      <c r="K26" s="341"/>
      <c r="L26" s="342"/>
      <c r="M26" s="343"/>
      <c r="N26" s="167"/>
      <c r="O26" s="171"/>
      <c r="P26" s="336" t="str">
        <f>IF(Q25="","",Q25*1.2)</f>
        <v/>
      </c>
      <c r="Q26" s="334"/>
      <c r="R26" s="222"/>
      <c r="S26" s="172">
        <f>IF(S25="","",S25*20)</f>
        <v>114.80000000000001</v>
      </c>
      <c r="T26" s="172">
        <f>IF(T25="","",T25*11)</f>
        <v>76.56</v>
      </c>
      <c r="U26" s="173">
        <f>IF(U25="","",IF((80+(8-ROUNDUP(U25,1))*40)&lt;0,0,80+(8-ROUNDUP(U25,1))*40))</f>
        <v>52.000000000000028</v>
      </c>
      <c r="V26" s="237">
        <f>IF(SUM(S26,T26,U26)&gt;0,SUM(S26,T26,U26),"")</f>
        <v>243.36000000000004</v>
      </c>
      <c r="W26" s="238" t="str">
        <f>IF(OR(P26="",S26="",T26="",U26=""),"",SUM(P26,S26,T26,U26))</f>
        <v/>
      </c>
      <c r="X26" s="239"/>
      <c r="Y26" s="240"/>
      <c r="Z26" s="225"/>
    </row>
    <row r="27" spans="1:26" ht="18" customHeight="1">
      <c r="A27" s="185">
        <v>86.73</v>
      </c>
      <c r="B27" s="206" t="s">
        <v>101</v>
      </c>
      <c r="C27" s="187" t="s">
        <v>91</v>
      </c>
      <c r="D27" s="186" t="s">
        <v>106</v>
      </c>
      <c r="E27" s="188">
        <v>37272</v>
      </c>
      <c r="F27" s="189"/>
      <c r="G27" s="190" t="s">
        <v>114</v>
      </c>
      <c r="H27" s="191">
        <v>36</v>
      </c>
      <c r="I27" s="192">
        <v>40</v>
      </c>
      <c r="J27" s="192">
        <v>42</v>
      </c>
      <c r="K27" s="191">
        <v>48</v>
      </c>
      <c r="L27" s="192">
        <v>50</v>
      </c>
      <c r="M27" s="192">
        <v>-54</v>
      </c>
      <c r="N27" s="209">
        <f>IF(MAX(H27:J27)&gt;0,IF(MAX(H27:J27)&lt;0,0,TRUNC(MAX(H27:J27)/1)*1),"")</f>
        <v>42</v>
      </c>
      <c r="O27" s="210">
        <f>IF(MAX(K27:M27)&gt;0,IF(MAX(K27:M27)&lt;0,0,TRUNC(MAX(K27:M27)/1)*1),"")</f>
        <v>50</v>
      </c>
      <c r="P27" s="211">
        <f>IF(N27="","",IF(O27="","",IF(SUM(N27:O27)=0,"",SUM(N27:O27))))</f>
        <v>92</v>
      </c>
      <c r="Q27" s="223">
        <f>IF(P27="","",IF(A27="","",IF(OR(C27="UK",C27="JK",C27="SK",C27="K1",C27="K2",C27="K3",C27="K4",C27="K5",C27="K6",C27="K7",C27="K8",C27="K9",C27="K10"),IF(A27&gt;153.655,P27,IF(A27&lt;28,10^(0.783497476*LOG10(28/153.655)^2)*P27,10^(0.783497476*LOG10(A27/153.655)^2)*P27)),IF(A27&gt;175.508,P27,IF(A27&lt;32,10^(0.75194503*LOG10(32/175.508)^2)*P27,10^(0.75194503*LOG10(A27/175.508)^2)*P27)))))</f>
        <v>102.83070461194735</v>
      </c>
      <c r="R27" s="224" t="str">
        <f>IF(OR(E27="",A27="",Z27="",Q27=""),"",IF(OR(C27="UM",C27="JM",C27="SM",C27="UK",C27="JK",C27="SK"),"",Q27*(IF(ABS(1900-YEAR((Z27+1)-E27))&lt;29,0,(VLOOKUP((YEAR(Z27)-YEAR(E27)),'Meltzer-Malone'!$A$3:$B$63,2))))))</f>
        <v/>
      </c>
      <c r="S27" s="174">
        <f>IF('K2'!G25="","",'K2'!G25)</f>
        <v>5.41</v>
      </c>
      <c r="T27" s="174">
        <f>IF('K2'!K25="","",'K2'!K25)</f>
        <v>9.85</v>
      </c>
      <c r="U27" s="174">
        <f>IF('K2'!N25="","",'K2'!N25)</f>
        <v>8.6</v>
      </c>
      <c r="V27" s="163"/>
      <c r="W27" s="164"/>
      <c r="X27" s="175"/>
      <c r="Y27" s="176"/>
      <c r="Z27" s="225">
        <f>U5</f>
        <v>43358</v>
      </c>
    </row>
    <row r="28" spans="1:26" ht="18" customHeight="1">
      <c r="A28" s="165"/>
      <c r="B28" s="166"/>
      <c r="C28" s="167"/>
      <c r="D28" s="168"/>
      <c r="E28" s="169"/>
      <c r="F28" s="193"/>
      <c r="G28" s="170" t="s">
        <v>111</v>
      </c>
      <c r="H28" s="338"/>
      <c r="I28" s="339"/>
      <c r="J28" s="340"/>
      <c r="K28" s="341"/>
      <c r="L28" s="342"/>
      <c r="M28" s="343"/>
      <c r="N28" s="167"/>
      <c r="O28" s="171"/>
      <c r="P28" s="336">
        <f>IF(Q27="","",Q27*1.2)</f>
        <v>123.39684553433682</v>
      </c>
      <c r="Q28" s="334"/>
      <c r="R28" s="222"/>
      <c r="S28" s="172">
        <f>IF(S27="","",S27*20)</f>
        <v>108.2</v>
      </c>
      <c r="T28" s="172">
        <f>IF(T27="","",T27*11)</f>
        <v>108.35</v>
      </c>
      <c r="U28" s="173">
        <f>IF(U27="","",IF((80+(8-ROUNDUP(U27,1))*40)&lt;0,0,80+(8-ROUNDUP(U27,1))*40))</f>
        <v>56.000000000000014</v>
      </c>
      <c r="V28" s="237">
        <f>IF(SUM(S28,T28,U28)&gt;0,SUM(S28,T28,U28),"")</f>
        <v>272.55</v>
      </c>
      <c r="W28" s="238">
        <f>IF(OR(P28="",S28="",T28="",U28=""),"",SUM(P28,S28,T28,U28))</f>
        <v>395.94684553433683</v>
      </c>
      <c r="X28" s="239">
        <v>22</v>
      </c>
      <c r="Y28" s="240"/>
      <c r="Z28" s="225"/>
    </row>
    <row r="29" spans="1:26" ht="18" customHeight="1">
      <c r="A29" s="158"/>
      <c r="B29" s="186"/>
      <c r="C29" s="187"/>
      <c r="D29" s="206"/>
      <c r="E29" s="159"/>
      <c r="F29" s="159"/>
      <c r="G29" s="160"/>
      <c r="H29" s="161"/>
      <c r="I29" s="161"/>
      <c r="J29" s="161"/>
      <c r="K29" s="161"/>
      <c r="L29" s="161"/>
      <c r="M29" s="161"/>
      <c r="N29" s="209" t="str">
        <f>IF(MAX(H29:J29)&gt;0,IF(MAX(H29:J29)&lt;0,0,TRUNC(MAX(H29:J29)/1)*1),"")</f>
        <v/>
      </c>
      <c r="O29" s="210" t="str">
        <f>IF(MAX(K29:M29)&gt;0,IF(MAX(K29:M29)&lt;0,0,TRUNC(MAX(K29:M29)/1)*1),"")</f>
        <v/>
      </c>
      <c r="P29" s="211" t="str">
        <f>IF(N29="","",IF(O29="","",IF(SUM(N29:O29)=0,"",SUM(N29:O29))))</f>
        <v/>
      </c>
      <c r="Q29" s="223" t="str">
        <f>IF(P29="","",IF(A29="","",IF(OR(C29="UK",C29="JK",C29="SK",C29="K1",C29="K2",C29="K3",C29="K4",C29="K5",C29="K6",C29="K7",C29="K8",C29="K9",C29="K10"),IF(A29&gt;153.655,P29,IF(A29&lt;28,10^(0.783497476*LOG10(28/153.655)^2)*P29,10^(0.783497476*LOG10(A29/153.655)^2)*P29)),IF(A29&gt;175.508,P29,IF(A29&lt;32,10^(0.75194503*LOG10(32/175.508)^2)*P29,10^(0.75194503*LOG10(A29/175.508)^2)*P29)))))</f>
        <v/>
      </c>
      <c r="R29" s="224" t="str">
        <f>IF(OR(E29="",A29="",Z29="",Q29=""),"",IF(OR(C29="UM",C29="JM",C29="SM",C29="UK",C29="JK",C29="SK"),"",Q29*(IF(ABS(1900-YEAR((Z29+1)-E29))&lt;29,0,(VLOOKUP((YEAR(Z29)-YEAR(E29)),'Meltzer-Malone'!$A$3:$B$63,2))))))</f>
        <v/>
      </c>
      <c r="S29" s="174" t="str">
        <f>IF('K2'!G27="","",'K2'!G27)</f>
        <v/>
      </c>
      <c r="T29" s="174" t="str">
        <f>IF('K2'!K27="","",'K2'!K27)</f>
        <v/>
      </c>
      <c r="U29" s="174" t="str">
        <f>IF('K2'!N27="","",'K2'!N27)</f>
        <v/>
      </c>
      <c r="V29" s="163"/>
      <c r="W29" s="260" t="str">
        <f>IF(OR(H29="",H29=0,K29="",K29=0,S29="",S29=0,T29="",T29=0,U29="",U29=0),"",SUM(H29,K29,S29,T29,U29))</f>
        <v/>
      </c>
      <c r="X29" s="175"/>
      <c r="Y29" s="176"/>
      <c r="Z29" s="225">
        <f>U5</f>
        <v>43358</v>
      </c>
    </row>
    <row r="30" spans="1:26" ht="18" customHeight="1">
      <c r="A30" s="165"/>
      <c r="B30" s="166"/>
      <c r="C30" s="167"/>
      <c r="D30" s="168"/>
      <c r="E30" s="169"/>
      <c r="F30" s="169"/>
      <c r="G30" s="170"/>
      <c r="H30" s="333"/>
      <c r="I30" s="334"/>
      <c r="J30" s="335"/>
      <c r="K30" s="333"/>
      <c r="L30" s="334"/>
      <c r="M30" s="335"/>
      <c r="N30" s="167"/>
      <c r="O30" s="171"/>
      <c r="P30" s="336" t="str">
        <f>IF(Q29="","",Q29*1.2)</f>
        <v/>
      </c>
      <c r="Q30" s="334"/>
      <c r="R30" s="222"/>
      <c r="S30" s="172" t="str">
        <f>IF(S29="","",S29*20)</f>
        <v/>
      </c>
      <c r="T30" s="172" t="str">
        <f>IF(T29="","",T29*11)</f>
        <v/>
      </c>
      <c r="U30" s="173" t="str">
        <f>IF(U29="","",IF((80+(8-ROUNDUP(U29,1))*40)&lt;0,0,80+(8-ROUNDUP(U29,1))*40))</f>
        <v/>
      </c>
      <c r="V30" s="237" t="str">
        <f>IF(SUM(S30,T30,U30)&gt;0,SUM(S30,T30,U30),"")</f>
        <v/>
      </c>
      <c r="W30" s="238" t="str">
        <f>IF(OR(P30="",S30="",T30="",U30=""),"",SUM(P30,S30,T30,U30))</f>
        <v/>
      </c>
      <c r="X30" s="239"/>
      <c r="Y30" s="240"/>
      <c r="Z30" s="225"/>
    </row>
    <row r="31" spans="1:26" ht="18" customHeight="1">
      <c r="A31" s="158"/>
      <c r="B31" s="186"/>
      <c r="C31" s="187"/>
      <c r="D31" s="206"/>
      <c r="E31" s="159"/>
      <c r="F31" s="159"/>
      <c r="G31" s="160"/>
      <c r="H31" s="161"/>
      <c r="I31" s="161"/>
      <c r="J31" s="161"/>
      <c r="K31" s="161"/>
      <c r="L31" s="161"/>
      <c r="M31" s="161"/>
      <c r="N31" s="209" t="str">
        <f>IF(MAX(H31:J31)&gt;0,IF(MAX(H31:J31)&lt;0,0,TRUNC(MAX(H31:J31)/1)*1),"")</f>
        <v/>
      </c>
      <c r="O31" s="210" t="str">
        <f>IF(MAX(K31:M31)&gt;0,IF(MAX(K31:M31)&lt;0,0,TRUNC(MAX(K31:M31)/1)*1),"")</f>
        <v/>
      </c>
      <c r="P31" s="211" t="str">
        <f>IF(N31="","",IF(O31="","",IF(SUM(N31:O31)=0,"",SUM(N31:O31))))</f>
        <v/>
      </c>
      <c r="Q31" s="223" t="str">
        <f>IF(P31="","",IF(A31="","",IF(OR(C31="UK",C31="JK",C31="SK",C31="K1",C31="K2",C31="K3",C31="K4",C31="K5",C31="K6",C31="K7",C31="K8",C31="K9",C31="K10"),IF(A31&gt;153.655,P31,IF(A31&lt;28,10^(0.783497476*LOG10(28/153.655)^2)*P31,10^(0.783497476*LOG10(A31/153.655)^2)*P31)),IF(A31&gt;175.508,P31,IF(A31&lt;32,10^(0.75194503*LOG10(32/175.508)^2)*P31,10^(0.75194503*LOG10(A31/175.508)^2)*P31)))))</f>
        <v/>
      </c>
      <c r="R31" s="224" t="str">
        <f>IF(OR(E31="",A31="",Z31="",Q31=""),"",IF(OR(C31="UM",C31="JM",C31="SM",C31="UK",C31="JK",C31="SK"),"",Q31*(IF(ABS(1900-YEAR((Z31+1)-E31))&lt;29,0,(VLOOKUP((YEAR(Z31)-YEAR(E31)),'Meltzer-Malone'!$A$3:$B$63,2))))))</f>
        <v/>
      </c>
      <c r="S31" s="174" t="str">
        <f>IF('K2'!G29="","",'K2'!G29)</f>
        <v/>
      </c>
      <c r="T31" s="174" t="str">
        <f>IF('K2'!K29="","",'K2'!K29)</f>
        <v/>
      </c>
      <c r="U31" s="174" t="str">
        <f>IF('K2'!N29="","",'K2'!N29)</f>
        <v/>
      </c>
      <c r="V31" s="163"/>
      <c r="W31" s="260" t="str">
        <f>IF(OR(H31="",H31=0,K31="",K31=0,S31="",S31=0,T31="",T31=0,U31="",U31=0),"",SUM(H31,K31,S31,T31,U31))</f>
        <v/>
      </c>
      <c r="X31" s="175"/>
      <c r="Y31" s="176"/>
      <c r="Z31" s="225">
        <f>U5</f>
        <v>43358</v>
      </c>
    </row>
    <row r="32" spans="1:26" ht="18" customHeight="1" thickBot="1">
      <c r="A32" s="177"/>
      <c r="B32" s="178"/>
      <c r="C32" s="179"/>
      <c r="D32" s="180"/>
      <c r="E32" s="181"/>
      <c r="F32" s="181"/>
      <c r="G32" s="182"/>
      <c r="H32" s="330"/>
      <c r="I32" s="331"/>
      <c r="J32" s="332"/>
      <c r="K32" s="330"/>
      <c r="L32" s="331"/>
      <c r="M32" s="332"/>
      <c r="N32" s="307"/>
      <c r="O32" s="308"/>
      <c r="P32" s="337" t="str">
        <f>IF(Q31="","",Q31*1.2)</f>
        <v/>
      </c>
      <c r="Q32" s="331"/>
      <c r="R32" s="309"/>
      <c r="S32" s="183" t="str">
        <f>IF(S31="","",S31*20)</f>
        <v/>
      </c>
      <c r="T32" s="183" t="str">
        <f>IF(T31="","",T31*11)</f>
        <v/>
      </c>
      <c r="U32" s="184" t="str">
        <f>IF(U31="","",IF((80+(8-ROUNDUP(U31,1))*40)&lt;0,0,80+(8-ROUNDUP(U31,1))*40))</f>
        <v/>
      </c>
      <c r="V32" s="184" t="str">
        <f>IF(SUM(S32,T32,U32)&gt;0,SUM(S32,T32,U32),"")</f>
        <v/>
      </c>
      <c r="W32" s="257" t="str">
        <f>IF(OR(P32="",S32="",T32="",U32=""),"",SUM(P32,S32,T32,U32))</f>
        <v/>
      </c>
      <c r="X32" s="258"/>
      <c r="Y32" s="259"/>
      <c r="Z32" s="225"/>
    </row>
    <row r="33" spans="1:25" ht="14.1">
      <c r="A33" s="429"/>
      <c r="B33" s="429"/>
      <c r="C33" s="429"/>
      <c r="D33" s="430"/>
      <c r="E33" s="431"/>
      <c r="F33" s="431"/>
      <c r="G33" s="432"/>
      <c r="H33" s="433"/>
      <c r="I33" s="433"/>
      <c r="J33" s="433"/>
      <c r="K33" s="433"/>
      <c r="L33" s="433"/>
      <c r="M33" s="433"/>
      <c r="N33" s="429"/>
      <c r="O33" s="429"/>
      <c r="P33" s="429"/>
      <c r="Q33" s="429"/>
      <c r="R33" s="429"/>
      <c r="S33" s="433"/>
      <c r="T33" s="433"/>
      <c r="U33" s="434"/>
      <c r="V33" s="434"/>
      <c r="W33" s="435"/>
      <c r="X33" s="436"/>
      <c r="Y33" s="437"/>
    </row>
    <row r="34" spans="1:25" s="7" customFormat="1" ht="14.1">
      <c r="A34" s="7" t="s">
        <v>50</v>
      </c>
      <c r="B34"/>
      <c r="C34" s="317" t="s">
        <v>51</v>
      </c>
      <c r="D34" s="317"/>
      <c r="E34" s="317"/>
      <c r="F34" s="317"/>
      <c r="G34" s="317"/>
      <c r="H34" s="328" t="s">
        <v>115</v>
      </c>
      <c r="I34" s="328"/>
      <c r="J34" s="134">
        <v>1</v>
      </c>
      <c r="K34" s="317" t="s">
        <v>116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s="7" customFormat="1" ht="14.1">
      <c r="B35"/>
      <c r="C35" s="327"/>
      <c r="D35" s="327"/>
      <c r="E35" s="327"/>
      <c r="F35" s="327"/>
      <c r="G35" s="327"/>
      <c r="H35" s="328"/>
      <c r="I35" s="328"/>
      <c r="J35" s="134">
        <v>2</v>
      </c>
      <c r="K35" s="317" t="s">
        <v>117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s="7" customFormat="1" ht="14.1">
      <c r="A36" s="7" t="s">
        <v>55</v>
      </c>
      <c r="B36"/>
      <c r="C36" s="317"/>
      <c r="D36" s="317"/>
      <c r="E36" s="317"/>
      <c r="F36" s="317"/>
      <c r="G36" s="317"/>
      <c r="H36" s="329"/>
      <c r="I36" s="329"/>
      <c r="J36" s="134">
        <v>3</v>
      </c>
      <c r="K36" s="317" t="s">
        <v>118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s="5" customFormat="1" ht="14.1">
      <c r="A37" s="6"/>
      <c r="B37"/>
      <c r="C37" s="317"/>
      <c r="D37" s="317"/>
      <c r="E37" s="317"/>
      <c r="F37" s="317"/>
      <c r="G37" s="317"/>
      <c r="H37" s="32"/>
      <c r="I37" s="30"/>
      <c r="J37" s="135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s="5" customFormat="1" ht="14.1">
      <c r="A38" s="7"/>
      <c r="B38"/>
      <c r="C38" s="317"/>
      <c r="D38" s="317"/>
      <c r="E38" s="317"/>
      <c r="F38" s="317"/>
      <c r="G38" s="317"/>
      <c r="H38" s="136" t="s">
        <v>57</v>
      </c>
      <c r="I38" s="301"/>
      <c r="J38" s="43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s="5" customFormat="1" ht="14.1">
      <c r="A39" s="2"/>
      <c r="B39" s="2"/>
      <c r="C39" s="30"/>
      <c r="D39" s="31"/>
      <c r="E39" s="31"/>
      <c r="F39" s="31"/>
      <c r="G39" s="32"/>
      <c r="H39" s="136" t="s">
        <v>58</v>
      </c>
      <c r="I39" s="301"/>
      <c r="J39" s="47"/>
      <c r="K39" s="317" t="s">
        <v>119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s="5" customFormat="1" ht="14.1">
      <c r="A40" s="7" t="s">
        <v>60</v>
      </c>
      <c r="B40"/>
      <c r="C40" s="318" t="s">
        <v>61</v>
      </c>
      <c r="D40" s="318"/>
      <c r="E40" s="318"/>
      <c r="F40" s="318"/>
      <c r="G40" s="318"/>
      <c r="H40" s="136" t="s">
        <v>62</v>
      </c>
      <c r="I40" s="301"/>
      <c r="J40" s="137"/>
      <c r="K40" s="317" t="s">
        <v>63</v>
      </c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s="5" customFormat="1" ht="14.1">
      <c r="A41" s="2"/>
      <c r="B41" s="2"/>
      <c r="C41" s="326" t="s">
        <v>64</v>
      </c>
      <c r="D41" s="326"/>
      <c r="E41" s="326"/>
      <c r="F41" s="326"/>
      <c r="G41" s="326"/>
      <c r="H41" s="136"/>
      <c r="I41" s="311"/>
      <c r="J41" s="138"/>
      <c r="K41" s="2"/>
      <c r="L41" s="2"/>
      <c r="M41" s="2"/>
      <c r="N41" s="2"/>
      <c r="O41" s="2"/>
      <c r="P41" s="2"/>
      <c r="Q41" s="2"/>
      <c r="R41" s="2"/>
      <c r="S41" s="40"/>
      <c r="T41" s="40"/>
      <c r="U41" s="40"/>
      <c r="V41" s="40"/>
    </row>
    <row r="42" spans="1:25" s="5" customFormat="1" ht="14.1">
      <c r="A42" s="311" t="s">
        <v>65</v>
      </c>
      <c r="B42" s="139"/>
      <c r="C42" s="317" t="s">
        <v>63</v>
      </c>
      <c r="D42" s="317"/>
      <c r="E42" s="317"/>
      <c r="F42" s="317"/>
      <c r="G42" s="317"/>
      <c r="H42" s="136" t="s">
        <v>66</v>
      </c>
      <c r="I42" s="301"/>
      <c r="J42" s="43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s="5" customFormat="1" ht="14.1">
      <c r="A43" s="2"/>
      <c r="B43" s="2"/>
      <c r="C43" s="317"/>
      <c r="D43" s="317"/>
      <c r="E43" s="317"/>
      <c r="F43" s="317"/>
      <c r="G43" s="317"/>
      <c r="H43" s="136"/>
      <c r="I43" s="301"/>
      <c r="J43" s="138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s="5" customFormat="1" ht="14.1">
      <c r="A44" s="139" t="s">
        <v>68</v>
      </c>
      <c r="B44" s="139"/>
      <c r="C44" s="33" t="s">
        <v>69</v>
      </c>
      <c r="D44" s="34"/>
      <c r="E44" s="34"/>
      <c r="F44" s="34"/>
      <c r="G44" s="35"/>
      <c r="I44" s="301"/>
      <c r="J44" s="13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</row>
    <row r="45" spans="1:25" s="5" customFormat="1" ht="14.1">
      <c r="A45" s="140"/>
      <c r="B45" s="140"/>
      <c r="C45" s="33"/>
      <c r="D45" s="31"/>
      <c r="E45" s="31"/>
      <c r="F45" s="31"/>
      <c r="G45" s="32"/>
      <c r="I45" s="301"/>
      <c r="J45" s="13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</row>
    <row r="46" spans="1:25" s="5" customFormat="1" ht="14.1">
      <c r="A46" s="2"/>
      <c r="B46" s="2"/>
      <c r="C46" s="3"/>
      <c r="D46" s="4"/>
      <c r="E46" s="4"/>
      <c r="F46" s="4"/>
      <c r="I46" s="301"/>
      <c r="J46" s="13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</row>
    <row r="47" spans="1:25">
      <c r="A47" s="36"/>
      <c r="B47" s="36"/>
      <c r="C47" s="36"/>
      <c r="D47" s="36"/>
      <c r="E47" s="36"/>
      <c r="F47" s="36"/>
      <c r="H47" s="36"/>
      <c r="I47" s="36"/>
      <c r="J47" s="43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</sheetData>
  <mergeCells count="73">
    <mergeCell ref="G2:Q2"/>
    <mergeCell ref="G3:Q3"/>
    <mergeCell ref="H12:J12"/>
    <mergeCell ref="K12:M12"/>
    <mergeCell ref="H10:J10"/>
    <mergeCell ref="K10:M10"/>
    <mergeCell ref="H7:J7"/>
    <mergeCell ref="K7:M7"/>
    <mergeCell ref="P10:Q10"/>
    <mergeCell ref="N7:Q7"/>
    <mergeCell ref="H8:J8"/>
    <mergeCell ref="K8:M8"/>
    <mergeCell ref="P12:Q12"/>
    <mergeCell ref="P26:Q26"/>
    <mergeCell ref="P24:Q24"/>
    <mergeCell ref="H26:J26"/>
    <mergeCell ref="K26:M26"/>
    <mergeCell ref="K18:M18"/>
    <mergeCell ref="K20:M20"/>
    <mergeCell ref="H20:J20"/>
    <mergeCell ref="P20:Q20"/>
    <mergeCell ref="P18:Q18"/>
    <mergeCell ref="P22:Q22"/>
    <mergeCell ref="H24:J24"/>
    <mergeCell ref="K24:M24"/>
    <mergeCell ref="H22:J22"/>
    <mergeCell ref="K22:M22"/>
    <mergeCell ref="A5:B5"/>
    <mergeCell ref="H5:I5"/>
    <mergeCell ref="C5:G5"/>
    <mergeCell ref="J5:N5"/>
    <mergeCell ref="P5:S5"/>
    <mergeCell ref="P16:Q16"/>
    <mergeCell ref="P14:Q14"/>
    <mergeCell ref="H18:J18"/>
    <mergeCell ref="H16:J16"/>
    <mergeCell ref="H14:J14"/>
    <mergeCell ref="K14:M14"/>
    <mergeCell ref="K16:M16"/>
    <mergeCell ref="H34:I34"/>
    <mergeCell ref="K32:M32"/>
    <mergeCell ref="K30:M30"/>
    <mergeCell ref="K34:Y34"/>
    <mergeCell ref="P28:Q28"/>
    <mergeCell ref="P32:Q32"/>
    <mergeCell ref="P30:Q30"/>
    <mergeCell ref="H30:J30"/>
    <mergeCell ref="H28:J28"/>
    <mergeCell ref="K28:M28"/>
    <mergeCell ref="H32:J32"/>
    <mergeCell ref="C35:G35"/>
    <mergeCell ref="K39:Y39"/>
    <mergeCell ref="K43:Y43"/>
    <mergeCell ref="K40:Y40"/>
    <mergeCell ref="K42:Y42"/>
    <mergeCell ref="H35:I35"/>
    <mergeCell ref="H36:I36"/>
    <mergeCell ref="U5:V5"/>
    <mergeCell ref="K44:Y44"/>
    <mergeCell ref="K45:Y45"/>
    <mergeCell ref="K46:Y46"/>
    <mergeCell ref="C42:G42"/>
    <mergeCell ref="C43:G43"/>
    <mergeCell ref="K35:Y35"/>
    <mergeCell ref="K36:Y36"/>
    <mergeCell ref="K37:Y37"/>
    <mergeCell ref="K38:Y38"/>
    <mergeCell ref="C34:G34"/>
    <mergeCell ref="C36:G36"/>
    <mergeCell ref="C37:G37"/>
    <mergeCell ref="C38:G38"/>
    <mergeCell ref="C40:G40"/>
    <mergeCell ref="C41:G41"/>
  </mergeCells>
  <phoneticPr fontId="0" type="noConversion"/>
  <conditionalFormatting sqref="H31:M31 H29:M29">
    <cfRule type="cellIs" dxfId="239" priority="85" stopIfTrue="1" operator="between">
      <formula>1</formula>
      <formula>300</formula>
    </cfRule>
    <cfRule type="cellIs" dxfId="238" priority="86" stopIfTrue="1" operator="lessThanOrEqual">
      <formula>0</formula>
    </cfRule>
  </conditionalFormatting>
  <conditionalFormatting sqref="H11:M11">
    <cfRule type="cellIs" dxfId="237" priority="5" stopIfTrue="1" operator="between">
      <formula>1</formula>
      <formula>300</formula>
    </cfRule>
    <cfRule type="cellIs" dxfId="236" priority="6" stopIfTrue="1" operator="lessThanOrEqual">
      <formula>0</formula>
    </cfRule>
  </conditionalFormatting>
  <conditionalFormatting sqref="H15:M15">
    <cfRule type="cellIs" dxfId="235" priority="3" stopIfTrue="1" operator="between">
      <formula>1</formula>
      <formula>300</formula>
    </cfRule>
    <cfRule type="cellIs" dxfId="234" priority="4" stopIfTrue="1" operator="lessThanOrEqual">
      <formula>0</formula>
    </cfRule>
  </conditionalFormatting>
  <conditionalFormatting sqref="H9:M9">
    <cfRule type="cellIs" dxfId="233" priority="17" stopIfTrue="1" operator="between">
      <formula>1</formula>
      <formula>300</formula>
    </cfRule>
    <cfRule type="cellIs" dxfId="232" priority="18" stopIfTrue="1" operator="lessThanOrEqual">
      <formula>0</formula>
    </cfRule>
  </conditionalFormatting>
  <conditionalFormatting sqref="H23:M23">
    <cfRule type="cellIs" dxfId="231" priority="15" stopIfTrue="1" operator="between">
      <formula>1</formula>
      <formula>300</formula>
    </cfRule>
    <cfRule type="cellIs" dxfId="230" priority="16" stopIfTrue="1" operator="lessThanOrEqual">
      <formula>0</formula>
    </cfRule>
  </conditionalFormatting>
  <conditionalFormatting sqref="H27:M27">
    <cfRule type="cellIs" dxfId="229" priority="13" stopIfTrue="1" operator="between">
      <formula>1</formula>
      <formula>300</formula>
    </cfRule>
    <cfRule type="cellIs" dxfId="228" priority="14" stopIfTrue="1" operator="lessThanOrEqual">
      <formula>0</formula>
    </cfRule>
  </conditionalFormatting>
  <conditionalFormatting sqref="H17:M17">
    <cfRule type="cellIs" dxfId="227" priority="11" stopIfTrue="1" operator="between">
      <formula>1</formula>
      <formula>300</formula>
    </cfRule>
    <cfRule type="cellIs" dxfId="226" priority="12" stopIfTrue="1" operator="lessThanOrEqual">
      <formula>0</formula>
    </cfRule>
  </conditionalFormatting>
  <conditionalFormatting sqref="H19:M19">
    <cfRule type="cellIs" dxfId="225" priority="9" stopIfTrue="1" operator="between">
      <formula>1</formula>
      <formula>300</formula>
    </cfRule>
    <cfRule type="cellIs" dxfId="224" priority="10" stopIfTrue="1" operator="lessThanOrEqual">
      <formula>0</formula>
    </cfRule>
  </conditionalFormatting>
  <conditionalFormatting sqref="H13:M13">
    <cfRule type="cellIs" dxfId="223" priority="7" stopIfTrue="1" operator="between">
      <formula>1</formula>
      <formula>300</formula>
    </cfRule>
    <cfRule type="cellIs" dxfId="222" priority="8" stopIfTrue="1" operator="lessThanOrEqual">
      <formula>0</formula>
    </cfRule>
  </conditionalFormatting>
  <conditionalFormatting sqref="H21:M21">
    <cfRule type="cellIs" dxfId="221" priority="1" stopIfTrue="1" operator="between">
      <formula>1</formula>
      <formula>300</formula>
    </cfRule>
    <cfRule type="cellIs" dxfId="220" priority="2" stopIfTrue="1" operator="lessThanOrEqual">
      <formula>0</formula>
    </cfRule>
  </conditionalFormatting>
  <conditionalFormatting sqref="H25:M25">
    <cfRule type="cellIs" dxfId="219" priority="19" stopIfTrue="1" operator="between">
      <formula>1</formula>
      <formula>300</formula>
    </cfRule>
    <cfRule type="cellIs" dxfId="218" priority="20" stopIfTrue="1" operator="lessThanOrEqual">
      <formula>0</formula>
    </cfRule>
  </conditionalFormatting>
  <dataValidations disablePrompts="1" count="5">
    <dataValidation type="list" allowBlank="1" showInputMessage="1" showErrorMessage="1" errorTitle="Feil_i_vektklasse" error="Feil verdi i vektklasse" sqref="B31 B29 B11 B13 B15 B17 B19 B21 B23 B25 B27 B9" xr:uid="{00000000-0002-0000-0100-000000000000}">
      <formula1>"44,48,53,58,63,69,+69,'+69,69+,75,+75,'+75,75,50,56,62,69,77,85,94,+94,'+94,94+,105,+105,'+105,105+"</formula1>
    </dataValidation>
    <dataValidation type="list" allowBlank="1" showInputMessage="1" showErrorMessage="1" errorTitle="Feil_i_kat.v.løft" error="Feeil verdi i kategori vektløfting" sqref="C31 C29 C11 C13 C15 C17 C19 C21 C23 C25 C27" xr:uid="{00000000-0002-0000-0100-000001000000}">
      <formula1>"UM,JM,SM,UK,JK,SK,M1,M2,M3,M4,M5,M6,M8,M9,M10,K1,K2,K3,K4,K5,K6,K7,K8,K9,K10"</formula1>
    </dataValidation>
    <dataValidation type="list" allowBlank="1" showInputMessage="1" showErrorMessage="1" errorTitle="Feil_i kat_5-kamp" error="Feil verdi i kategori 5-kamp" sqref="D31 D29 D11 D13 D15 D17 D19 D21 D23 D25 D27" xr:uid="{00000000-0002-0000-0100-000002000000}">
      <formula1>"11-12,13-14,15-16,17-18,+18,'+18,18+"</formula1>
    </dataValidation>
    <dataValidation type="list" allowBlank="1" showInputMessage="1" showErrorMessage="1" errorTitle="Feil _i_kat.v.løft" error="Feil verdi i kategori vektløfting" sqref="C9" xr:uid="{00000000-0002-0000-0100-000003000000}">
      <formula1>"UM,JM,SM,UK,JK,SK,M1,M2,M3,M4,M5,M6,M8,M9,M10,K1,K2,K3,K4,K5,K6,K7,K8,K9,K10"</formula1>
    </dataValidation>
    <dataValidation type="list" allowBlank="1" showInputMessage="1" showErrorMessage="1" errorTitle="Feil_i_kat.5-kamp" error="Feil verdi i kategori 5-kamp" sqref="D9" xr:uid="{00000000-0002-0000-0100-000004000000}">
      <formula1>"11-12,13-14,15-16,17-18,+18,'+18,18+"</formula1>
    </dataValidation>
  </dataValidations>
  <pageMargins left="0.27559055118110237" right="0.27559055118110237" top="0.27559055118110237" bottom="0.27559055118110237" header="0.51181102362204722" footer="0.51181102362204722"/>
  <pageSetup paperSize="9" scale="66" orientation="landscape" horizontalDpi="300" verticalDpi="300" copies="5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>
    <pageSetUpPr fitToPage="1"/>
  </sheetPr>
  <dimension ref="A1:P31"/>
  <sheetViews>
    <sheetView showGridLines="0" showRowColHeaders="0" showZeros="0" workbookViewId="0">
      <selection activeCell="B7" sqref="B7"/>
    </sheetView>
  </sheetViews>
  <sheetFormatPr defaultColWidth="8.85546875" defaultRowHeight="12.95"/>
  <cols>
    <col min="1" max="1" width="5.5703125" customWidth="1"/>
    <col min="2" max="2" width="7.5703125" customWidth="1"/>
    <col min="3" max="3" width="27.5703125" customWidth="1"/>
    <col min="4" max="14" width="7.42578125" customWidth="1"/>
    <col min="15" max="15" width="9.42578125" customWidth="1"/>
    <col min="16" max="16" width="4.5703125" style="36" customWidth="1"/>
  </cols>
  <sheetData>
    <row r="1" spans="1:16" ht="23.1">
      <c r="A1" s="399" t="s">
        <v>78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15"/>
      <c r="P1" s="315"/>
    </row>
    <row r="2" spans="1:16" ht="15" customHeight="1">
      <c r="B2" s="75" t="s">
        <v>280</v>
      </c>
      <c r="C2" s="265" t="str">
        <f>IF('P2'!C5&gt;0,'P2'!C5,"")</f>
        <v>NM 5-kamp og Norges Cup 3. runde</v>
      </c>
      <c r="D2" s="265"/>
      <c r="E2" s="26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6">
      <c r="A3" s="400" t="s">
        <v>4</v>
      </c>
      <c r="B3" s="400"/>
      <c r="C3" s="401" t="str">
        <f>IF('P2'!J5&gt;0,'P2'!J5,"")</f>
        <v>Larvik AK</v>
      </c>
      <c r="D3" s="401"/>
      <c r="E3" s="77" t="s">
        <v>6</v>
      </c>
      <c r="F3" s="403" t="str">
        <f>IF('P2'!P5&gt;0,'P2'!P5,"")</f>
        <v>Stavernhallen</v>
      </c>
      <c r="G3" s="403"/>
      <c r="H3" s="403"/>
      <c r="I3" s="403"/>
      <c r="J3" s="261" t="s">
        <v>8</v>
      </c>
      <c r="K3" s="404">
        <f>IF('P2'!U5&gt;0,'P2'!U5,"")</f>
        <v>43358</v>
      </c>
      <c r="L3" s="404"/>
      <c r="M3" s="78" t="s">
        <v>9</v>
      </c>
      <c r="N3" s="131">
        <v>5</v>
      </c>
      <c r="O3" s="130"/>
      <c r="P3" s="79"/>
    </row>
    <row r="4" spans="1:16" ht="14.45" thickBot="1">
      <c r="B4" s="395" t="s">
        <v>284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78"/>
      <c r="P4" s="79"/>
    </row>
    <row r="5" spans="1:16" s="80" customFormat="1" ht="14.1">
      <c r="B5" s="81" t="s">
        <v>72</v>
      </c>
      <c r="C5" s="82" t="s">
        <v>15</v>
      </c>
      <c r="D5" s="396" t="s">
        <v>75</v>
      </c>
      <c r="E5" s="396"/>
      <c r="F5" s="396"/>
      <c r="G5" s="396"/>
      <c r="H5" s="397" t="s">
        <v>76</v>
      </c>
      <c r="I5" s="397"/>
      <c r="J5" s="397"/>
      <c r="K5" s="397"/>
      <c r="L5" s="398" t="s">
        <v>282</v>
      </c>
      <c r="M5" s="398"/>
      <c r="N5" s="398"/>
      <c r="O5" s="83"/>
      <c r="P5" s="84"/>
    </row>
    <row r="6" spans="1:16" ht="13.5" thickBot="1">
      <c r="B6" s="85" t="s">
        <v>79</v>
      </c>
      <c r="C6" s="86" t="s">
        <v>85</v>
      </c>
      <c r="D6" s="87">
        <v>1</v>
      </c>
      <c r="E6" s="87">
        <v>2</v>
      </c>
      <c r="F6" s="88">
        <v>3</v>
      </c>
      <c r="G6" s="89" t="s">
        <v>283</v>
      </c>
      <c r="H6" s="90">
        <v>1</v>
      </c>
      <c r="I6" s="87">
        <v>2</v>
      </c>
      <c r="J6" s="88">
        <v>3</v>
      </c>
      <c r="K6" s="89" t="s">
        <v>283</v>
      </c>
      <c r="L6" s="90">
        <v>1</v>
      </c>
      <c r="M6" s="88">
        <v>2</v>
      </c>
      <c r="N6" s="91" t="s">
        <v>283</v>
      </c>
      <c r="O6" s="92"/>
      <c r="P6" s="93"/>
    </row>
    <row r="7" spans="1:16" ht="18" customHeight="1">
      <c r="B7" s="94" t="e">
        <f>IF([3]P5!D9="","",[3]P5!D9)</f>
        <v>#REF!</v>
      </c>
      <c r="C7" s="124" t="e">
        <f>IF([3]P5!G9="","",[3]P5!G9)</f>
        <v>#REF!</v>
      </c>
      <c r="D7" s="114">
        <v>6.82</v>
      </c>
      <c r="E7" s="114">
        <v>6.9</v>
      </c>
      <c r="F7" s="115">
        <v>6.92</v>
      </c>
      <c r="G7" s="95">
        <f>IF(MAX(D7,E7,F7)&gt;0,MAX(D7,E7,F7),"")</f>
        <v>6.92</v>
      </c>
      <c r="H7" s="118">
        <v>10.38</v>
      </c>
      <c r="I7" s="114">
        <v>9.84</v>
      </c>
      <c r="J7" s="114">
        <v>10.56</v>
      </c>
      <c r="K7" s="95">
        <f>IF(MAX(H7,I7,J7)&gt;0,MAX(H7,I7,J7),"")</f>
        <v>10.56</v>
      </c>
      <c r="L7" s="120">
        <v>6.75</v>
      </c>
      <c r="M7" s="115">
        <v>6.85</v>
      </c>
      <c r="N7" s="105">
        <f>IF(MIN(L7,M7)&gt;0,MIN(L7,M7),"")</f>
        <v>6.75</v>
      </c>
      <c r="O7" s="96"/>
      <c r="P7" s="97"/>
    </row>
    <row r="8" spans="1:16" ht="18" customHeight="1">
      <c r="B8" s="98"/>
      <c r="C8" s="125" t="e">
        <f>IF([3]P5!G10="","",[3]P5!G10)</f>
        <v>#REF!</v>
      </c>
      <c r="D8" s="106"/>
      <c r="E8" s="106"/>
      <c r="F8" s="107"/>
      <c r="G8" s="99"/>
      <c r="H8" s="109"/>
      <c r="I8" s="106"/>
      <c r="J8" s="107"/>
      <c r="K8" s="100"/>
      <c r="L8" s="109"/>
      <c r="M8" s="107"/>
      <c r="N8" s="101"/>
      <c r="O8" s="102" t="str">
        <f>IF(SUM(L8:N8)&gt;0,SUM(L8:N8),"")</f>
        <v/>
      </c>
      <c r="P8" s="74"/>
    </row>
    <row r="9" spans="1:16" ht="18" customHeight="1">
      <c r="B9" s="103" t="e">
        <f>IF([3]P5!D11="","",[3]P5!D11)</f>
        <v>#REF!</v>
      </c>
      <c r="C9" s="126" t="e">
        <f>IF([3]P5!G11="","",[3]P5!G11)</f>
        <v>#REF!</v>
      </c>
      <c r="D9" s="116">
        <v>6.2</v>
      </c>
      <c r="E9" s="116">
        <v>6.2</v>
      </c>
      <c r="F9" s="117">
        <v>6.42</v>
      </c>
      <c r="G9" s="104">
        <f>IF(MAX(D9,E9,F9)&gt;0,MAX(D9,E9,F9),"")</f>
        <v>6.42</v>
      </c>
      <c r="H9" s="119">
        <v>7.49</v>
      </c>
      <c r="I9" s="116">
        <v>7.97</v>
      </c>
      <c r="J9" s="116">
        <v>10.82</v>
      </c>
      <c r="K9" s="105">
        <f>IF(MAX(H9,I9,J9)&gt;0,MAX(H9,I9,J9),"")</f>
        <v>10.82</v>
      </c>
      <c r="L9" s="121">
        <v>7.23</v>
      </c>
      <c r="M9" s="117">
        <v>7.25</v>
      </c>
      <c r="N9" s="105">
        <f>IF(MIN(L9,M9)&gt;0,MIN(L9,M9),"")</f>
        <v>7.23</v>
      </c>
      <c r="O9" s="96"/>
      <c r="P9" s="97"/>
    </row>
    <row r="10" spans="1:16" ht="18" customHeight="1">
      <c r="B10" s="98"/>
      <c r="C10" s="125" t="e">
        <f>IF([3]P5!G12="","",[3]P5!G12)</f>
        <v>#REF!</v>
      </c>
      <c r="D10" s="106"/>
      <c r="E10" s="106"/>
      <c r="F10" s="107"/>
      <c r="G10" s="99"/>
      <c r="H10" s="109"/>
      <c r="I10" s="106"/>
      <c r="J10" s="107"/>
      <c r="K10" s="100"/>
      <c r="L10" s="109"/>
      <c r="M10" s="107"/>
      <c r="N10" s="101"/>
      <c r="O10" s="102" t="str">
        <f>IF(SUM(L10:N10)&gt;0,SUM(L10:N10),"")</f>
        <v/>
      </c>
      <c r="P10" s="74"/>
    </row>
    <row r="11" spans="1:16" ht="18" customHeight="1">
      <c r="B11" s="103" t="e">
        <f>IF([3]P5!D13="","",[3]P5!D13)</f>
        <v>#REF!</v>
      </c>
      <c r="C11" s="126" t="e">
        <f>IF([3]P5!G13="","",[3]P5!G13)</f>
        <v>#REF!</v>
      </c>
      <c r="D11" s="116"/>
      <c r="E11" s="116"/>
      <c r="F11" s="117"/>
      <c r="G11" s="104" t="str">
        <f>IF(MAX(D11,E11,F11)&gt;0,MAX(D11,E11,F11),"")</f>
        <v/>
      </c>
      <c r="H11" s="119"/>
      <c r="I11" s="116"/>
      <c r="J11" s="116"/>
      <c r="K11" s="105" t="str">
        <f>IF(MAX(H11,I11,J11)&gt;0,MAX(H11,I11,J11),"")</f>
        <v/>
      </c>
      <c r="L11" s="121"/>
      <c r="M11" s="117"/>
      <c r="N11" s="105" t="str">
        <f>IF(MIN(L11,M11)&gt;0,MIN(L11,M11),"")</f>
        <v/>
      </c>
      <c r="O11" s="96"/>
      <c r="P11" s="97"/>
    </row>
    <row r="12" spans="1:16" ht="18" customHeight="1">
      <c r="B12" s="98"/>
      <c r="C12" s="125" t="e">
        <f>IF([3]P5!G14="","",[3]P5!G14)</f>
        <v>#REF!</v>
      </c>
      <c r="D12" s="106"/>
      <c r="E12" s="106"/>
      <c r="F12" s="107"/>
      <c r="G12" s="99"/>
      <c r="H12" s="109"/>
      <c r="I12" s="106"/>
      <c r="J12" s="107"/>
      <c r="K12" s="100"/>
      <c r="L12" s="109"/>
      <c r="M12" s="107"/>
      <c r="N12" s="101"/>
      <c r="O12" s="102" t="str">
        <f>IF(SUM(L12:N12)&gt;0,SUM(L12:N12),"")</f>
        <v/>
      </c>
      <c r="P12" s="74"/>
    </row>
    <row r="13" spans="1:16" ht="18" customHeight="1">
      <c r="B13" s="103" t="e">
        <f>IF([3]P5!D15="","",[3]P5!D15)</f>
        <v>#REF!</v>
      </c>
      <c r="C13" s="126" t="e">
        <f>IF([3]P5!G15="","",[3]P5!G15)</f>
        <v>#REF!</v>
      </c>
      <c r="D13" s="116">
        <v>7.23</v>
      </c>
      <c r="E13" s="116">
        <v>7.44</v>
      </c>
      <c r="F13" s="117">
        <v>6.9</v>
      </c>
      <c r="G13" s="104">
        <f>IF(MAX(D13,E13,F13)&gt;0,MAX(D13,E13,F13),"")</f>
        <v>7.44</v>
      </c>
      <c r="H13" s="119">
        <v>12.18</v>
      </c>
      <c r="I13" s="116">
        <v>13.25</v>
      </c>
      <c r="J13" s="116">
        <v>11.51</v>
      </c>
      <c r="K13" s="105">
        <f>IF(MAX(H13,I13,J13)&gt;0,MAX(H13,I13,J13),"")</f>
        <v>13.25</v>
      </c>
      <c r="L13" s="121">
        <v>6.93</v>
      </c>
      <c r="M13" s="117">
        <v>6.81</v>
      </c>
      <c r="N13" s="105">
        <f>IF(MIN(L13,M13)&gt;0,MIN(L13,M13),"")</f>
        <v>6.81</v>
      </c>
      <c r="O13" s="96"/>
      <c r="P13" s="97"/>
    </row>
    <row r="14" spans="1:16" ht="18" customHeight="1">
      <c r="B14" s="98"/>
      <c r="C14" s="125" t="e">
        <f>IF([3]P5!G16="","",[3]P5!G16)</f>
        <v>#REF!</v>
      </c>
      <c r="D14" s="106"/>
      <c r="E14" s="106"/>
      <c r="F14" s="107"/>
      <c r="G14" s="99"/>
      <c r="H14" s="109"/>
      <c r="I14" s="106"/>
      <c r="J14" s="107"/>
      <c r="K14" s="100"/>
      <c r="L14" s="109"/>
      <c r="M14" s="107"/>
      <c r="N14" s="101"/>
      <c r="O14" s="102" t="str">
        <f>IF(SUM(L14:N14)&gt;0,SUM(L14:N14),"")</f>
        <v/>
      </c>
      <c r="P14" s="74"/>
    </row>
    <row r="15" spans="1:16" ht="18" customHeight="1">
      <c r="B15" s="103" t="e">
        <f>IF([3]P5!D17="","",[3]P5!D17)</f>
        <v>#REF!</v>
      </c>
      <c r="C15" s="291" t="e">
        <f>IF([3]P5!G17="","",[3]P5!G17)</f>
        <v>#REF!</v>
      </c>
      <c r="D15" s="116">
        <v>6.38</v>
      </c>
      <c r="E15" s="116">
        <v>6.47</v>
      </c>
      <c r="F15" s="117">
        <v>6.41</v>
      </c>
      <c r="G15" s="104">
        <f>IF(MAX(D15,E15,F15)&gt;0,MAX(D15,E15,F15),"")</f>
        <v>6.47</v>
      </c>
      <c r="H15" s="119">
        <v>10.199999999999999</v>
      </c>
      <c r="I15" s="116">
        <v>12.17</v>
      </c>
      <c r="J15" s="116">
        <v>12.03</v>
      </c>
      <c r="K15" s="105">
        <f>IF(MAX(H15,I15,J15)&gt;0,MAX(H15,I15,J15),"")</f>
        <v>12.17</v>
      </c>
      <c r="L15" s="121">
        <v>7.37</v>
      </c>
      <c r="M15" s="117">
        <v>7.37</v>
      </c>
      <c r="N15" s="105">
        <f>IF(MIN(L15,M15)&gt;0,MIN(L15,M15),"")</f>
        <v>7.37</v>
      </c>
      <c r="O15" s="96"/>
      <c r="P15" s="97"/>
    </row>
    <row r="16" spans="1:16" ht="18" customHeight="1">
      <c r="B16" s="98"/>
      <c r="C16" s="125" t="e">
        <f>IF([3]P5!G18="","",[3]P5!G18)</f>
        <v>#REF!</v>
      </c>
      <c r="D16" s="106"/>
      <c r="E16" s="106"/>
      <c r="F16" s="107"/>
      <c r="G16" s="99"/>
      <c r="H16" s="109"/>
      <c r="I16" s="106"/>
      <c r="J16" s="107"/>
      <c r="K16" s="100"/>
      <c r="L16" s="109"/>
      <c r="M16" s="107"/>
      <c r="N16" s="101"/>
      <c r="O16" s="102" t="str">
        <f>IF(SUM(L16:N16)&gt;0,SUM(L16:N16),"")</f>
        <v/>
      </c>
      <c r="P16" s="74"/>
    </row>
    <row r="17" spans="2:16" ht="18" customHeight="1">
      <c r="B17" s="103" t="e">
        <f>IF([3]P5!D19="","",[3]P5!D19)</f>
        <v>#REF!</v>
      </c>
      <c r="C17" s="126" t="e">
        <f>IF([3]P5!G19="","",[3]P5!G19)</f>
        <v>#REF!</v>
      </c>
      <c r="D17" s="116">
        <v>6.91</v>
      </c>
      <c r="E17" s="116">
        <v>7.02</v>
      </c>
      <c r="F17" s="117">
        <v>7.06</v>
      </c>
      <c r="G17" s="104">
        <f>IF(MAX(D17,E17,F17)&gt;0,MAX(D17,E17,F17),"")</f>
        <v>7.06</v>
      </c>
      <c r="H17" s="119">
        <v>13.22</v>
      </c>
      <c r="I17" s="116">
        <v>13.32</v>
      </c>
      <c r="J17" s="116">
        <v>13.49</v>
      </c>
      <c r="K17" s="105">
        <f>IF(MAX(H17,I17,J17)&gt;0,MAX(H17,I17,J17),"")</f>
        <v>13.49</v>
      </c>
      <c r="L17" s="121">
        <v>7.37</v>
      </c>
      <c r="M17" s="117">
        <v>7.2</v>
      </c>
      <c r="N17" s="105">
        <f>IF(MIN(L17,M17)&gt;0,MIN(L17,M17),"")</f>
        <v>7.2</v>
      </c>
      <c r="O17" s="96"/>
      <c r="P17" s="97"/>
    </row>
    <row r="18" spans="2:16" ht="18" customHeight="1">
      <c r="B18" s="98"/>
      <c r="C18" s="125" t="e">
        <f>IF([3]P5!G20="","",[3]P5!G20)</f>
        <v>#REF!</v>
      </c>
      <c r="D18" s="106"/>
      <c r="E18" s="106"/>
      <c r="F18" s="107"/>
      <c r="G18" s="99"/>
      <c r="H18" s="109"/>
      <c r="I18" s="106"/>
      <c r="J18" s="107"/>
      <c r="K18" s="100"/>
      <c r="L18" s="109"/>
      <c r="M18" s="107"/>
      <c r="N18" s="101"/>
      <c r="O18" s="102" t="str">
        <f>IF(SUM(L18:N18)&gt;0,SUM(L18:N18),"")</f>
        <v/>
      </c>
      <c r="P18" s="74"/>
    </row>
    <row r="19" spans="2:16" ht="18" customHeight="1">
      <c r="B19" s="103" t="e">
        <f>IF([3]P5!D21="","",[3]P5!D21)</f>
        <v>#REF!</v>
      </c>
      <c r="C19" s="126" t="e">
        <f>IF([3]P5!G21="","",[3]P5!G21)</f>
        <v>#REF!</v>
      </c>
      <c r="D19" s="116">
        <v>6.24</v>
      </c>
      <c r="E19" s="116">
        <v>6.31</v>
      </c>
      <c r="F19" s="117">
        <v>6.2</v>
      </c>
      <c r="G19" s="104">
        <f>IF(MAX(D19,E19,F19)&gt;0,MAX(D19,E19,F19),"")</f>
        <v>6.31</v>
      </c>
      <c r="H19" s="119">
        <v>10.08</v>
      </c>
      <c r="I19" s="116">
        <v>13.05</v>
      </c>
      <c r="J19" s="116">
        <v>13.37</v>
      </c>
      <c r="K19" s="105">
        <f>IF(MAX(H19,I19,J19)&gt;0,MAX(H19,I19,J19),"")</f>
        <v>13.37</v>
      </c>
      <c r="L19" s="121">
        <v>7.33</v>
      </c>
      <c r="M19" s="117">
        <v>7.29</v>
      </c>
      <c r="N19" s="105">
        <f>IF(MIN(L19,M19)&gt;0,MIN(L19,M19),"")</f>
        <v>7.29</v>
      </c>
      <c r="O19" s="96"/>
      <c r="P19" s="97"/>
    </row>
    <row r="20" spans="2:16" ht="18" customHeight="1">
      <c r="B20" s="98"/>
      <c r="C20" s="125" t="e">
        <f>IF([3]P5!G22="","",[3]P5!G22)</f>
        <v>#REF!</v>
      </c>
      <c r="D20" s="106"/>
      <c r="E20" s="106"/>
      <c r="F20" s="107"/>
      <c r="G20" s="99"/>
      <c r="H20" s="109"/>
      <c r="I20" s="106"/>
      <c r="J20" s="107"/>
      <c r="K20" s="100"/>
      <c r="L20" s="109"/>
      <c r="M20" s="107"/>
      <c r="N20" s="101"/>
      <c r="O20" s="102" t="str">
        <f>IF(SUM(L20:N20)&gt;0,SUM(L20:N20),"")</f>
        <v/>
      </c>
      <c r="P20" s="74"/>
    </row>
    <row r="21" spans="2:16" ht="18" customHeight="1">
      <c r="B21" s="103" t="str">
        <f>IF('P5'!D23="","",'P5'!D23)</f>
        <v/>
      </c>
      <c r="C21" s="126" t="str">
        <f>IF('P5'!G23="","",'P5'!G23)</f>
        <v/>
      </c>
      <c r="D21" s="116"/>
      <c r="E21" s="116"/>
      <c r="F21" s="117"/>
      <c r="G21" s="104" t="str">
        <f>IF(MAX(D21,E21,F21)&gt;0,MAX(D21,E21,F21),"")</f>
        <v/>
      </c>
      <c r="H21" s="119"/>
      <c r="I21" s="116"/>
      <c r="J21" s="116"/>
      <c r="K21" s="105" t="str">
        <f>IF(MAX(H21,I21,J21)&gt;0,MAX(H21,I21,J21),"")</f>
        <v/>
      </c>
      <c r="L21" s="121"/>
      <c r="M21" s="117"/>
      <c r="N21" s="105" t="str">
        <f>IF(MIN(L21,M21)&gt;0,MIN(L21,M21),"")</f>
        <v/>
      </c>
      <c r="O21" s="96"/>
      <c r="P21" s="97"/>
    </row>
    <row r="22" spans="2:16" ht="18" customHeight="1">
      <c r="B22" s="98"/>
      <c r="C22" s="125" t="str">
        <f>IF('P5'!G24="","",'P5'!G24)</f>
        <v/>
      </c>
      <c r="D22" s="106"/>
      <c r="E22" s="106"/>
      <c r="F22" s="107"/>
      <c r="G22" s="108"/>
      <c r="H22" s="109"/>
      <c r="I22" s="106"/>
      <c r="J22" s="107"/>
      <c r="K22" s="110"/>
      <c r="L22" s="109"/>
      <c r="M22" s="107"/>
      <c r="N22" s="101"/>
      <c r="O22" s="102" t="str">
        <f>IF(SUM(L22:N22)&gt;0,SUM(L22:N22),"")</f>
        <v/>
      </c>
      <c r="P22" s="74"/>
    </row>
    <row r="23" spans="2:16" ht="18" customHeight="1">
      <c r="B23" s="103" t="str">
        <f>IF('P5'!D25="","",'P5'!D25)</f>
        <v/>
      </c>
      <c r="C23" s="126" t="str">
        <f>IF('P5'!G25="","",'P5'!G25)</f>
        <v/>
      </c>
      <c r="D23" s="116"/>
      <c r="E23" s="116"/>
      <c r="F23" s="117"/>
      <c r="G23" s="104" t="str">
        <f>IF(MAX(D23,E23,F23)&gt;0,MAX(D23,E23,F23),"")</f>
        <v/>
      </c>
      <c r="H23" s="119"/>
      <c r="I23" s="116"/>
      <c r="J23" s="116"/>
      <c r="K23" s="105" t="str">
        <f>IF(MAX(H23,I23,J23)&gt;0,MAX(H23,I23,J23),"")</f>
        <v/>
      </c>
      <c r="L23" s="121"/>
      <c r="M23" s="117"/>
      <c r="N23" s="105" t="str">
        <f>IF(MIN(L23,M23)&gt;0,MIN(L23,M23),"")</f>
        <v/>
      </c>
      <c r="O23" s="96"/>
      <c r="P23" s="97"/>
    </row>
    <row r="24" spans="2:16" ht="18" customHeight="1">
      <c r="B24" s="98"/>
      <c r="C24" s="125" t="str">
        <f>IF('P5'!G26="","",'P5'!G26)</f>
        <v/>
      </c>
      <c r="D24" s="106"/>
      <c r="E24" s="106"/>
      <c r="F24" s="107"/>
      <c r="G24" s="99"/>
      <c r="H24" s="109"/>
      <c r="I24" s="106"/>
      <c r="J24" s="107"/>
      <c r="K24" s="100"/>
      <c r="L24" s="109"/>
      <c r="M24" s="107"/>
      <c r="N24" s="101"/>
      <c r="O24" s="102" t="str">
        <f>IF(SUM(L24:N24)&gt;0,SUM(L24:N24),"")</f>
        <v/>
      </c>
      <c r="P24" s="74"/>
    </row>
    <row r="25" spans="2:16" ht="18" customHeight="1">
      <c r="B25" s="103" t="str">
        <f>IF('P5'!D27="","",'P5'!D27)</f>
        <v/>
      </c>
      <c r="C25" s="126" t="str">
        <f>IF('P5'!G27="","",'P5'!G27)</f>
        <v/>
      </c>
      <c r="D25" s="116"/>
      <c r="E25" s="116"/>
      <c r="F25" s="117"/>
      <c r="G25" s="104" t="str">
        <f>IF(MAX(D25,E25,F25)&gt;0,MAX(D25,E25,F25),"")</f>
        <v/>
      </c>
      <c r="H25" s="119"/>
      <c r="I25" s="116"/>
      <c r="J25" s="116"/>
      <c r="K25" s="105" t="str">
        <f>IF(MAX(H25,I25,J25)&gt;0,MAX(H25,I25,J25),"")</f>
        <v/>
      </c>
      <c r="L25" s="121"/>
      <c r="M25" s="117"/>
      <c r="N25" s="105" t="str">
        <f>IF(MIN(L25,M25)&gt;0,MIN(L25,M25),"")</f>
        <v/>
      </c>
      <c r="O25" s="96"/>
      <c r="P25" s="97"/>
    </row>
    <row r="26" spans="2:16" ht="18" customHeight="1">
      <c r="B26" s="98"/>
      <c r="C26" s="125" t="str">
        <f>IF('P5'!G28="","",'P5'!G28)</f>
        <v/>
      </c>
      <c r="D26" s="106"/>
      <c r="E26" s="106"/>
      <c r="F26" s="107"/>
      <c r="G26" s="99"/>
      <c r="H26" s="109"/>
      <c r="I26" s="106"/>
      <c r="J26" s="107"/>
      <c r="K26" s="100"/>
      <c r="L26" s="109"/>
      <c r="M26" s="107"/>
      <c r="N26" s="101"/>
      <c r="O26" s="102" t="str">
        <f>IF(SUM(L26:N26)&gt;0,SUM(L26:N26),"")</f>
        <v/>
      </c>
      <c r="P26" s="74"/>
    </row>
    <row r="27" spans="2:16" ht="18" customHeight="1">
      <c r="B27" s="103" t="str">
        <f>IF('P5'!D29="","",'P5'!D29)</f>
        <v/>
      </c>
      <c r="C27" s="126" t="str">
        <f>IF('P5'!G29="","",'P5'!G29)</f>
        <v/>
      </c>
      <c r="D27" s="116"/>
      <c r="E27" s="116"/>
      <c r="F27" s="117"/>
      <c r="G27" s="104" t="str">
        <f>IF(MAX(D27,E27,F27)&gt;0,MAX(D27,E27,F27),"")</f>
        <v/>
      </c>
      <c r="H27" s="119"/>
      <c r="I27" s="116"/>
      <c r="J27" s="116"/>
      <c r="K27" s="105" t="str">
        <f>IF(MAX(H27,I27,J27)&gt;0,MAX(H27,I27,J27),"")</f>
        <v/>
      </c>
      <c r="L27" s="121"/>
      <c r="M27" s="117"/>
      <c r="N27" s="105" t="str">
        <f>IF(MIN(L27,M27)&gt;0,MIN(L27,M27),"")</f>
        <v/>
      </c>
      <c r="O27" s="96"/>
      <c r="P27" s="97"/>
    </row>
    <row r="28" spans="2:16" ht="18" customHeight="1">
      <c r="B28" s="98"/>
      <c r="C28" s="125" t="str">
        <f>IF('P5'!G30="","",'P5'!G30)</f>
        <v/>
      </c>
      <c r="D28" s="106"/>
      <c r="E28" s="106"/>
      <c r="F28" s="107"/>
      <c r="G28" s="99"/>
      <c r="H28" s="109"/>
      <c r="I28" s="106"/>
      <c r="J28" s="107"/>
      <c r="K28" s="100"/>
      <c r="L28" s="122"/>
      <c r="M28" s="107"/>
      <c r="N28" s="101"/>
      <c r="O28" s="102" t="str">
        <f>IF(SUM(L28:N28)&gt;0,SUM(L28:N28),"")</f>
        <v/>
      </c>
      <c r="P28" s="74"/>
    </row>
    <row r="29" spans="2:16" ht="18" customHeight="1">
      <c r="B29" s="103" t="str">
        <f>IF('P5'!D31="","",'P5'!D31)</f>
        <v/>
      </c>
      <c r="C29" s="126" t="str">
        <f>IF('P5'!G31="","",'P5'!G31)</f>
        <v/>
      </c>
      <c r="D29" s="116"/>
      <c r="E29" s="116"/>
      <c r="F29" s="117"/>
      <c r="G29" s="104" t="str">
        <f>IF(MAX(D29,E29,F29)&gt;0,MAX(D29,E29,F29),"")</f>
        <v/>
      </c>
      <c r="H29" s="119"/>
      <c r="I29" s="116"/>
      <c r="J29" s="116"/>
      <c r="K29" s="105" t="str">
        <f>IF(MAX(H29,I29,J29)&gt;0,MAX(H29,I29,J29),"")</f>
        <v/>
      </c>
      <c r="L29" s="123"/>
      <c r="M29" s="117"/>
      <c r="N29" s="105" t="str">
        <f>IF(MIN(L29,M29)&gt;0,MIN(L29,M29),"")</f>
        <v/>
      </c>
      <c r="O29" s="96"/>
      <c r="P29" s="97"/>
    </row>
    <row r="30" spans="2:16" ht="18" customHeight="1">
      <c r="B30" s="98"/>
      <c r="C30" s="125" t="str">
        <f>IF('P5'!G32="","",'P5'!G32)</f>
        <v/>
      </c>
      <c r="D30" s="106"/>
      <c r="E30" s="106"/>
      <c r="F30" s="107"/>
      <c r="G30" s="111"/>
      <c r="H30" s="109"/>
      <c r="I30" s="106"/>
      <c r="J30" s="107"/>
      <c r="K30" s="108"/>
      <c r="L30" s="109"/>
      <c r="M30" s="107"/>
      <c r="N30" s="112"/>
      <c r="O30" s="102" t="str">
        <f>IF(SUM(L30:N30)&gt;0,SUM(L30:N30),"")</f>
        <v/>
      </c>
      <c r="P30" s="74"/>
    </row>
    <row r="31" spans="2:16">
      <c r="B31" s="113"/>
      <c r="C31" s="113"/>
    </row>
  </sheetData>
  <mergeCells count="9">
    <mergeCell ref="B4:N4"/>
    <mergeCell ref="D5:G5"/>
    <mergeCell ref="H5:K5"/>
    <mergeCell ref="L5:N5"/>
    <mergeCell ref="A1:N1"/>
    <mergeCell ref="A3:B3"/>
    <mergeCell ref="C3:D3"/>
    <mergeCell ref="F3:I3"/>
    <mergeCell ref="K3:L3"/>
  </mergeCells>
  <phoneticPr fontId="0" type="noConversion"/>
  <pageMargins left="0.27559055118110237" right="0.27559055118110237" top="0.27559055118110237" bottom="0.27559055118110237" header="0.51181102362204722" footer="0.51181102362204722"/>
  <pageSetup paperSize="9" fitToHeight="0" orientation="landscape" horizontalDpi="300" verticalDpi="300" copies="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4">
    <pageSetUpPr fitToPage="1"/>
  </sheetPr>
  <dimension ref="A1:P31"/>
  <sheetViews>
    <sheetView showGridLines="0" showRowColHeaders="0" showZeros="0" workbookViewId="0">
      <selection activeCell="J13" sqref="J13"/>
    </sheetView>
  </sheetViews>
  <sheetFormatPr defaultColWidth="8.85546875" defaultRowHeight="12.95"/>
  <cols>
    <col min="1" max="1" width="5.5703125" customWidth="1"/>
    <col min="2" max="2" width="7.5703125" customWidth="1"/>
    <col min="3" max="3" width="27.5703125" customWidth="1"/>
    <col min="4" max="14" width="7.42578125" customWidth="1"/>
    <col min="15" max="15" width="9.42578125" customWidth="1"/>
    <col min="16" max="16" width="4.5703125" style="36" customWidth="1"/>
  </cols>
  <sheetData>
    <row r="1" spans="1:16" ht="23.1">
      <c r="A1" s="399" t="s">
        <v>78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15"/>
      <c r="P1" s="315"/>
    </row>
    <row r="2" spans="1:16" ht="15" customHeight="1">
      <c r="B2" s="75" t="s">
        <v>280</v>
      </c>
      <c r="C2" s="265" t="str">
        <f>IF('P2'!C5&gt;0,'P2'!C5,"")</f>
        <v>NM 5-kamp og Norges Cup 3. runde</v>
      </c>
      <c r="D2" s="265"/>
      <c r="E2" s="26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6">
      <c r="A3" s="400" t="s">
        <v>4</v>
      </c>
      <c r="B3" s="400"/>
      <c r="C3" s="401" t="str">
        <f>IF('P2'!J5&gt;0,'P2'!J5,"")</f>
        <v>Larvik AK</v>
      </c>
      <c r="D3" s="401"/>
      <c r="E3" s="77" t="s">
        <v>6</v>
      </c>
      <c r="F3" s="403" t="str">
        <f>IF('P2'!P5&gt;0,'P2'!P5,"")</f>
        <v>Stavernhallen</v>
      </c>
      <c r="G3" s="403"/>
      <c r="H3" s="403"/>
      <c r="I3" s="403"/>
      <c r="J3" s="261" t="s">
        <v>8</v>
      </c>
      <c r="K3" s="404">
        <f>IF('P2'!U5&gt;0,'P2'!U5,"")</f>
        <v>43358</v>
      </c>
      <c r="L3" s="404"/>
      <c r="M3" s="78" t="s">
        <v>9</v>
      </c>
      <c r="N3" s="131">
        <v>6</v>
      </c>
      <c r="O3" s="130"/>
      <c r="P3" s="79"/>
    </row>
    <row r="4" spans="1:16" ht="14.45" thickBot="1">
      <c r="B4" s="395" t="s">
        <v>284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78"/>
      <c r="P4" s="79"/>
    </row>
    <row r="5" spans="1:16" s="80" customFormat="1" ht="14.1">
      <c r="B5" s="81" t="s">
        <v>72</v>
      </c>
      <c r="C5" s="82" t="s">
        <v>15</v>
      </c>
      <c r="D5" s="396" t="s">
        <v>75</v>
      </c>
      <c r="E5" s="396"/>
      <c r="F5" s="396"/>
      <c r="G5" s="396"/>
      <c r="H5" s="397" t="s">
        <v>76</v>
      </c>
      <c r="I5" s="397"/>
      <c r="J5" s="397"/>
      <c r="K5" s="397"/>
      <c r="L5" s="398" t="s">
        <v>282</v>
      </c>
      <c r="M5" s="398"/>
      <c r="N5" s="398"/>
      <c r="O5" s="83"/>
      <c r="P5" s="84"/>
    </row>
    <row r="6" spans="1:16" ht="13.5" thickBot="1">
      <c r="B6" s="85" t="s">
        <v>79</v>
      </c>
      <c r="C6" s="86" t="s">
        <v>85</v>
      </c>
      <c r="D6" s="87">
        <v>1</v>
      </c>
      <c r="E6" s="87">
        <v>2</v>
      </c>
      <c r="F6" s="88">
        <v>3</v>
      </c>
      <c r="G6" s="89" t="s">
        <v>283</v>
      </c>
      <c r="H6" s="90">
        <v>1</v>
      </c>
      <c r="I6" s="87">
        <v>2</v>
      </c>
      <c r="J6" s="88">
        <v>3</v>
      </c>
      <c r="K6" s="89" t="s">
        <v>283</v>
      </c>
      <c r="L6" s="90">
        <v>1</v>
      </c>
      <c r="M6" s="88">
        <v>2</v>
      </c>
      <c r="N6" s="91" t="s">
        <v>283</v>
      </c>
      <c r="O6" s="92"/>
      <c r="P6" s="93"/>
    </row>
    <row r="7" spans="1:16" ht="18" customHeight="1">
      <c r="B7" s="94" t="str">
        <f>IF('P6'!D9="","",'P6'!D9)</f>
        <v>+18</v>
      </c>
      <c r="C7" s="124" t="str">
        <f>IF('P6'!G9="","",'P6'!G9)</f>
        <v>Sarah Hovden Øvsthus</v>
      </c>
      <c r="D7" s="114">
        <v>7.46</v>
      </c>
      <c r="E7" s="114">
        <v>7.68</v>
      </c>
      <c r="F7" s="115">
        <v>7.66</v>
      </c>
      <c r="G7" s="95">
        <f>IF(MAX(D7,E7,F7)&gt;0,MAX(D7,E7,F7),"")</f>
        <v>7.68</v>
      </c>
      <c r="H7" s="118">
        <v>15.55</v>
      </c>
      <c r="I7" s="114">
        <v>14.92</v>
      </c>
      <c r="J7" s="114">
        <v>14.77</v>
      </c>
      <c r="K7" s="95">
        <f>IF(MAX(H7,I7,J7)&gt;0,MAX(H7,I7,J7),"")</f>
        <v>15.55</v>
      </c>
      <c r="L7" s="120">
        <v>6.63</v>
      </c>
      <c r="M7" s="115">
        <v>6.66</v>
      </c>
      <c r="N7" s="95">
        <f>IF(MIN(L7,M7)&gt;0,MIN(L7,M7),"")</f>
        <v>6.63</v>
      </c>
      <c r="O7" s="96"/>
      <c r="P7" s="97"/>
    </row>
    <row r="8" spans="1:16" ht="18" customHeight="1">
      <c r="B8" s="98"/>
      <c r="C8" s="125" t="str">
        <f>IF('P6'!G10="","",'P6'!G10)</f>
        <v>AK Bjørgvin</v>
      </c>
      <c r="D8" s="106"/>
      <c r="E8" s="106"/>
      <c r="F8" s="107"/>
      <c r="G8" s="99"/>
      <c r="H8" s="109"/>
      <c r="I8" s="106"/>
      <c r="J8" s="107"/>
      <c r="K8" s="100"/>
      <c r="L8" s="109"/>
      <c r="M8" s="107"/>
      <c r="N8" s="101"/>
      <c r="O8" s="102" t="str">
        <f>IF(SUM(L8:N8)&gt;0,SUM(L8:N8),"")</f>
        <v/>
      </c>
      <c r="P8" s="74"/>
    </row>
    <row r="9" spans="1:16" ht="18" customHeight="1">
      <c r="B9" s="103" t="str">
        <f>IF('P6'!D11="","",'P6'!D11)</f>
        <v>+18</v>
      </c>
      <c r="C9" s="126" t="str">
        <f>IF('P6'!G11="","",'P6'!G11)</f>
        <v>Sol Anette Waaler</v>
      </c>
      <c r="D9" s="116"/>
      <c r="E9" s="116"/>
      <c r="F9" s="117"/>
      <c r="G9" s="104" t="str">
        <f>IF(MAX(D9,E9,F9)&gt;0,MAX(D9,E9,F9),"")</f>
        <v/>
      </c>
      <c r="H9" s="119"/>
      <c r="I9" s="116"/>
      <c r="J9" s="116"/>
      <c r="K9" s="105" t="str">
        <f>IF(MAX(H9,I9,J9)&gt;0,MAX(H9,I9,J9),"")</f>
        <v/>
      </c>
      <c r="L9" s="121"/>
      <c r="M9" s="117"/>
      <c r="N9" s="105" t="str">
        <f>IF(MIN(L9,M9)&gt;0,MIN(L9,M9),"")</f>
        <v/>
      </c>
      <c r="O9" s="96"/>
      <c r="P9" s="97"/>
    </row>
    <row r="10" spans="1:16" ht="18" customHeight="1">
      <c r="B10" s="98"/>
      <c r="C10" s="125" t="str">
        <f>IF('P6'!G12="","",'P6'!G12)</f>
        <v>Trondheim AK</v>
      </c>
      <c r="D10" s="106"/>
      <c r="E10" s="106"/>
      <c r="F10" s="107"/>
      <c r="G10" s="99"/>
      <c r="H10" s="109"/>
      <c r="I10" s="106"/>
      <c r="J10" s="107"/>
      <c r="K10" s="100"/>
      <c r="L10" s="109"/>
      <c r="M10" s="107"/>
      <c r="N10" s="101"/>
      <c r="O10" s="102" t="str">
        <f>IF(SUM(L10:N10)&gt;0,SUM(L10:N10),"")</f>
        <v/>
      </c>
      <c r="P10" s="74"/>
    </row>
    <row r="11" spans="1:16" ht="18" customHeight="1">
      <c r="B11" s="103" t="str">
        <f>IF('P6'!D13="","",'P6'!D13)</f>
        <v>+18</v>
      </c>
      <c r="C11" s="126" t="str">
        <f>IF('P6'!G13="","",'P6'!G13)</f>
        <v>Zekiye C. Nyland</v>
      </c>
      <c r="D11" s="116"/>
      <c r="E11" s="116"/>
      <c r="F11" s="117"/>
      <c r="G11" s="104" t="str">
        <f>IF(MAX(D11,E11,F11)&gt;0,MAX(D11,E11,F11),"")</f>
        <v/>
      </c>
      <c r="H11" s="119"/>
      <c r="I11" s="116"/>
      <c r="J11" s="116"/>
      <c r="K11" s="105" t="str">
        <f>IF(MAX(H11,I11,J11)&gt;0,MAX(H11,I11,J11),"")</f>
        <v/>
      </c>
      <c r="L11" s="121"/>
      <c r="M11" s="117"/>
      <c r="N11" s="105" t="str">
        <f>IF(MIN(L11,M11)&gt;0,MIN(L11,M11),"")</f>
        <v/>
      </c>
      <c r="O11" s="96"/>
      <c r="P11" s="97"/>
    </row>
    <row r="12" spans="1:16" ht="18" customHeight="1">
      <c r="B12" s="98"/>
      <c r="C12" s="125" t="str">
        <f>IF('P6'!G14="","",'P6'!G14)</f>
        <v>Tysvær VK</v>
      </c>
      <c r="D12" s="106"/>
      <c r="E12" s="106"/>
      <c r="F12" s="107"/>
      <c r="G12" s="99"/>
      <c r="H12" s="109"/>
      <c r="I12" s="106"/>
      <c r="J12" s="107"/>
      <c r="K12" s="100"/>
      <c r="L12" s="109"/>
      <c r="M12" s="107"/>
      <c r="N12" s="101"/>
      <c r="O12" s="102" t="str">
        <f>IF(SUM(L12:N12)&gt;0,SUM(L12:N12),"")</f>
        <v/>
      </c>
      <c r="P12" s="74"/>
    </row>
    <row r="13" spans="1:16" ht="18" customHeight="1">
      <c r="B13" s="103" t="str">
        <f>IF('P6'!D15="","",'P6'!D15)</f>
        <v>+18</v>
      </c>
      <c r="C13" s="126" t="str">
        <f>IF('P6'!G15="","",'P6'!G15)</f>
        <v>Marie Mossige Grythe</v>
      </c>
      <c r="D13" s="116">
        <v>6.55</v>
      </c>
      <c r="E13" s="116">
        <v>7.24</v>
      </c>
      <c r="F13" s="117">
        <v>7.46</v>
      </c>
      <c r="G13" s="104">
        <f>IF(MAX(D13,E13,F13)&gt;0,MAX(D13,E13,F13),"")</f>
        <v>7.46</v>
      </c>
      <c r="H13" s="119">
        <v>7.4</v>
      </c>
      <c r="I13" s="116">
        <v>10</v>
      </c>
      <c r="J13" s="116">
        <v>12.33</v>
      </c>
      <c r="K13" s="105">
        <f>IF(MAX(H13,I13,J13)&gt;0,MAX(H13,I13,J13),"")</f>
        <v>12.33</v>
      </c>
      <c r="L13" s="121">
        <v>6.58</v>
      </c>
      <c r="M13" s="117">
        <v>6.59</v>
      </c>
      <c r="N13" s="105">
        <f>IF(MIN(L13,M13)&gt;0,MIN(L13,M13),"")</f>
        <v>6.58</v>
      </c>
      <c r="O13" s="96"/>
      <c r="P13" s="97"/>
    </row>
    <row r="14" spans="1:16" ht="18" customHeight="1">
      <c r="B14" s="98"/>
      <c r="C14" s="125" t="str">
        <f>IF('P6'!G16="","",'P6'!G16)</f>
        <v>Spydeberg Atletene</v>
      </c>
      <c r="D14" s="106"/>
      <c r="E14" s="106"/>
      <c r="F14" s="107"/>
      <c r="G14" s="99"/>
      <c r="H14" s="109"/>
      <c r="I14" s="106"/>
      <c r="J14" s="107"/>
      <c r="K14" s="100"/>
      <c r="L14" s="109"/>
      <c r="M14" s="107"/>
      <c r="N14" s="101"/>
      <c r="O14" s="102" t="str">
        <f>IF(SUM(L14:N14)&gt;0,SUM(L14:N14),"")</f>
        <v/>
      </c>
      <c r="P14" s="74"/>
    </row>
    <row r="15" spans="1:16" ht="18" customHeight="1">
      <c r="B15" s="103" t="str">
        <f>IF('P6'!D17="","",'P6'!D17)</f>
        <v>+18</v>
      </c>
      <c r="C15" s="126" t="str">
        <f>IF('P6'!G17="","",'P6'!G17)</f>
        <v>Marit Årdalsbakke</v>
      </c>
      <c r="D15" s="116">
        <v>7.1</v>
      </c>
      <c r="E15" s="116">
        <v>7.45</v>
      </c>
      <c r="F15" s="117">
        <v>7.63</v>
      </c>
      <c r="G15" s="104">
        <f>IF(MAX(D15,E15,F15)&gt;0,MAX(D15,E15,F15),"")</f>
        <v>7.63</v>
      </c>
      <c r="H15" s="119">
        <v>15.27</v>
      </c>
      <c r="I15" s="116">
        <v>14.88</v>
      </c>
      <c r="J15" s="116">
        <v>15.37</v>
      </c>
      <c r="K15" s="105">
        <f>IF(MAX(H15,I15,J15)&gt;0,MAX(H15,I15,J15),"")</f>
        <v>15.37</v>
      </c>
      <c r="L15" s="121">
        <v>6.73</v>
      </c>
      <c r="M15" s="116" t="s">
        <v>48</v>
      </c>
      <c r="N15" s="105">
        <f>IF(MIN(L15,M15)&gt;0,MIN(L15,M15),"")</f>
        <v>6.73</v>
      </c>
      <c r="O15" s="96"/>
      <c r="P15" s="97"/>
    </row>
    <row r="16" spans="1:16" ht="18" customHeight="1">
      <c r="B16" s="98"/>
      <c r="C16" s="125" t="str">
        <f>IF('P6'!G18="","",'P6'!G18)</f>
        <v>Tambarskjelvar IL</v>
      </c>
      <c r="D16" s="106"/>
      <c r="E16" s="106"/>
      <c r="F16" s="107"/>
      <c r="G16" s="99"/>
      <c r="H16" s="109"/>
      <c r="I16" s="106"/>
      <c r="J16" s="107"/>
      <c r="K16" s="100"/>
      <c r="L16" s="109"/>
      <c r="M16" s="107"/>
      <c r="N16" s="101"/>
      <c r="O16" s="102" t="str">
        <f>IF(SUM(L16:N16)&gt;0,SUM(L16:N16),"")</f>
        <v/>
      </c>
      <c r="P16" s="74"/>
    </row>
    <row r="17" spans="2:16" ht="18" customHeight="1">
      <c r="B17" s="103" t="str">
        <f>IF('P6'!D19="","",'P6'!D19)</f>
        <v>+18</v>
      </c>
      <c r="C17" s="126" t="str">
        <f>IF('P6'!G19="","",'P6'!G19)</f>
        <v>Marianne Hasfjord</v>
      </c>
      <c r="D17" s="116">
        <v>6.5</v>
      </c>
      <c r="E17" s="116">
        <v>6.54</v>
      </c>
      <c r="F17" s="117">
        <v>6.82</v>
      </c>
      <c r="G17" s="104">
        <f>IF(MAX(D17,E17,F17)&gt;0,MAX(D17,E17,F17),"")</f>
        <v>6.82</v>
      </c>
      <c r="H17" s="119">
        <v>13.96</v>
      </c>
      <c r="I17" s="116">
        <v>14.35</v>
      </c>
      <c r="J17" s="116">
        <v>13.3</v>
      </c>
      <c r="K17" s="105">
        <f>IF(MAX(H17,I17,J17)&gt;0,MAX(H17,I17,J17),"")</f>
        <v>14.35</v>
      </c>
      <c r="L17" s="121">
        <v>7.12</v>
      </c>
      <c r="M17" s="117">
        <v>7.14</v>
      </c>
      <c r="N17" s="105">
        <f>IF(MIN(L17,M17)&gt;0,MIN(L17,M17),"")</f>
        <v>7.12</v>
      </c>
      <c r="O17" s="96"/>
      <c r="P17" s="97"/>
    </row>
    <row r="18" spans="2:16" ht="18" customHeight="1">
      <c r="B18" s="98"/>
      <c r="C18" s="125" t="str">
        <f>IF('P6'!G20="","",'P6'!G20)</f>
        <v>AK Bjørgvin</v>
      </c>
      <c r="D18" s="106"/>
      <c r="E18" s="106"/>
      <c r="F18" s="107"/>
      <c r="G18" s="99"/>
      <c r="H18" s="109"/>
      <c r="I18" s="106"/>
      <c r="J18" s="107"/>
      <c r="K18" s="100"/>
      <c r="L18" s="109"/>
      <c r="M18" s="107"/>
      <c r="N18" s="101"/>
      <c r="O18" s="102" t="str">
        <f>IF(SUM(L18:N18)&gt;0,SUM(L18:N18),"")</f>
        <v/>
      </c>
      <c r="P18" s="74"/>
    </row>
    <row r="19" spans="2:16" ht="18" customHeight="1">
      <c r="B19" s="103" t="str">
        <f>IF('P6'!D21="","",'P6'!D21)</f>
        <v>+18</v>
      </c>
      <c r="C19" s="126" t="str">
        <f>IF('P6'!G21="","",'P6'!G21)</f>
        <v>Maren Fikse</v>
      </c>
      <c r="D19" s="116"/>
      <c r="E19" s="116"/>
      <c r="F19" s="117"/>
      <c r="G19" s="104" t="str">
        <f>IF(MAX(D19,E19,F19)&gt;0,MAX(D19,E19,F19),"")</f>
        <v/>
      </c>
      <c r="H19" s="119"/>
      <c r="I19" s="116"/>
      <c r="J19" s="116"/>
      <c r="K19" s="105" t="str">
        <f>IF(MAX(H19,I19,J19)&gt;0,MAX(H19,I19,J19),"")</f>
        <v/>
      </c>
      <c r="L19" s="121"/>
      <c r="M19" s="117"/>
      <c r="N19" s="105" t="str">
        <f>IF(MIN(L19,M19)&gt;0,MIN(L19,M19),"")</f>
        <v/>
      </c>
      <c r="O19" s="96"/>
      <c r="P19" s="97"/>
    </row>
    <row r="20" spans="2:16" ht="18" customHeight="1">
      <c r="B20" s="98"/>
      <c r="C20" s="125" t="str">
        <f>IF('P6'!G22="","",'P6'!G22)</f>
        <v>Gjøvik AK</v>
      </c>
      <c r="D20" s="106"/>
      <c r="E20" s="106"/>
      <c r="F20" s="107"/>
      <c r="G20" s="99"/>
      <c r="H20" s="109"/>
      <c r="I20" s="106"/>
      <c r="J20" s="107"/>
      <c r="K20" s="100"/>
      <c r="L20" s="109"/>
      <c r="M20" s="107"/>
      <c r="N20" s="101"/>
      <c r="O20" s="102" t="str">
        <f>IF(SUM(L20:N20)&gt;0,SUM(L20:N20),"")</f>
        <v/>
      </c>
      <c r="P20" s="74"/>
    </row>
    <row r="21" spans="2:16" ht="18" customHeight="1">
      <c r="B21" s="103" t="str">
        <f>IF('P6'!D23="","",'P6'!D23)</f>
        <v>+18</v>
      </c>
      <c r="C21" s="126" t="str">
        <f>IF('P6'!G23="","",'P6'!G23)</f>
        <v>Lone Kalland</v>
      </c>
      <c r="D21" s="116">
        <v>6.3</v>
      </c>
      <c r="E21" s="116">
        <v>6.74</v>
      </c>
      <c r="F21" s="117">
        <v>6.66</v>
      </c>
      <c r="G21" s="104">
        <f>IF(MAX(D21,E21,F21)&gt;0,MAX(D21,E21,F21),"")</f>
        <v>6.74</v>
      </c>
      <c r="H21" s="119">
        <v>13.79</v>
      </c>
      <c r="I21" s="116">
        <v>9.6999999999999993</v>
      </c>
      <c r="J21" s="116">
        <v>13.16</v>
      </c>
      <c r="K21" s="105">
        <f>IF(MAX(H21,I21,J21)&gt;0,MAX(H21,I21,J21),"")</f>
        <v>13.79</v>
      </c>
      <c r="L21" s="121">
        <v>7.79</v>
      </c>
      <c r="M21" s="117">
        <v>7.62</v>
      </c>
      <c r="N21" s="105">
        <f>IF(MIN(L21,M21)&gt;0,MIN(L21,M21),"")</f>
        <v>7.62</v>
      </c>
      <c r="O21" s="96"/>
      <c r="P21" s="97"/>
    </row>
    <row r="22" spans="2:16" ht="18" customHeight="1">
      <c r="B22" s="98"/>
      <c r="C22" s="125" t="str">
        <f>IF('P6'!G24="","",'P6'!G24)</f>
        <v>Tambarskjelvar IL</v>
      </c>
      <c r="D22" s="106"/>
      <c r="E22" s="106"/>
      <c r="F22" s="107"/>
      <c r="G22" s="108"/>
      <c r="H22" s="109"/>
      <c r="I22" s="106"/>
      <c r="J22" s="107"/>
      <c r="K22" s="110"/>
      <c r="L22" s="109"/>
      <c r="M22" s="107"/>
      <c r="N22" s="101"/>
      <c r="O22" s="102" t="str">
        <f>IF(SUM(L22:N22)&gt;0,SUM(L22:N22),"")</f>
        <v/>
      </c>
      <c r="P22" s="74"/>
    </row>
    <row r="23" spans="2:16" ht="18" customHeight="1">
      <c r="B23" s="103" t="str">
        <f>IF('P6'!D25="","",'P6'!D25)</f>
        <v/>
      </c>
      <c r="C23" s="126" t="str">
        <f>IF('P6'!G25="","",'P6'!G25)</f>
        <v/>
      </c>
      <c r="D23" s="116"/>
      <c r="E23" s="116"/>
      <c r="F23" s="117"/>
      <c r="G23" s="104" t="str">
        <f>IF(MAX(D23,E23,F23)&gt;0,MAX(D23,E23,F23),"")</f>
        <v/>
      </c>
      <c r="H23" s="119"/>
      <c r="I23" s="116"/>
      <c r="J23" s="116"/>
      <c r="K23" s="105" t="str">
        <f>IF(MAX(H23,I23,J23)&gt;0,MAX(H23,I23,J23),"")</f>
        <v/>
      </c>
      <c r="L23" s="121"/>
      <c r="M23" s="117"/>
      <c r="N23" s="105" t="str">
        <f>IF(MIN(L23,M23)&gt;0,MIN(L23,M23),"")</f>
        <v/>
      </c>
      <c r="O23" s="96"/>
      <c r="P23" s="97"/>
    </row>
    <row r="24" spans="2:16" ht="18" customHeight="1">
      <c r="B24" s="98"/>
      <c r="C24" s="125" t="str">
        <f>IF('P6'!G26="","",'P6'!G26)</f>
        <v/>
      </c>
      <c r="D24" s="106"/>
      <c r="E24" s="106"/>
      <c r="F24" s="107"/>
      <c r="G24" s="99"/>
      <c r="H24" s="109"/>
      <c r="I24" s="106"/>
      <c r="J24" s="107"/>
      <c r="K24" s="100"/>
      <c r="L24" s="109"/>
      <c r="M24" s="107"/>
      <c r="N24" s="101"/>
      <c r="O24" s="102" t="str">
        <f>IF(SUM(L24:N24)&gt;0,SUM(L24:N24),"")</f>
        <v/>
      </c>
      <c r="P24" s="74"/>
    </row>
    <row r="25" spans="2:16" ht="18" customHeight="1">
      <c r="B25" s="103" t="str">
        <f>IF('P6'!D27="","",'P6'!D27)</f>
        <v/>
      </c>
      <c r="C25" s="126" t="str">
        <f>IF('P6'!G27="","",'P6'!G27)</f>
        <v/>
      </c>
      <c r="D25" s="116"/>
      <c r="E25" s="116"/>
      <c r="F25" s="117"/>
      <c r="G25" s="104" t="str">
        <f>IF(MAX(D25,E25,F25)&gt;0,MAX(D25,E25,F25),"")</f>
        <v/>
      </c>
      <c r="H25" s="119"/>
      <c r="I25" s="116"/>
      <c r="J25" s="116"/>
      <c r="K25" s="105" t="str">
        <f>IF(MAX(H25,I25,J25)&gt;0,MAX(H25,I25,J25),"")</f>
        <v/>
      </c>
      <c r="L25" s="121"/>
      <c r="M25" s="117"/>
      <c r="N25" s="105" t="str">
        <f>IF(MIN(L25,M25)&gt;0,MIN(L25,M25),"")</f>
        <v/>
      </c>
      <c r="O25" s="96"/>
      <c r="P25" s="97"/>
    </row>
    <row r="26" spans="2:16" ht="18" customHeight="1">
      <c r="B26" s="98"/>
      <c r="C26" s="125" t="str">
        <f>IF('P6'!G28="","",'P6'!G28)</f>
        <v/>
      </c>
      <c r="D26" s="106"/>
      <c r="E26" s="106"/>
      <c r="F26" s="107"/>
      <c r="G26" s="99"/>
      <c r="H26" s="109"/>
      <c r="I26" s="106"/>
      <c r="J26" s="107"/>
      <c r="K26" s="100"/>
      <c r="L26" s="109"/>
      <c r="M26" s="107"/>
      <c r="N26" s="101"/>
      <c r="O26" s="102" t="str">
        <f>IF(SUM(L26:N26)&gt;0,SUM(L26:N26),"")</f>
        <v/>
      </c>
      <c r="P26" s="74"/>
    </row>
    <row r="27" spans="2:16" ht="18" customHeight="1">
      <c r="B27" s="103" t="str">
        <f>IF('P6'!D29="","",'P6'!D29)</f>
        <v/>
      </c>
      <c r="C27" s="126" t="str">
        <f>IF('P6'!G29="","",'P6'!G29)</f>
        <v/>
      </c>
      <c r="D27" s="116"/>
      <c r="E27" s="116"/>
      <c r="F27" s="117"/>
      <c r="G27" s="104" t="str">
        <f>IF(MAX(D27,E27,F27)&gt;0,MAX(D27,E27,F27),"")</f>
        <v/>
      </c>
      <c r="H27" s="119"/>
      <c r="I27" s="116"/>
      <c r="J27" s="116"/>
      <c r="K27" s="105" t="str">
        <f>IF(MAX(H27,I27,J27)&gt;0,MAX(H27,I27,J27),"")</f>
        <v/>
      </c>
      <c r="L27" s="121"/>
      <c r="M27" s="117"/>
      <c r="N27" s="105" t="str">
        <f>IF(MIN(L27,M27)&gt;0,MIN(L27,M27),"")</f>
        <v/>
      </c>
      <c r="O27" s="96"/>
      <c r="P27" s="97"/>
    </row>
    <row r="28" spans="2:16" ht="18" customHeight="1">
      <c r="B28" s="98"/>
      <c r="C28" s="125" t="str">
        <f>IF('P6'!G30="","",'P6'!G30)</f>
        <v/>
      </c>
      <c r="D28" s="106"/>
      <c r="E28" s="106"/>
      <c r="F28" s="107"/>
      <c r="G28" s="99"/>
      <c r="H28" s="109"/>
      <c r="I28" s="106"/>
      <c r="J28" s="107"/>
      <c r="K28" s="100"/>
      <c r="L28" s="122"/>
      <c r="M28" s="107"/>
      <c r="N28" s="101"/>
      <c r="O28" s="102" t="str">
        <f>IF(SUM(L28:N28)&gt;0,SUM(L28:N28),"")</f>
        <v/>
      </c>
      <c r="P28" s="74"/>
    </row>
    <row r="29" spans="2:16" ht="18" customHeight="1">
      <c r="B29" s="103" t="str">
        <f>IF('P6'!D31="","",'P6'!D31)</f>
        <v/>
      </c>
      <c r="C29" s="126" t="str">
        <f>IF('P6'!G31="","",'P6'!G31)</f>
        <v/>
      </c>
      <c r="D29" s="116"/>
      <c r="E29" s="116"/>
      <c r="F29" s="117"/>
      <c r="G29" s="104" t="str">
        <f>IF(MAX(D29,E29,F29)&gt;0,MAX(D29,E29,F29),"")</f>
        <v/>
      </c>
      <c r="H29" s="119"/>
      <c r="I29" s="116"/>
      <c r="J29" s="116"/>
      <c r="K29" s="105" t="str">
        <f>IF(MAX(H29,I29,J29)&gt;0,MAX(H29,I29,J29),"")</f>
        <v/>
      </c>
      <c r="L29" s="123"/>
      <c r="M29" s="117"/>
      <c r="N29" s="105" t="str">
        <f>IF(MIN(L29,M29)&gt;0,MIN(L29,M29),"")</f>
        <v/>
      </c>
      <c r="O29" s="96"/>
      <c r="P29" s="97"/>
    </row>
    <row r="30" spans="2:16" ht="18" customHeight="1">
      <c r="B30" s="98"/>
      <c r="C30" s="125" t="str">
        <f>IF('P6'!G32="","",'P6'!G32)</f>
        <v/>
      </c>
      <c r="D30" s="106"/>
      <c r="E30" s="106"/>
      <c r="F30" s="107"/>
      <c r="G30" s="111"/>
      <c r="H30" s="109"/>
      <c r="I30" s="106"/>
      <c r="J30" s="107"/>
      <c r="K30" s="108"/>
      <c r="L30" s="109"/>
      <c r="M30" s="107"/>
      <c r="N30" s="112"/>
      <c r="O30" s="102" t="str">
        <f>IF(SUM(L30:N30)&gt;0,SUM(L30:N30),"")</f>
        <v/>
      </c>
      <c r="P30" s="74"/>
    </row>
    <row r="31" spans="2:16">
      <c r="B31" s="113"/>
      <c r="C31" s="113"/>
    </row>
  </sheetData>
  <mergeCells count="9">
    <mergeCell ref="B4:N4"/>
    <mergeCell ref="D5:G5"/>
    <mergeCell ref="H5:K5"/>
    <mergeCell ref="L5:N5"/>
    <mergeCell ref="A1:N1"/>
    <mergeCell ref="A3:B3"/>
    <mergeCell ref="C3:D3"/>
    <mergeCell ref="F3:I3"/>
    <mergeCell ref="K3:L3"/>
  </mergeCells>
  <phoneticPr fontId="0" type="noConversion"/>
  <pageMargins left="0.27559055118110237" right="0.27559055118110237" top="0.27559055118110237" bottom="0.27559055118110237" header="0.51181102362204722" footer="0.51181102362204722"/>
  <pageSetup paperSize="9" fitToHeight="0" orientation="landscape" horizontalDpi="300" verticalDpi="300" copies="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31"/>
  <sheetViews>
    <sheetView showGridLines="0" showRowColHeaders="0" showZeros="0" workbookViewId="0">
      <selection activeCell="M19" sqref="M19"/>
    </sheetView>
  </sheetViews>
  <sheetFormatPr defaultColWidth="8.85546875" defaultRowHeight="12.95"/>
  <cols>
    <col min="1" max="1" width="5.5703125" customWidth="1"/>
    <col min="2" max="2" width="7.5703125" customWidth="1"/>
    <col min="3" max="3" width="27.5703125" customWidth="1"/>
    <col min="4" max="14" width="7.42578125" customWidth="1"/>
    <col min="15" max="15" width="9.42578125" customWidth="1"/>
    <col min="16" max="16" width="4.5703125" style="36" customWidth="1"/>
  </cols>
  <sheetData>
    <row r="1" spans="1:16" ht="23.1">
      <c r="A1" s="399" t="s">
        <v>78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15"/>
      <c r="P1" s="315"/>
    </row>
    <row r="2" spans="1:16" ht="15" customHeight="1">
      <c r="B2" s="75" t="s">
        <v>280</v>
      </c>
      <c r="C2" s="265" t="str">
        <f>IF('P2'!C5&gt;0,'P2'!C5,"")</f>
        <v>NM 5-kamp og Norges Cup 3. runde</v>
      </c>
      <c r="D2" s="265"/>
      <c r="E2" s="26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6">
      <c r="A3" s="400" t="s">
        <v>4</v>
      </c>
      <c r="B3" s="400"/>
      <c r="C3" s="401" t="str">
        <f>IF('P2'!J5&gt;0,'P2'!J5,"")</f>
        <v>Larvik AK</v>
      </c>
      <c r="D3" s="401"/>
      <c r="E3" s="77" t="s">
        <v>6</v>
      </c>
      <c r="F3" s="403" t="str">
        <f>IF('P2'!P5&gt;0,'P2'!P5,"")</f>
        <v>Stavernhallen</v>
      </c>
      <c r="G3" s="403"/>
      <c r="H3" s="403"/>
      <c r="I3" s="403"/>
      <c r="J3" s="261" t="s">
        <v>8</v>
      </c>
      <c r="K3" s="404">
        <f>IF('P2'!U5&gt;0,'P2'!U5,"")</f>
        <v>43358</v>
      </c>
      <c r="L3" s="404"/>
      <c r="M3" s="78" t="s">
        <v>9</v>
      </c>
      <c r="N3" s="131">
        <v>7</v>
      </c>
      <c r="O3" s="130"/>
      <c r="P3" s="79"/>
    </row>
    <row r="4" spans="1:16" ht="14.45" thickBot="1">
      <c r="B4" s="395" t="s">
        <v>284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78"/>
      <c r="P4" s="79"/>
    </row>
    <row r="5" spans="1:16" s="80" customFormat="1" ht="14.1">
      <c r="B5" s="81" t="s">
        <v>72</v>
      </c>
      <c r="C5" s="82" t="s">
        <v>15</v>
      </c>
      <c r="D5" s="396" t="s">
        <v>75</v>
      </c>
      <c r="E5" s="396"/>
      <c r="F5" s="396"/>
      <c r="G5" s="396"/>
      <c r="H5" s="397" t="s">
        <v>76</v>
      </c>
      <c r="I5" s="397"/>
      <c r="J5" s="397"/>
      <c r="K5" s="397"/>
      <c r="L5" s="398" t="s">
        <v>282</v>
      </c>
      <c r="M5" s="398"/>
      <c r="N5" s="398"/>
      <c r="O5" s="83"/>
      <c r="P5" s="84"/>
    </row>
    <row r="6" spans="1:16" ht="13.5" thickBot="1">
      <c r="B6" s="85" t="s">
        <v>79</v>
      </c>
      <c r="C6" s="86" t="s">
        <v>85</v>
      </c>
      <c r="D6" s="87">
        <v>1</v>
      </c>
      <c r="E6" s="87">
        <v>2</v>
      </c>
      <c r="F6" s="88">
        <v>3</v>
      </c>
      <c r="G6" s="89" t="s">
        <v>283</v>
      </c>
      <c r="H6" s="90">
        <v>1</v>
      </c>
      <c r="I6" s="87">
        <v>2</v>
      </c>
      <c r="J6" s="88">
        <v>3</v>
      </c>
      <c r="K6" s="89" t="s">
        <v>283</v>
      </c>
      <c r="L6" s="90">
        <v>1</v>
      </c>
      <c r="M6" s="88">
        <v>2</v>
      </c>
      <c r="N6" s="91" t="s">
        <v>283</v>
      </c>
      <c r="O6" s="92"/>
      <c r="P6" s="93"/>
    </row>
    <row r="7" spans="1:16" ht="18" customHeight="1">
      <c r="B7" s="94" t="str">
        <f>IF('P7'!D9="","",'P7'!D9)</f>
        <v>13-14</v>
      </c>
      <c r="C7" s="124" t="str">
        <f>IF('P7'!G9="","",'P7'!G9)</f>
        <v>Stefan Rønnevik</v>
      </c>
      <c r="D7" s="114">
        <v>6.42</v>
      </c>
      <c r="E7" s="114">
        <v>6.11</v>
      </c>
      <c r="F7" s="115">
        <v>6.44</v>
      </c>
      <c r="G7" s="95">
        <f>IF(MAX(D7,E7,F7)&gt;0,MAX(D7,E7,F7),"")</f>
        <v>6.44</v>
      </c>
      <c r="H7" s="118">
        <v>7.17</v>
      </c>
      <c r="I7" s="114">
        <v>7.08</v>
      </c>
      <c r="J7" s="114">
        <v>7.18</v>
      </c>
      <c r="K7" s="95">
        <f>IF(MAX(H7,I7,J7)&gt;0,MAX(H7,I7,J7),"")</f>
        <v>7.18</v>
      </c>
      <c r="L7" s="120">
        <v>7.67</v>
      </c>
      <c r="M7" s="115">
        <v>7.6</v>
      </c>
      <c r="N7" s="95">
        <f>IF(MIN(L7,M7)&gt;0,MIN(L7,M7),"")</f>
        <v>7.6</v>
      </c>
      <c r="O7" s="96"/>
      <c r="P7" s="97"/>
    </row>
    <row r="8" spans="1:16" ht="18" customHeight="1">
      <c r="B8" s="98"/>
      <c r="C8" s="125" t="str">
        <f>IF('P7'!G10="","",'P7'!G10)</f>
        <v>Tysvær VK</v>
      </c>
      <c r="D8" s="106"/>
      <c r="E8" s="106"/>
      <c r="F8" s="107"/>
      <c r="G8" s="99"/>
      <c r="H8" s="109"/>
      <c r="I8" s="106"/>
      <c r="J8" s="107"/>
      <c r="K8" s="100"/>
      <c r="L8" s="109"/>
      <c r="M8" s="107"/>
      <c r="N8" s="101"/>
      <c r="O8" s="102" t="str">
        <f>IF(SUM(L8:N8)&gt;0,SUM(L8:N8),"")</f>
        <v/>
      </c>
      <c r="P8" s="74"/>
    </row>
    <row r="9" spans="1:16" ht="18" customHeight="1">
      <c r="B9" s="103" t="str">
        <f>IF('P7'!D11="","",'P7'!D11)</f>
        <v>13-14</v>
      </c>
      <c r="C9" s="126" t="str">
        <f>IF('P7'!G11="","",'P7'!G11)</f>
        <v>Joachim Offman</v>
      </c>
      <c r="D9" s="116">
        <v>7.93</v>
      </c>
      <c r="E9" s="116">
        <v>7.66</v>
      </c>
      <c r="F9" s="117">
        <v>7.65</v>
      </c>
      <c r="G9" s="104">
        <f>IF(MAX(D9,E9,F9)&gt;0,MAX(D9,E9,F9),"")</f>
        <v>7.93</v>
      </c>
      <c r="H9" s="119">
        <v>11.18</v>
      </c>
      <c r="I9" s="116">
        <v>15.61</v>
      </c>
      <c r="J9" s="116">
        <v>13.07</v>
      </c>
      <c r="K9" s="105">
        <f>IF(MAX(H9,I9,J9)&gt;0,MAX(H9,I9,J9),"")</f>
        <v>15.61</v>
      </c>
      <c r="L9" s="121">
        <v>6.9</v>
      </c>
      <c r="M9" s="117">
        <v>6.75</v>
      </c>
      <c r="N9" s="105">
        <f>IF(MIN(L9,M9)&gt;0,MIN(L9,M9),"")</f>
        <v>6.75</v>
      </c>
      <c r="O9" s="96"/>
      <c r="P9" s="97"/>
    </row>
    <row r="10" spans="1:16" ht="18" customHeight="1">
      <c r="B10" s="98"/>
      <c r="C10" s="125" t="str">
        <f>IF('P7'!G12="","",'P7'!G12)</f>
        <v>Tambarskjelvar IL</v>
      </c>
      <c r="D10" s="106"/>
      <c r="E10" s="106"/>
      <c r="F10" s="107"/>
      <c r="G10" s="99"/>
      <c r="H10" s="109"/>
      <c r="I10" s="106"/>
      <c r="J10" s="107"/>
      <c r="K10" s="100"/>
      <c r="L10" s="109"/>
      <c r="M10" s="107"/>
      <c r="N10" s="101"/>
      <c r="O10" s="102" t="str">
        <f>IF(SUM(L10:N10)&gt;0,SUM(L10:N10),"")</f>
        <v/>
      </c>
      <c r="P10" s="74"/>
    </row>
    <row r="11" spans="1:16" ht="18" customHeight="1">
      <c r="B11" s="103" t="str">
        <f>IF('P7'!D13="","",'P7'!D13)</f>
        <v>13-14</v>
      </c>
      <c r="C11" s="126" t="str">
        <f>IF('P7'!G13="","",'P7'!G13)</f>
        <v>Kristen Røyseth</v>
      </c>
      <c r="D11" s="116">
        <v>7.85</v>
      </c>
      <c r="E11" s="116">
        <v>7.58</v>
      </c>
      <c r="F11" s="117">
        <v>7.36</v>
      </c>
      <c r="G11" s="104">
        <f>IF(MAX(D11,E11,F11)&gt;0,MAX(D11,E11,F11),"")</f>
        <v>7.85</v>
      </c>
      <c r="H11" s="119">
        <v>14.31</v>
      </c>
      <c r="I11" s="116">
        <v>15.03</v>
      </c>
      <c r="J11" s="116">
        <v>9.69</v>
      </c>
      <c r="K11" s="105">
        <f>IF(MAX(H11,I11,J11)&gt;0,MAX(H11,I11,J11),"")</f>
        <v>15.03</v>
      </c>
      <c r="L11" s="121">
        <v>6.98</v>
      </c>
      <c r="M11" s="117">
        <v>6.94</v>
      </c>
      <c r="N11" s="105">
        <f>IF(MIN(L11,M11)&gt;0,MIN(L11,M11),"")</f>
        <v>6.94</v>
      </c>
      <c r="O11" s="96"/>
      <c r="P11" s="97"/>
    </row>
    <row r="12" spans="1:16" ht="18" customHeight="1">
      <c r="B12" s="98"/>
      <c r="C12" s="125" t="str">
        <f>IF('P7'!G14="","",'P7'!G14)</f>
        <v>Tambarskjelvar IL</v>
      </c>
      <c r="D12" s="106"/>
      <c r="E12" s="106"/>
      <c r="F12" s="107"/>
      <c r="G12" s="99"/>
      <c r="H12" s="109"/>
      <c r="I12" s="106"/>
      <c r="J12" s="107"/>
      <c r="K12" s="100"/>
      <c r="L12" s="109"/>
      <c r="M12" s="107"/>
      <c r="N12" s="101"/>
      <c r="O12" s="102" t="str">
        <f>IF(SUM(L12:N12)&gt;0,SUM(L12:N12),"")</f>
        <v/>
      </c>
      <c r="P12" s="74"/>
    </row>
    <row r="13" spans="1:16" ht="18" customHeight="1">
      <c r="B13" s="103" t="str">
        <f>IF('P7'!D15="","",'P7'!D15)</f>
        <v>13-14</v>
      </c>
      <c r="C13" s="126" t="str">
        <f>IF('P7'!G15="","",'P7'!G15)</f>
        <v>Henrik Reiakvam</v>
      </c>
      <c r="D13" s="116">
        <v>7.81</v>
      </c>
      <c r="E13" s="116">
        <v>7.6</v>
      </c>
      <c r="F13" s="117">
        <v>7.85</v>
      </c>
      <c r="G13" s="104">
        <f>IF(MAX(D13,E13,F13)&gt;0,MAX(D13,E13,F13),"")</f>
        <v>7.85</v>
      </c>
      <c r="H13" s="119">
        <v>13.83</v>
      </c>
      <c r="I13" s="116">
        <v>14.51</v>
      </c>
      <c r="J13" s="116">
        <v>14.35</v>
      </c>
      <c r="K13" s="105">
        <f>IF(MAX(H13,I13,J13)&gt;0,MAX(H13,I13,J13),"")</f>
        <v>14.51</v>
      </c>
      <c r="L13" s="121">
        <v>6.82</v>
      </c>
      <c r="M13" s="117">
        <v>6.76</v>
      </c>
      <c r="N13" s="105">
        <f>IF(MIN(L13,M13)&gt;0,MIN(L13,M13),"")</f>
        <v>6.76</v>
      </c>
      <c r="O13" s="96"/>
      <c r="P13" s="97"/>
    </row>
    <row r="14" spans="1:16" ht="18" customHeight="1">
      <c r="B14" s="98"/>
      <c r="C14" s="125" t="str">
        <f>IF('P7'!G16="","",'P7'!G16)</f>
        <v>Tambarskjelvar IL</v>
      </c>
      <c r="D14" s="106"/>
      <c r="E14" s="106"/>
      <c r="F14" s="107"/>
      <c r="G14" s="99"/>
      <c r="H14" s="109"/>
      <c r="I14" s="106"/>
      <c r="J14" s="107"/>
      <c r="K14" s="100"/>
      <c r="L14" s="109"/>
      <c r="M14" s="107"/>
      <c r="N14" s="101"/>
      <c r="O14" s="102" t="str">
        <f>IF(SUM(L14:N14)&gt;0,SUM(L14:N14),"")</f>
        <v/>
      </c>
      <c r="P14" s="74"/>
    </row>
    <row r="15" spans="1:16" ht="18" customHeight="1">
      <c r="B15" s="103" t="str">
        <f>IF('P7'!D17="","",'P7'!D17)</f>
        <v>13-14</v>
      </c>
      <c r="C15" s="126" t="str">
        <f>IF('P7'!G17="","",'P7'!G17)</f>
        <v>Daniel Ravndal</v>
      </c>
      <c r="D15" s="116">
        <v>6.2</v>
      </c>
      <c r="E15" s="116">
        <v>6.29</v>
      </c>
      <c r="F15" s="117">
        <v>6.13</v>
      </c>
      <c r="G15" s="104">
        <f>IF(MAX(D15,E15,F15)&gt;0,MAX(D15,E15,F15),"")</f>
        <v>6.29</v>
      </c>
      <c r="H15" s="119">
        <v>9.65</v>
      </c>
      <c r="I15" s="116">
        <v>8.41</v>
      </c>
      <c r="J15" s="116">
        <v>8.9499999999999993</v>
      </c>
      <c r="K15" s="105">
        <f>IF(MAX(H15,I15,J15)&gt;0,MAX(H15,I15,J15),"")</f>
        <v>9.65</v>
      </c>
      <c r="L15" s="121">
        <v>8.42</v>
      </c>
      <c r="M15" s="117">
        <v>8.09</v>
      </c>
      <c r="N15" s="105">
        <f>IF(MIN(L15,M15)&gt;0,MIN(L15,M15),"")</f>
        <v>8.09</v>
      </c>
      <c r="O15" s="96"/>
      <c r="P15" s="97"/>
    </row>
    <row r="16" spans="1:16" ht="18" customHeight="1">
      <c r="B16" s="98"/>
      <c r="C16" s="125" t="str">
        <f>IF('P7'!G18="","",'P7'!G18)</f>
        <v>Tambarskjelvar IL</v>
      </c>
      <c r="D16" s="106"/>
      <c r="E16" s="106"/>
      <c r="F16" s="107"/>
      <c r="G16" s="99"/>
      <c r="H16" s="109"/>
      <c r="I16" s="106"/>
      <c r="J16" s="107"/>
      <c r="K16" s="100"/>
      <c r="L16" s="109"/>
      <c r="M16" s="107"/>
      <c r="N16" s="101"/>
      <c r="O16" s="102" t="str">
        <f>IF(SUM(L16:N16)&gt;0,SUM(L16:N16),"")</f>
        <v/>
      </c>
      <c r="P16" s="74"/>
    </row>
    <row r="17" spans="2:16" ht="18" customHeight="1">
      <c r="B17" s="103" t="str">
        <f>IF('P7'!D19="","",'P7'!D19)</f>
        <v>15-16</v>
      </c>
      <c r="C17" s="126" t="str">
        <f>IF('P7'!G19="","",'P7'!G19)</f>
        <v>Mats Hofstad</v>
      </c>
      <c r="D17" s="116">
        <v>7.77</v>
      </c>
      <c r="E17" s="116">
        <v>7.83</v>
      </c>
      <c r="F17" s="116" t="s">
        <v>48</v>
      </c>
      <c r="G17" s="104">
        <f>IF(MAX(D17,E17,F17)&gt;0,MAX(D17,E17,F17),"")</f>
        <v>7.83</v>
      </c>
      <c r="H17" s="119">
        <v>11.23</v>
      </c>
      <c r="I17" s="116">
        <v>12.62</v>
      </c>
      <c r="J17" s="116">
        <v>12.53</v>
      </c>
      <c r="K17" s="105">
        <f>IF(MAX(H17,I17,J17)&gt;0,MAX(H17,I17,J17),"")</f>
        <v>12.62</v>
      </c>
      <c r="L17" s="121">
        <v>6.74</v>
      </c>
      <c r="M17" s="117">
        <v>6.55</v>
      </c>
      <c r="N17" s="105">
        <f>IF(MIN(L17,M17)&gt;0,MIN(L17,M17),"")</f>
        <v>6.55</v>
      </c>
      <c r="O17" s="96"/>
      <c r="P17" s="97"/>
    </row>
    <row r="18" spans="2:16" ht="18" customHeight="1">
      <c r="B18" s="98"/>
      <c r="C18" s="125" t="str">
        <f>IF('P7'!G20="","",'P7'!G20)</f>
        <v>Trondheim AK</v>
      </c>
      <c r="D18" s="106"/>
      <c r="E18" s="106"/>
      <c r="F18" s="107"/>
      <c r="G18" s="99"/>
      <c r="H18" s="109"/>
      <c r="I18" s="106"/>
      <c r="J18" s="107"/>
      <c r="K18" s="100"/>
      <c r="L18" s="109"/>
      <c r="M18" s="107"/>
      <c r="N18" s="101"/>
      <c r="O18" s="102" t="str">
        <f>IF(SUM(L18:N18)&gt;0,SUM(L18:N18),"")</f>
        <v/>
      </c>
      <c r="P18" s="74"/>
    </row>
    <row r="19" spans="2:16" ht="18" customHeight="1">
      <c r="B19" s="103" t="str">
        <f>IF('P7'!D21="","",'P7'!D21)</f>
        <v>15-16</v>
      </c>
      <c r="C19" s="126" t="str">
        <f>IF('P7'!G21="","",'P7'!G21)</f>
        <v>Anders Vik</v>
      </c>
      <c r="D19" s="116">
        <v>8.23</v>
      </c>
      <c r="E19" s="116">
        <v>8.0399999999999991</v>
      </c>
      <c r="F19" s="117">
        <v>8.17</v>
      </c>
      <c r="G19" s="104">
        <f>IF(MAX(D19,E19,F19)&gt;0,MAX(D19,E19,F19),"")</f>
        <v>8.23</v>
      </c>
      <c r="H19" s="119">
        <v>16.5</v>
      </c>
      <c r="I19" s="116">
        <v>16.23</v>
      </c>
      <c r="J19" s="116">
        <v>16.420000000000002</v>
      </c>
      <c r="K19" s="105">
        <f>IF(MAX(H19,I19,J19)&gt;0,MAX(H19,I19,J19),"")</f>
        <v>16.5</v>
      </c>
      <c r="L19" s="121">
        <v>6.39</v>
      </c>
      <c r="M19" s="117">
        <v>6.44</v>
      </c>
      <c r="N19" s="105">
        <f>IF(MIN(L19,M19)&gt;0,MIN(L19,M19),"")</f>
        <v>6.39</v>
      </c>
      <c r="O19" s="96"/>
      <c r="P19" s="97"/>
    </row>
    <row r="20" spans="2:16" ht="18" customHeight="1">
      <c r="B20" s="98"/>
      <c r="C20" s="125" t="str">
        <f>IF('P7'!G22="","",'P7'!G22)</f>
        <v>AK Bjørgvin</v>
      </c>
      <c r="D20" s="106"/>
      <c r="E20" s="106"/>
      <c r="F20" s="107"/>
      <c r="G20" s="99"/>
      <c r="H20" s="109"/>
      <c r="I20" s="106"/>
      <c r="J20" s="107"/>
      <c r="K20" s="100"/>
      <c r="L20" s="109"/>
      <c r="M20" s="107"/>
      <c r="N20" s="101"/>
      <c r="O20" s="102" t="str">
        <f>IF(SUM(L20:N20)&gt;0,SUM(L20:N20),"")</f>
        <v/>
      </c>
      <c r="P20" s="74"/>
    </row>
    <row r="21" spans="2:16" ht="18" customHeight="1">
      <c r="B21" s="103" t="str">
        <f>IF('P7'!D23="","",'P7'!D23)</f>
        <v>15-16</v>
      </c>
      <c r="C21" s="126" t="str">
        <f>IF('P7'!G23="","",'P7'!G23)</f>
        <v>Dennis Lauritsen</v>
      </c>
      <c r="D21" s="116">
        <v>7.17</v>
      </c>
      <c r="E21" s="116">
        <v>6.97</v>
      </c>
      <c r="F21" s="117">
        <v>6.79</v>
      </c>
      <c r="G21" s="104">
        <f>IF(MAX(D21,E21,F21)&gt;0,MAX(D21,E21,F21),"")</f>
        <v>7.17</v>
      </c>
      <c r="H21" s="119">
        <v>14.28</v>
      </c>
      <c r="I21" s="116">
        <v>13.31</v>
      </c>
      <c r="J21" s="116">
        <v>11.37</v>
      </c>
      <c r="K21" s="105">
        <f>IF(MAX(H21,I21,J21)&gt;0,MAX(H21,I21,J21),"")</f>
        <v>14.28</v>
      </c>
      <c r="L21" s="121">
        <v>7.05</v>
      </c>
      <c r="M21" s="117">
        <v>7.1</v>
      </c>
      <c r="N21" s="105">
        <f>IF(MIN(L21,M21)&gt;0,MIN(L21,M21),"")</f>
        <v>7.05</v>
      </c>
      <c r="O21" s="96"/>
      <c r="P21" s="97"/>
    </row>
    <row r="22" spans="2:16" ht="18" customHeight="1">
      <c r="B22" s="98"/>
      <c r="C22" s="125" t="str">
        <f>IF('P7'!G24="","",'P7'!G24)</f>
        <v>Larvik AK</v>
      </c>
      <c r="D22" s="106"/>
      <c r="E22" s="106"/>
      <c r="F22" s="107"/>
      <c r="G22" s="108"/>
      <c r="H22" s="109"/>
      <c r="I22" s="106"/>
      <c r="J22" s="107"/>
      <c r="K22" s="110"/>
      <c r="L22" s="109"/>
      <c r="M22" s="107"/>
      <c r="N22" s="101"/>
      <c r="O22" s="102" t="str">
        <f>IF(SUM(L22:N22)&gt;0,SUM(L22:N22),"")</f>
        <v/>
      </c>
      <c r="P22" s="74"/>
    </row>
    <row r="23" spans="2:16" ht="18" customHeight="1">
      <c r="B23" s="103" t="str">
        <f>IF('P7'!D25="","",'P7'!D25)</f>
        <v>15-16</v>
      </c>
      <c r="C23" s="126" t="str">
        <f>IF('P7'!G25="","",'P7'!G25)</f>
        <v>Hans Gunnar Kvadsheim</v>
      </c>
      <c r="D23" s="116">
        <v>7.21</v>
      </c>
      <c r="E23" s="116">
        <v>7.22</v>
      </c>
      <c r="F23" s="117">
        <v>7.27</v>
      </c>
      <c r="G23" s="104">
        <f>IF(MAX(D23,E23,F23)&gt;0,MAX(D23,E23,F23),"")</f>
        <v>7.27</v>
      </c>
      <c r="H23" s="119">
        <v>14.03</v>
      </c>
      <c r="I23" s="116">
        <v>13.48</v>
      </c>
      <c r="J23" s="116">
        <v>13.98</v>
      </c>
      <c r="K23" s="105">
        <f>IF(MAX(H23,I23,J23)&gt;0,MAX(H23,I23,J23),"")</f>
        <v>14.03</v>
      </c>
      <c r="L23" s="121">
        <v>7.17</v>
      </c>
      <c r="M23" s="117">
        <v>7.17</v>
      </c>
      <c r="N23" s="105">
        <f>IF(MIN(L23,M23)&gt;0,MIN(L23,M23),"")</f>
        <v>7.17</v>
      </c>
      <c r="O23" s="96"/>
      <c r="P23" s="97"/>
    </row>
    <row r="24" spans="2:16" ht="18" customHeight="1">
      <c r="B24" s="98"/>
      <c r="C24" s="125" t="str">
        <f>IF('P7'!G26="","",'P7'!G26)</f>
        <v>Vigrestad IK</v>
      </c>
      <c r="D24" s="106"/>
      <c r="E24" s="106"/>
      <c r="F24" s="107"/>
      <c r="G24" s="99"/>
      <c r="H24" s="109"/>
      <c r="I24" s="106"/>
      <c r="J24" s="107"/>
      <c r="K24" s="100"/>
      <c r="L24" s="109"/>
      <c r="M24" s="107"/>
      <c r="N24" s="101"/>
      <c r="O24" s="102" t="str">
        <f>IF(SUM(L24:N24)&gt;0,SUM(L24:N24),"")</f>
        <v/>
      </c>
      <c r="P24" s="74"/>
    </row>
    <row r="25" spans="2:16" ht="18" customHeight="1">
      <c r="B25" s="103" t="str">
        <f>IF('P7'!D27="","",'P7'!D27)</f>
        <v>15-16</v>
      </c>
      <c r="C25" s="126" t="str">
        <f>IF('P7'!G27="","",'P7'!G27)</f>
        <v>Mathias Dale</v>
      </c>
      <c r="D25" s="116">
        <v>7.08</v>
      </c>
      <c r="E25" s="116">
        <v>7.1</v>
      </c>
      <c r="F25" s="117">
        <v>7.31</v>
      </c>
      <c r="G25" s="104">
        <f>IF(MAX(D25,E25,F25)&gt;0,MAX(D25,E25,F25),"")</f>
        <v>7.31</v>
      </c>
      <c r="H25" s="119">
        <v>12.25</v>
      </c>
      <c r="I25" s="116">
        <v>13.12</v>
      </c>
      <c r="J25" s="116">
        <v>13.6</v>
      </c>
      <c r="K25" s="105">
        <f>IF(MAX(H25,I25,J25)&gt;0,MAX(H25,I25,J25),"")</f>
        <v>13.6</v>
      </c>
      <c r="L25" s="121">
        <v>7.02</v>
      </c>
      <c r="M25" s="117">
        <v>7.05</v>
      </c>
      <c r="N25" s="105">
        <f>IF(MIN(L25,M25)&gt;0,MIN(L25,M25),"")</f>
        <v>7.02</v>
      </c>
      <c r="O25" s="96"/>
      <c r="P25" s="97"/>
    </row>
    <row r="26" spans="2:16" ht="18" customHeight="1">
      <c r="B26" s="98"/>
      <c r="C26" s="125" t="str">
        <f>IF('P7'!G28="","",'P7'!G28)</f>
        <v>Breimsbygda IL</v>
      </c>
      <c r="D26" s="106"/>
      <c r="E26" s="106"/>
      <c r="F26" s="107"/>
      <c r="G26" s="99"/>
      <c r="H26" s="109"/>
      <c r="I26" s="106"/>
      <c r="J26" s="107"/>
      <c r="K26" s="100"/>
      <c r="L26" s="109"/>
      <c r="M26" s="107"/>
      <c r="N26" s="101"/>
      <c r="O26" s="102" t="str">
        <f>IF(SUM(L26:N26)&gt;0,SUM(L26:N26),"")</f>
        <v/>
      </c>
      <c r="P26" s="74"/>
    </row>
    <row r="27" spans="2:16" ht="18" customHeight="1">
      <c r="B27" s="103" t="str">
        <f>IF('P7'!D29="","",'P7'!D29)</f>
        <v/>
      </c>
      <c r="C27" s="126" t="str">
        <f>IF('P7'!G29="","",'P7'!G29)</f>
        <v/>
      </c>
      <c r="D27" s="116"/>
      <c r="E27" s="116"/>
      <c r="F27" s="117"/>
      <c r="G27" s="104" t="str">
        <f>IF(MAX(D27,E27,F27)&gt;0,MAX(D27,E27,F27),"")</f>
        <v/>
      </c>
      <c r="H27" s="119"/>
      <c r="I27" s="116"/>
      <c r="J27" s="116"/>
      <c r="K27" s="105" t="str">
        <f>IF(MAX(H27,I27,J27)&gt;0,MAX(H27,I27,J27),"")</f>
        <v/>
      </c>
      <c r="L27" s="121"/>
      <c r="M27" s="117"/>
      <c r="N27" s="105" t="str">
        <f>IF(MIN(L27,M27)&gt;0,MIN(L27,M27),"")</f>
        <v/>
      </c>
      <c r="O27" s="96"/>
      <c r="P27" s="97"/>
    </row>
    <row r="28" spans="2:16" ht="18" customHeight="1">
      <c r="B28" s="98"/>
      <c r="C28" s="125" t="str">
        <f>IF('P7'!G30="","",'P7'!G30)</f>
        <v/>
      </c>
      <c r="D28" s="106"/>
      <c r="E28" s="106"/>
      <c r="F28" s="107"/>
      <c r="G28" s="99"/>
      <c r="H28" s="109"/>
      <c r="I28" s="106"/>
      <c r="J28" s="107"/>
      <c r="K28" s="100"/>
      <c r="L28" s="122"/>
      <c r="M28" s="107"/>
      <c r="N28" s="101"/>
      <c r="O28" s="102" t="str">
        <f>IF(SUM(L28:N28)&gt;0,SUM(L28:N28),"")</f>
        <v/>
      </c>
      <c r="P28" s="74"/>
    </row>
    <row r="29" spans="2:16" ht="18" customHeight="1">
      <c r="B29" s="103" t="str">
        <f>IF('P7'!D31="","",'P7'!D31)</f>
        <v/>
      </c>
      <c r="C29" s="126" t="str">
        <f>IF('P7'!G31="","",'P7'!G31)</f>
        <v/>
      </c>
      <c r="D29" s="116"/>
      <c r="E29" s="116"/>
      <c r="F29" s="117"/>
      <c r="G29" s="104" t="str">
        <f>IF(MAX(D29,E29,F29)&gt;0,MAX(D29,E29,F29),"")</f>
        <v/>
      </c>
      <c r="H29" s="119"/>
      <c r="I29" s="116"/>
      <c r="J29" s="116"/>
      <c r="K29" s="105" t="str">
        <f>IF(MAX(H29,I29,J29)&gt;0,MAX(H29,I29,J29),"")</f>
        <v/>
      </c>
      <c r="L29" s="123"/>
      <c r="M29" s="117"/>
      <c r="N29" s="105" t="str">
        <f>IF(MIN(L29,M29)&gt;0,MIN(L29,M29),"")</f>
        <v/>
      </c>
      <c r="O29" s="96"/>
      <c r="P29" s="97"/>
    </row>
    <row r="30" spans="2:16" ht="18" customHeight="1">
      <c r="B30" s="98"/>
      <c r="C30" s="125" t="str">
        <f>IF('P7'!G32="","",'P7'!G32)</f>
        <v/>
      </c>
      <c r="D30" s="106"/>
      <c r="E30" s="106"/>
      <c r="F30" s="107"/>
      <c r="G30" s="111"/>
      <c r="H30" s="109"/>
      <c r="I30" s="106"/>
      <c r="J30" s="107"/>
      <c r="K30" s="108"/>
      <c r="L30" s="109"/>
      <c r="M30" s="107"/>
      <c r="N30" s="112"/>
      <c r="O30" s="102" t="str">
        <f>IF(SUM(L30:N30)&gt;0,SUM(L30:N30),"")</f>
        <v/>
      </c>
      <c r="P30" s="74"/>
    </row>
    <row r="31" spans="2:16">
      <c r="B31" s="113"/>
      <c r="C31" s="113"/>
    </row>
  </sheetData>
  <mergeCells count="9">
    <mergeCell ref="B4:N4"/>
    <mergeCell ref="D5:G5"/>
    <mergeCell ref="H5:K5"/>
    <mergeCell ref="L5:N5"/>
    <mergeCell ref="A1:N1"/>
    <mergeCell ref="A3:B3"/>
    <mergeCell ref="C3:D3"/>
    <mergeCell ref="F3:I3"/>
    <mergeCell ref="K3:L3"/>
  </mergeCells>
  <pageMargins left="0.27559055118110237" right="0.27559055118110237" top="0.27559055118110237" bottom="0.27559055118110237" header="0.51181102362204722" footer="0.51181102362204722"/>
  <pageSetup paperSize="9" fitToHeight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P31"/>
  <sheetViews>
    <sheetView showGridLines="0" showRowColHeaders="0" showZeros="0" workbookViewId="0">
      <selection activeCell="N19" sqref="N19"/>
    </sheetView>
  </sheetViews>
  <sheetFormatPr defaultColWidth="8.85546875" defaultRowHeight="12.95"/>
  <cols>
    <col min="1" max="1" width="5.5703125" customWidth="1"/>
    <col min="2" max="2" width="7.5703125" customWidth="1"/>
    <col min="3" max="3" width="27.5703125" customWidth="1"/>
    <col min="4" max="14" width="7.42578125" customWidth="1"/>
    <col min="15" max="15" width="9.42578125" customWidth="1"/>
    <col min="16" max="16" width="4.5703125" style="36" customWidth="1"/>
  </cols>
  <sheetData>
    <row r="1" spans="1:16" ht="23.1">
      <c r="A1" s="399" t="s">
        <v>78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15"/>
      <c r="P1" s="315"/>
    </row>
    <row r="2" spans="1:16" ht="15" customHeight="1">
      <c r="B2" s="75" t="s">
        <v>280</v>
      </c>
      <c r="C2" s="265" t="str">
        <f>IF('P2'!C5&gt;0,'P2'!C5,"")</f>
        <v>NM 5-kamp og Norges Cup 3. runde</v>
      </c>
      <c r="D2" s="265"/>
      <c r="E2" s="26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6">
      <c r="A3" s="400" t="s">
        <v>4</v>
      </c>
      <c r="B3" s="400"/>
      <c r="C3" s="401" t="str">
        <f>IF('P2'!J5&gt;0,'P2'!J5,"")</f>
        <v>Larvik AK</v>
      </c>
      <c r="D3" s="401"/>
      <c r="E3" s="77" t="s">
        <v>6</v>
      </c>
      <c r="F3" s="403" t="str">
        <f>IF('P2'!P5&gt;0,'P2'!P5,"")</f>
        <v>Stavernhallen</v>
      </c>
      <c r="G3" s="403"/>
      <c r="H3" s="403"/>
      <c r="I3" s="403"/>
      <c r="J3" s="261" t="s">
        <v>8</v>
      </c>
      <c r="K3" s="404">
        <f>IF('P2'!U5&gt;0,'P2'!U5,"")</f>
        <v>43358</v>
      </c>
      <c r="L3" s="404"/>
      <c r="M3" s="78" t="s">
        <v>9</v>
      </c>
      <c r="N3" s="131">
        <v>8</v>
      </c>
      <c r="O3" s="130"/>
      <c r="P3" s="79"/>
    </row>
    <row r="4" spans="1:16" ht="14.45" thickBot="1">
      <c r="B4" s="395" t="s">
        <v>284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78"/>
      <c r="P4" s="79"/>
    </row>
    <row r="5" spans="1:16" s="80" customFormat="1" ht="14.1">
      <c r="B5" s="81" t="s">
        <v>72</v>
      </c>
      <c r="C5" s="82" t="s">
        <v>15</v>
      </c>
      <c r="D5" s="396" t="s">
        <v>75</v>
      </c>
      <c r="E5" s="396"/>
      <c r="F5" s="396"/>
      <c r="G5" s="396"/>
      <c r="H5" s="397" t="s">
        <v>76</v>
      </c>
      <c r="I5" s="397"/>
      <c r="J5" s="397"/>
      <c r="K5" s="397"/>
      <c r="L5" s="398" t="s">
        <v>282</v>
      </c>
      <c r="M5" s="398"/>
      <c r="N5" s="398"/>
      <c r="O5" s="83"/>
      <c r="P5" s="84"/>
    </row>
    <row r="6" spans="1:16" ht="13.5" thickBot="1">
      <c r="B6" s="85" t="s">
        <v>79</v>
      </c>
      <c r="C6" s="86" t="s">
        <v>85</v>
      </c>
      <c r="D6" s="87">
        <v>1</v>
      </c>
      <c r="E6" s="87">
        <v>2</v>
      </c>
      <c r="F6" s="88">
        <v>3</v>
      </c>
      <c r="G6" s="89" t="s">
        <v>283</v>
      </c>
      <c r="H6" s="90">
        <v>1</v>
      </c>
      <c r="I6" s="87">
        <v>2</v>
      </c>
      <c r="J6" s="88">
        <v>3</v>
      </c>
      <c r="K6" s="89" t="s">
        <v>283</v>
      </c>
      <c r="L6" s="90">
        <v>1</v>
      </c>
      <c r="M6" s="88">
        <v>2</v>
      </c>
      <c r="N6" s="91" t="s">
        <v>283</v>
      </c>
      <c r="O6" s="92"/>
      <c r="P6" s="93"/>
    </row>
    <row r="7" spans="1:16" ht="18" customHeight="1">
      <c r="B7" s="94" t="str">
        <f>IF('P8'!D9="","",'P8'!D9)</f>
        <v>17-18</v>
      </c>
      <c r="C7" s="124" t="str">
        <f>IF('P8'!G9="","",'P8'!G9)</f>
        <v>Remy Aune</v>
      </c>
      <c r="D7" s="114">
        <v>7.32</v>
      </c>
      <c r="E7" s="114">
        <v>7.43</v>
      </c>
      <c r="F7" s="115">
        <v>7.36</v>
      </c>
      <c r="G7" s="95">
        <f>IF(MAX(D7,E7,F7)&gt;0,MAX(D7,E7,F7),"")</f>
        <v>7.43</v>
      </c>
      <c r="H7" s="118">
        <v>10.81</v>
      </c>
      <c r="I7" s="114">
        <v>10.85</v>
      </c>
      <c r="J7" s="114">
        <v>8.68</v>
      </c>
      <c r="K7" s="95">
        <f>IF(MAX(H7,I7,J7)&gt;0,MAX(H7,I7,J7),"")</f>
        <v>10.85</v>
      </c>
      <c r="L7" s="120">
        <v>6.7</v>
      </c>
      <c r="M7" s="115">
        <v>6.69</v>
      </c>
      <c r="N7" s="95">
        <f>IF(MIN(L7,M7)&gt;0,MIN(L7,M7),"")</f>
        <v>6.69</v>
      </c>
      <c r="O7" s="96"/>
      <c r="P7" s="97"/>
    </row>
    <row r="8" spans="1:16" ht="18" customHeight="1">
      <c r="B8" s="98"/>
      <c r="C8" s="267" t="str">
        <f>IF('P8'!G10="","",'P8'!G10)</f>
        <v>Hitra VK</v>
      </c>
      <c r="D8" s="106"/>
      <c r="E8" s="106"/>
      <c r="F8" s="107"/>
      <c r="G8" s="99"/>
      <c r="H8" s="109"/>
      <c r="I8" s="106"/>
      <c r="J8" s="107"/>
      <c r="K8" s="100"/>
      <c r="L8" s="109"/>
      <c r="M8" s="107"/>
      <c r="N8" s="101"/>
      <c r="O8" s="102" t="str">
        <f>IF(SUM(L8:N8)&gt;0,SUM(L8:N8),"")</f>
        <v/>
      </c>
      <c r="P8" s="74"/>
    </row>
    <row r="9" spans="1:16" ht="18" customHeight="1">
      <c r="B9" s="103" t="str">
        <f>IF('P8'!D11="","",'P8'!D11)</f>
        <v>17-18</v>
      </c>
      <c r="C9" s="268" t="str">
        <f>IF('P8'!G11="","",'P8'!G11)</f>
        <v>Marcus Bratli</v>
      </c>
      <c r="D9" s="116"/>
      <c r="E9" s="116"/>
      <c r="F9" s="117"/>
      <c r="G9" s="104" t="str">
        <f>IF(MAX(D9,E9,F9)&gt;0,MAX(D9,E9,F9),"")</f>
        <v/>
      </c>
      <c r="H9" s="119"/>
      <c r="I9" s="116"/>
      <c r="J9" s="116"/>
      <c r="K9" s="105" t="str">
        <f>IF(MAX(H9,I9,J9)&gt;0,MAX(H9,I9,J9),"")</f>
        <v/>
      </c>
      <c r="L9" s="121"/>
      <c r="M9" s="117"/>
      <c r="N9" s="105" t="str">
        <f>IF(MIN(L9,M9)&gt;0,MIN(L9,M9),"")</f>
        <v/>
      </c>
      <c r="O9" s="96"/>
      <c r="P9" s="97"/>
    </row>
    <row r="10" spans="1:16" ht="18" customHeight="1">
      <c r="B10" s="98"/>
      <c r="C10" s="267" t="str">
        <f>IF('P8'!G12="","",'P8'!G12)</f>
        <v>AK Bjørgvin</v>
      </c>
      <c r="D10" s="106"/>
      <c r="E10" s="106"/>
      <c r="F10" s="107"/>
      <c r="G10" s="99"/>
      <c r="H10" s="109"/>
      <c r="I10" s="106"/>
      <c r="J10" s="107"/>
      <c r="K10" s="100"/>
      <c r="L10" s="109"/>
      <c r="M10" s="107"/>
      <c r="N10" s="101"/>
      <c r="O10" s="102" t="str">
        <f>IF(SUM(L10:N10)&gt;0,SUM(L10:N10),"")</f>
        <v/>
      </c>
      <c r="P10" s="74"/>
    </row>
    <row r="11" spans="1:16" ht="18" customHeight="1">
      <c r="B11" s="103" t="str">
        <f>IF('P8'!D13="","",'P8'!D13)</f>
        <v>17-18</v>
      </c>
      <c r="C11" s="268" t="str">
        <f>IF('P8'!G13="","",'P8'!G13)</f>
        <v>Aron Süssmann</v>
      </c>
      <c r="D11" s="116">
        <v>7.53</v>
      </c>
      <c r="E11" s="116">
        <v>7.42</v>
      </c>
      <c r="F11" s="116" t="s">
        <v>48</v>
      </c>
      <c r="G11" s="104">
        <f>IF(MAX(D11,E11,F11)&gt;0,MAX(D11,E11,F11),"")</f>
        <v>7.53</v>
      </c>
      <c r="H11" s="119">
        <v>11.05</v>
      </c>
      <c r="I11" s="116">
        <v>10.82</v>
      </c>
      <c r="J11" s="116">
        <v>7.6</v>
      </c>
      <c r="K11" s="105">
        <f>IF(MAX(H11,I11,J11)&gt;0,MAX(H11,I11,J11),"")</f>
        <v>11.05</v>
      </c>
      <c r="L11" s="121">
        <v>7.23</v>
      </c>
      <c r="M11" s="117">
        <v>7.12</v>
      </c>
      <c r="N11" s="105">
        <f>IF(MIN(L11,M11)&gt;0,MIN(L11,M11),"")</f>
        <v>7.12</v>
      </c>
      <c r="O11" s="96"/>
      <c r="P11" s="97"/>
    </row>
    <row r="12" spans="1:16" ht="18" customHeight="1">
      <c r="B12" s="98"/>
      <c r="C12" s="267" t="str">
        <f>IF('P8'!G14="","",'P8'!G14)</f>
        <v>Stavanger VK</v>
      </c>
      <c r="D12" s="106"/>
      <c r="E12" s="106"/>
      <c r="F12" s="107"/>
      <c r="G12" s="99"/>
      <c r="H12" s="109"/>
      <c r="I12" s="106"/>
      <c r="J12" s="107"/>
      <c r="K12" s="100"/>
      <c r="L12" s="109"/>
      <c r="M12" s="107"/>
      <c r="N12" s="101"/>
      <c r="O12" s="102" t="str">
        <f>IF(SUM(L12:N12)&gt;0,SUM(L12:N12),"")</f>
        <v/>
      </c>
      <c r="P12" s="74"/>
    </row>
    <row r="13" spans="1:16" ht="18" customHeight="1">
      <c r="B13" s="103" t="str">
        <f>IF('P8'!D15="","",'P8'!D15)</f>
        <v>17-18</v>
      </c>
      <c r="C13" s="268" t="str">
        <f>IF('P8'!G15="","",'P8'!G15)</f>
        <v>Robert Andre Moldestad</v>
      </c>
      <c r="D13" s="116">
        <v>8.49</v>
      </c>
      <c r="E13" s="116">
        <v>8.6999999999999993</v>
      </c>
      <c r="F13" s="117">
        <v>8.76</v>
      </c>
      <c r="G13" s="104">
        <f>IF(MAX(D13,E13,F13)&gt;0,MAX(D13,E13,F13),"")</f>
        <v>8.76</v>
      </c>
      <c r="H13" s="119">
        <v>13.95</v>
      </c>
      <c r="I13" s="116">
        <v>14.4</v>
      </c>
      <c r="J13" s="116">
        <v>14.33</v>
      </c>
      <c r="K13" s="105">
        <f>IF(MAX(H13,I13,J13)&gt;0,MAX(H13,I13,J13),"")</f>
        <v>14.4</v>
      </c>
      <c r="L13" s="121">
        <v>5.89</v>
      </c>
      <c r="M13" s="117">
        <v>5.92</v>
      </c>
      <c r="N13" s="105">
        <f>IF(MIN(L13,M13)&gt;0,MIN(L13,M13),"")</f>
        <v>5.89</v>
      </c>
      <c r="O13" s="96"/>
      <c r="P13" s="97"/>
    </row>
    <row r="14" spans="1:16" ht="18" customHeight="1">
      <c r="B14" s="98"/>
      <c r="C14" s="267" t="str">
        <f>IF('P8'!G16="","",'P8'!G16)</f>
        <v>Breimsbygda IL</v>
      </c>
      <c r="D14" s="106"/>
      <c r="E14" s="106"/>
      <c r="F14" s="107"/>
      <c r="G14" s="99"/>
      <c r="H14" s="109"/>
      <c r="I14" s="106"/>
      <c r="J14" s="107"/>
      <c r="K14" s="100"/>
      <c r="L14" s="109"/>
      <c r="M14" s="107"/>
      <c r="N14" s="101"/>
      <c r="O14" s="102" t="str">
        <f>IF(SUM(L14:N14)&gt;0,SUM(L14:N14),"")</f>
        <v/>
      </c>
      <c r="P14" s="74"/>
    </row>
    <row r="15" spans="1:16" ht="18" customHeight="1">
      <c r="B15" s="103" t="str">
        <f>IF('P8'!D17="","",'P8'!D17)</f>
        <v>17-18</v>
      </c>
      <c r="C15" s="268" t="str">
        <f>IF('P8'!G17="","",'P8'!G17)</f>
        <v>Bernt Andre Midtbø</v>
      </c>
      <c r="D15" s="116">
        <v>8.51</v>
      </c>
      <c r="E15" s="116">
        <v>8.7100000000000009</v>
      </c>
      <c r="F15" s="117">
        <v>8.69</v>
      </c>
      <c r="G15" s="104">
        <f>IF(MAX(D15,E15,F15)&gt;0,MAX(D15,E15,F15),"")</f>
        <v>8.7100000000000009</v>
      </c>
      <c r="H15" s="119">
        <v>16.52</v>
      </c>
      <c r="I15" s="116">
        <v>16.559999999999999</v>
      </c>
      <c r="J15" s="116">
        <v>16.95</v>
      </c>
      <c r="K15" s="105">
        <f>IF(MAX(H15,I15,J15)&gt;0,MAX(H15,I15,J15),"")</f>
        <v>16.95</v>
      </c>
      <c r="L15" s="121">
        <v>6.46</v>
      </c>
      <c r="M15" s="117">
        <v>6.4</v>
      </c>
      <c r="N15" s="105">
        <f>IF(MIN(L15,M15)&gt;0,MIN(L15,M15),"")</f>
        <v>6.4</v>
      </c>
      <c r="O15" s="96"/>
      <c r="P15" s="97"/>
    </row>
    <row r="16" spans="1:16" ht="18" customHeight="1">
      <c r="B16" s="98"/>
      <c r="C16" s="267" t="str">
        <f>IF('P8'!G18="","",'P8'!G18)</f>
        <v>Breimsbygda IL</v>
      </c>
      <c r="D16" s="106"/>
      <c r="E16" s="106"/>
      <c r="F16" s="107"/>
      <c r="G16" s="99"/>
      <c r="H16" s="109"/>
      <c r="I16" s="106"/>
      <c r="J16" s="107"/>
      <c r="K16" s="100"/>
      <c r="L16" s="109"/>
      <c r="M16" s="107"/>
      <c r="N16" s="101"/>
      <c r="O16" s="102" t="str">
        <f>IF(SUM(L16:N16)&gt;0,SUM(L16:N16),"")</f>
        <v/>
      </c>
      <c r="P16" s="74"/>
    </row>
    <row r="17" spans="2:16" ht="18" customHeight="1">
      <c r="B17" s="103" t="str">
        <f>IF('P8'!D19="","",'P8'!D19)</f>
        <v>17-18</v>
      </c>
      <c r="C17" s="268" t="str">
        <f>IF('P8'!G19="","",'P8'!G19)</f>
        <v>Håkon Eik Litland</v>
      </c>
      <c r="D17" s="116">
        <v>7.9</v>
      </c>
      <c r="E17" s="116">
        <v>8.14</v>
      </c>
      <c r="F17" s="117">
        <v>7.89</v>
      </c>
      <c r="G17" s="104">
        <f>IF(MAX(D17,E17,F17)&gt;0,MAX(D17,E17,F17),"")</f>
        <v>8.14</v>
      </c>
      <c r="H17" s="119">
        <v>14.81</v>
      </c>
      <c r="I17" s="116">
        <v>15.05</v>
      </c>
      <c r="J17" s="116">
        <v>14.07</v>
      </c>
      <c r="K17" s="105">
        <f>IF(MAX(H17,I17,J17)&gt;0,MAX(H17,I17,J17),"")</f>
        <v>15.05</v>
      </c>
      <c r="L17" s="121">
        <v>6.53</v>
      </c>
      <c r="M17" s="117">
        <v>6.52</v>
      </c>
      <c r="N17" s="105">
        <f>IF(MIN(L17,M17)&gt;0,MIN(L17,M17),"")</f>
        <v>6.52</v>
      </c>
      <c r="O17" s="96"/>
      <c r="P17" s="97"/>
    </row>
    <row r="18" spans="2:16" ht="18" customHeight="1">
      <c r="B18" s="98"/>
      <c r="C18" s="267" t="str">
        <f>IF('P8'!G20="","",'P8'!G20)</f>
        <v>AK Bjørgvin</v>
      </c>
      <c r="D18" s="106"/>
      <c r="E18" s="106"/>
      <c r="F18" s="107"/>
      <c r="G18" s="99"/>
      <c r="H18" s="109"/>
      <c r="I18" s="106"/>
      <c r="J18" s="107"/>
      <c r="K18" s="100"/>
      <c r="L18" s="109"/>
      <c r="M18" s="107"/>
      <c r="N18" s="101"/>
      <c r="O18" s="102" t="str">
        <f>IF(SUM(L18:N18)&gt;0,SUM(L18:N18),"")</f>
        <v/>
      </c>
      <c r="P18" s="74"/>
    </row>
    <row r="19" spans="2:16" ht="18" customHeight="1">
      <c r="B19" s="103" t="str">
        <f>IF('P8'!D21="","",'P8'!D21)</f>
        <v>17-18</v>
      </c>
      <c r="C19" s="268" t="str">
        <f>IF('P8'!G21="","",'P8'!G21)</f>
        <v>Daniel Solberg</v>
      </c>
      <c r="D19" s="116">
        <v>7.38</v>
      </c>
      <c r="E19" s="116">
        <v>7.26</v>
      </c>
      <c r="F19" s="117">
        <v>7.53</v>
      </c>
      <c r="G19" s="104">
        <f>IF(MAX(D19,E19,F19)&gt;0,MAX(D19,E19,F19),"")</f>
        <v>7.53</v>
      </c>
      <c r="H19" s="119">
        <v>12.95</v>
      </c>
      <c r="I19" s="116">
        <v>12.46</v>
      </c>
      <c r="J19" s="116">
        <v>12.21</v>
      </c>
      <c r="K19" s="105">
        <f>IF(MAX(H19,I19,J19)&gt;0,MAX(H19,I19,J19),"")</f>
        <v>12.95</v>
      </c>
      <c r="L19" s="121">
        <v>7.34</v>
      </c>
      <c r="M19" s="117">
        <v>7.55</v>
      </c>
      <c r="N19" s="105">
        <f>IF(MIN(L19,M19)&gt;0,MIN(L19,M19),"")</f>
        <v>7.34</v>
      </c>
      <c r="O19" s="96"/>
      <c r="P19" s="97"/>
    </row>
    <row r="20" spans="2:16" ht="18" customHeight="1">
      <c r="B20" s="98"/>
      <c r="C20" s="267" t="str">
        <f>IF('P8'!G22="","",'P8'!G22)</f>
        <v>Tønsberg-Kam.</v>
      </c>
      <c r="D20" s="106"/>
      <c r="E20" s="106"/>
      <c r="F20" s="107"/>
      <c r="G20" s="99"/>
      <c r="H20" s="109"/>
      <c r="I20" s="106"/>
      <c r="J20" s="107"/>
      <c r="K20" s="100"/>
      <c r="L20" s="109"/>
      <c r="M20" s="107"/>
      <c r="N20" s="101"/>
      <c r="O20" s="102" t="str">
        <f>IF(SUM(L20:N20)&gt;0,SUM(L20:N20),"")</f>
        <v/>
      </c>
      <c r="P20" s="74"/>
    </row>
    <row r="21" spans="2:16" ht="18" customHeight="1">
      <c r="B21" s="103" t="str">
        <f>IF('P8'!D23="","",'P8'!D23)</f>
        <v/>
      </c>
      <c r="C21" s="268" t="str">
        <f>IF('P8'!G23="","",'P8'!G23)</f>
        <v/>
      </c>
      <c r="D21" s="116"/>
      <c r="E21" s="116"/>
      <c r="F21" s="117"/>
      <c r="G21" s="104" t="str">
        <f>IF(MAX(D21,E21,F21)&gt;0,MAX(D21,E21,F21),"")</f>
        <v/>
      </c>
      <c r="H21" s="119"/>
      <c r="I21" s="116"/>
      <c r="J21" s="116"/>
      <c r="K21" s="105" t="str">
        <f>IF(MAX(H21,I21,J21)&gt;0,MAX(H21,I21,J21),"")</f>
        <v/>
      </c>
      <c r="L21" s="121"/>
      <c r="M21" s="117"/>
      <c r="N21" s="105" t="str">
        <f>IF(MIN(L21,M21)&gt;0,MIN(L21,M21),"")</f>
        <v/>
      </c>
      <c r="O21" s="96"/>
      <c r="P21" s="97"/>
    </row>
    <row r="22" spans="2:16" ht="18" customHeight="1">
      <c r="B22" s="98"/>
      <c r="C22" s="267" t="str">
        <f>IF('P8'!G24="","",'P8'!G24)</f>
        <v/>
      </c>
      <c r="D22" s="106"/>
      <c r="E22" s="106"/>
      <c r="F22" s="107"/>
      <c r="G22" s="108"/>
      <c r="H22" s="109"/>
      <c r="I22" s="106"/>
      <c r="J22" s="107"/>
      <c r="K22" s="110"/>
      <c r="L22" s="109"/>
      <c r="M22" s="107"/>
      <c r="N22" s="101"/>
      <c r="O22" s="102" t="str">
        <f>IF(SUM(L22:N22)&gt;0,SUM(L22:N22),"")</f>
        <v/>
      </c>
      <c r="P22" s="74"/>
    </row>
    <row r="23" spans="2:16" ht="18" customHeight="1">
      <c r="B23" s="103" t="str">
        <f>IF('P8'!D25="","",'P8'!D25)</f>
        <v/>
      </c>
      <c r="C23" s="268" t="str">
        <f>IF('P8'!G25="","",'P8'!G25)</f>
        <v/>
      </c>
      <c r="D23" s="116"/>
      <c r="E23" s="116"/>
      <c r="F23" s="117"/>
      <c r="G23" s="104" t="str">
        <f>IF(MAX(D23,E23,F23)&gt;0,MAX(D23,E23,F23),"")</f>
        <v/>
      </c>
      <c r="H23" s="119"/>
      <c r="I23" s="116"/>
      <c r="J23" s="116"/>
      <c r="K23" s="105" t="str">
        <f>IF(MAX(H23,I23,J23)&gt;0,MAX(H23,I23,J23),"")</f>
        <v/>
      </c>
      <c r="L23" s="121"/>
      <c r="M23" s="117"/>
      <c r="N23" s="105" t="str">
        <f>IF(MIN(L23,M23)&gt;0,MIN(L23,M23),"")</f>
        <v/>
      </c>
      <c r="O23" s="96"/>
      <c r="P23" s="97"/>
    </row>
    <row r="24" spans="2:16" ht="18" customHeight="1">
      <c r="B24" s="98"/>
      <c r="C24" s="267" t="str">
        <f>IF('P8'!G26="","",'P8'!G26)</f>
        <v/>
      </c>
      <c r="D24" s="106"/>
      <c r="E24" s="106"/>
      <c r="F24" s="107"/>
      <c r="G24" s="99"/>
      <c r="H24" s="109"/>
      <c r="I24" s="106"/>
      <c r="J24" s="107"/>
      <c r="K24" s="100"/>
      <c r="L24" s="109"/>
      <c r="M24" s="107"/>
      <c r="N24" s="101"/>
      <c r="O24" s="102" t="str">
        <f>IF(SUM(L24:N24)&gt;0,SUM(L24:N24),"")</f>
        <v/>
      </c>
      <c r="P24" s="74"/>
    </row>
    <row r="25" spans="2:16" ht="18" customHeight="1">
      <c r="B25" s="103" t="str">
        <f>IF('P8'!D27="","",'P8'!D27)</f>
        <v/>
      </c>
      <c r="C25" s="268" t="str">
        <f>IF('P8'!G27="","",'P8'!G27)</f>
        <v/>
      </c>
      <c r="D25" s="116"/>
      <c r="E25" s="116"/>
      <c r="F25" s="117"/>
      <c r="G25" s="104" t="str">
        <f>IF(MAX(D25,E25,F25)&gt;0,MAX(D25,E25,F25),"")</f>
        <v/>
      </c>
      <c r="H25" s="119"/>
      <c r="I25" s="116"/>
      <c r="J25" s="116"/>
      <c r="K25" s="105" t="str">
        <f>IF(MAX(H25,I25,J25)&gt;0,MAX(H25,I25,J25),"")</f>
        <v/>
      </c>
      <c r="L25" s="121"/>
      <c r="M25" s="117"/>
      <c r="N25" s="105" t="str">
        <f>IF(MIN(L25,M25)&gt;0,MIN(L25,M25),"")</f>
        <v/>
      </c>
      <c r="O25" s="96"/>
      <c r="P25" s="97"/>
    </row>
    <row r="26" spans="2:16" ht="18" customHeight="1">
      <c r="B26" s="98"/>
      <c r="C26" s="267" t="str">
        <f>IF('P8'!G28="","",'P8'!G28)</f>
        <v/>
      </c>
      <c r="D26" s="106"/>
      <c r="E26" s="106"/>
      <c r="F26" s="107"/>
      <c r="G26" s="99"/>
      <c r="H26" s="109"/>
      <c r="I26" s="106"/>
      <c r="J26" s="107"/>
      <c r="K26" s="100"/>
      <c r="L26" s="109"/>
      <c r="M26" s="107"/>
      <c r="N26" s="101"/>
      <c r="O26" s="102" t="str">
        <f>IF(SUM(L26:N26)&gt;0,SUM(L26:N26),"")</f>
        <v/>
      </c>
      <c r="P26" s="74"/>
    </row>
    <row r="27" spans="2:16" ht="18" customHeight="1">
      <c r="B27" s="103" t="str">
        <f>IF('P8'!D29="","",'P8'!D29)</f>
        <v/>
      </c>
      <c r="C27" s="268" t="str">
        <f>IF('P8'!G29="","",'P8'!G29)</f>
        <v xml:space="preserve"> </v>
      </c>
      <c r="D27" s="116"/>
      <c r="E27" s="116"/>
      <c r="F27" s="117"/>
      <c r="G27" s="104" t="str">
        <f>IF(MAX(D27,E27,F27)&gt;0,MAX(D27,E27,F27),"")</f>
        <v/>
      </c>
      <c r="H27" s="119"/>
      <c r="I27" s="116"/>
      <c r="J27" s="116"/>
      <c r="K27" s="105" t="str">
        <f>IF(MAX(H27,I27,J27)&gt;0,MAX(H27,I27,J27),"")</f>
        <v/>
      </c>
      <c r="L27" s="121"/>
      <c r="M27" s="117"/>
      <c r="N27" s="105" t="str">
        <f>IF(MIN(L27,M27)&gt;0,MIN(L27,M27),"")</f>
        <v/>
      </c>
      <c r="O27" s="96"/>
      <c r="P27" s="97"/>
    </row>
    <row r="28" spans="2:16" ht="18" customHeight="1">
      <c r="B28" s="98"/>
      <c r="C28" s="267" t="str">
        <f>IF('P8'!G30="","",'P8'!G30)</f>
        <v/>
      </c>
      <c r="D28" s="106"/>
      <c r="E28" s="106"/>
      <c r="F28" s="107"/>
      <c r="G28" s="99"/>
      <c r="H28" s="109"/>
      <c r="I28" s="106"/>
      <c r="J28" s="107"/>
      <c r="K28" s="100"/>
      <c r="L28" s="122"/>
      <c r="M28" s="107"/>
      <c r="N28" s="101"/>
      <c r="O28" s="102" t="str">
        <f>IF(SUM(L28:N28)&gt;0,SUM(L28:N28),"")</f>
        <v/>
      </c>
      <c r="P28" s="74"/>
    </row>
    <row r="29" spans="2:16" ht="18" customHeight="1">
      <c r="B29" s="103" t="str">
        <f>IF('P8'!D31="","",'P8'!D31)</f>
        <v/>
      </c>
      <c r="C29" s="268" t="str">
        <f>IF('P8'!G31="","",'P8'!G31)</f>
        <v/>
      </c>
      <c r="D29" s="116"/>
      <c r="E29" s="116"/>
      <c r="F29" s="117"/>
      <c r="G29" s="104" t="str">
        <f>IF(MAX(D29,E29,F29)&gt;0,MAX(D29,E29,F29),"")</f>
        <v/>
      </c>
      <c r="H29" s="119"/>
      <c r="I29" s="116"/>
      <c r="J29" s="116"/>
      <c r="K29" s="105" t="str">
        <f>IF(MAX(H29,I29,J29)&gt;0,MAX(H29,I29,J29),"")</f>
        <v/>
      </c>
      <c r="L29" s="123"/>
      <c r="M29" s="117"/>
      <c r="N29" s="105" t="str">
        <f>IF(MIN(L29,M29)&gt;0,MIN(L29,M29),"")</f>
        <v/>
      </c>
      <c r="O29" s="96"/>
      <c r="P29" s="97"/>
    </row>
    <row r="30" spans="2:16" ht="18" customHeight="1">
      <c r="B30" s="98"/>
      <c r="C30" s="267" t="str">
        <f>IF('P8'!G32="","",'P8'!G32)</f>
        <v/>
      </c>
      <c r="D30" s="106"/>
      <c r="E30" s="106"/>
      <c r="F30" s="107"/>
      <c r="G30" s="111"/>
      <c r="H30" s="109"/>
      <c r="I30" s="106"/>
      <c r="J30" s="107"/>
      <c r="K30" s="108"/>
      <c r="L30" s="109"/>
      <c r="M30" s="107"/>
      <c r="N30" s="112"/>
      <c r="O30" s="102" t="str">
        <f>IF(SUM(L30:N30)&gt;0,SUM(L30:N30),"")</f>
        <v/>
      </c>
      <c r="P30" s="74"/>
    </row>
    <row r="31" spans="2:16">
      <c r="B31" s="113"/>
      <c r="C31" s="113"/>
    </row>
  </sheetData>
  <mergeCells count="9">
    <mergeCell ref="D5:G5"/>
    <mergeCell ref="H5:K5"/>
    <mergeCell ref="L5:N5"/>
    <mergeCell ref="A1:N1"/>
    <mergeCell ref="A3:B3"/>
    <mergeCell ref="C3:D3"/>
    <mergeCell ref="F3:I3"/>
    <mergeCell ref="K3:L3"/>
    <mergeCell ref="B4:N4"/>
  </mergeCells>
  <pageMargins left="0.27559055118110237" right="0.27559055118110237" top="0.27559055118110237" bottom="0.27559055118110237" header="0.51181102362204722" footer="0.51181102362204722"/>
  <pageSetup paperSize="9" fitToHeight="0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P31"/>
  <sheetViews>
    <sheetView showGridLines="0" showRowColHeaders="0" showZeros="0" workbookViewId="0">
      <selection activeCell="N25" sqref="N25"/>
    </sheetView>
  </sheetViews>
  <sheetFormatPr defaultColWidth="8.85546875" defaultRowHeight="12.95"/>
  <cols>
    <col min="1" max="1" width="5.5703125" customWidth="1"/>
    <col min="2" max="2" width="7.5703125" customWidth="1"/>
    <col min="3" max="3" width="27.5703125" customWidth="1"/>
    <col min="4" max="14" width="7.42578125" customWidth="1"/>
    <col min="15" max="15" width="9.42578125" customWidth="1"/>
    <col min="16" max="16" width="4.5703125" style="36" customWidth="1"/>
  </cols>
  <sheetData>
    <row r="1" spans="1:16" ht="23.1">
      <c r="A1" s="399" t="s">
        <v>78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15"/>
      <c r="P1" s="315"/>
    </row>
    <row r="2" spans="1:16" ht="15" customHeight="1">
      <c r="B2" s="75" t="s">
        <v>280</v>
      </c>
      <c r="C2" s="265" t="str">
        <f>IF('P2'!C5&gt;0,'P2'!C5,"")</f>
        <v>NM 5-kamp og Norges Cup 3. runde</v>
      </c>
      <c r="D2" s="265"/>
      <c r="E2" s="26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6">
      <c r="A3" s="400" t="s">
        <v>4</v>
      </c>
      <c r="B3" s="400"/>
      <c r="C3" s="401" t="str">
        <f>IF('P2'!J5&gt;0,'P2'!J5,"")</f>
        <v>Larvik AK</v>
      </c>
      <c r="D3" s="401"/>
      <c r="E3" s="77" t="s">
        <v>6</v>
      </c>
      <c r="F3" s="403" t="str">
        <f>IF('P2'!P5&gt;0,'P2'!P5,"")</f>
        <v>Stavernhallen</v>
      </c>
      <c r="G3" s="403"/>
      <c r="H3" s="403"/>
      <c r="I3" s="403"/>
      <c r="J3" s="261" t="s">
        <v>8</v>
      </c>
      <c r="K3" s="404">
        <f>IF('P2'!U5&gt;0,'P2'!U5,"")</f>
        <v>43358</v>
      </c>
      <c r="L3" s="404"/>
      <c r="M3" s="78" t="s">
        <v>9</v>
      </c>
      <c r="N3" s="131">
        <v>9</v>
      </c>
      <c r="O3" s="130"/>
      <c r="P3" s="79"/>
    </row>
    <row r="4" spans="1:16" ht="14.45" thickBot="1">
      <c r="B4" s="395" t="s">
        <v>284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78"/>
      <c r="P4" s="79"/>
    </row>
    <row r="5" spans="1:16" s="80" customFormat="1" ht="14.1">
      <c r="B5" s="81" t="s">
        <v>72</v>
      </c>
      <c r="C5" s="82" t="s">
        <v>15</v>
      </c>
      <c r="D5" s="396" t="s">
        <v>75</v>
      </c>
      <c r="E5" s="396"/>
      <c r="F5" s="396"/>
      <c r="G5" s="396"/>
      <c r="H5" s="397" t="s">
        <v>76</v>
      </c>
      <c r="I5" s="397"/>
      <c r="J5" s="397"/>
      <c r="K5" s="397"/>
      <c r="L5" s="398" t="s">
        <v>282</v>
      </c>
      <c r="M5" s="398"/>
      <c r="N5" s="398"/>
      <c r="O5" s="83"/>
      <c r="P5" s="84"/>
    </row>
    <row r="6" spans="1:16" ht="13.5" thickBot="1">
      <c r="B6" s="85" t="s">
        <v>79</v>
      </c>
      <c r="C6" s="86" t="s">
        <v>85</v>
      </c>
      <c r="D6" s="87">
        <v>1</v>
      </c>
      <c r="E6" s="87">
        <v>2</v>
      </c>
      <c r="F6" s="88">
        <v>3</v>
      </c>
      <c r="G6" s="89" t="s">
        <v>283</v>
      </c>
      <c r="H6" s="90">
        <v>1</v>
      </c>
      <c r="I6" s="87">
        <v>2</v>
      </c>
      <c r="J6" s="88">
        <v>3</v>
      </c>
      <c r="K6" s="89" t="s">
        <v>283</v>
      </c>
      <c r="L6" s="90">
        <v>1</v>
      </c>
      <c r="M6" s="88">
        <v>2</v>
      </c>
      <c r="N6" s="91" t="s">
        <v>283</v>
      </c>
      <c r="O6" s="92"/>
      <c r="P6" s="93"/>
    </row>
    <row r="7" spans="1:16" ht="18" customHeight="1">
      <c r="B7" s="94" t="str">
        <f>IF('P9'!D9="","",'P9'!D9)</f>
        <v>+18</v>
      </c>
      <c r="C7" s="124" t="str">
        <f>IF('P9'!G9="","",'P9'!G9)</f>
        <v>Mauricio Kjeldner</v>
      </c>
      <c r="D7" s="114">
        <v>8.59</v>
      </c>
      <c r="E7" s="114">
        <v>8.4499999999999993</v>
      </c>
      <c r="F7" s="115">
        <v>8.59</v>
      </c>
      <c r="G7" s="95">
        <f>IF(MAX(D7,E7,F7)&gt;0,MAX(D7,E7,F7),"")</f>
        <v>8.59</v>
      </c>
      <c r="H7" s="118">
        <v>12.86</v>
      </c>
      <c r="I7" s="114">
        <v>14.37</v>
      </c>
      <c r="J7" s="114">
        <v>12.52</v>
      </c>
      <c r="K7" s="95">
        <f>IF(MAX(H7,I7,J7)&gt;0,MAX(H7,I7,J7),"")</f>
        <v>14.37</v>
      </c>
      <c r="L7" s="120">
        <v>6.44</v>
      </c>
      <c r="M7" s="115">
        <v>6.42</v>
      </c>
      <c r="N7" s="95">
        <f>IF(MIN(L7,M7)&gt;0,MIN(L7,M7),"")</f>
        <v>6.42</v>
      </c>
      <c r="O7" s="96"/>
      <c r="P7" s="97"/>
    </row>
    <row r="8" spans="1:16" ht="18" customHeight="1">
      <c r="B8" s="98"/>
      <c r="C8" s="267" t="str">
        <f>IF('P9'!G10="","",'P9'!G10)</f>
        <v>Spydeberg Atletene</v>
      </c>
      <c r="D8" s="106"/>
      <c r="E8" s="106"/>
      <c r="F8" s="107"/>
      <c r="G8" s="99"/>
      <c r="H8" s="109"/>
      <c r="I8" s="106"/>
      <c r="J8" s="107"/>
      <c r="K8" s="100"/>
      <c r="L8" s="109"/>
      <c r="M8" s="107"/>
      <c r="N8" s="101"/>
      <c r="O8" s="102" t="str">
        <f>IF(SUM(L8:N8)&gt;0,SUM(L8:N8),"")</f>
        <v/>
      </c>
      <c r="P8" s="74"/>
    </row>
    <row r="9" spans="1:16" ht="18" customHeight="1">
      <c r="B9" s="103" t="str">
        <f>IF('P9'!D11="","",'P9'!D11)</f>
        <v>+18</v>
      </c>
      <c r="C9" s="268" t="str">
        <f>IF('P9'!G11="","",'P9'!G11)</f>
        <v>Trygve Stenrud Nilsen</v>
      </c>
      <c r="D9" s="116">
        <v>8.1</v>
      </c>
      <c r="E9" s="116">
        <v>8.2100000000000009</v>
      </c>
      <c r="F9" s="117">
        <v>8.48</v>
      </c>
      <c r="G9" s="104">
        <f>IF(MAX(D9,E9,F9)&gt;0,MAX(D9,E9,F9),"")</f>
        <v>8.48</v>
      </c>
      <c r="H9" s="119">
        <v>12.01</v>
      </c>
      <c r="I9" s="116">
        <v>12.53</v>
      </c>
      <c r="J9" s="116">
        <v>13</v>
      </c>
      <c r="K9" s="105">
        <f>IF(MAX(H9,I9,J9)&gt;0,MAX(H9,I9,J9),"")</f>
        <v>13</v>
      </c>
      <c r="L9" s="121">
        <v>6.85</v>
      </c>
      <c r="M9" s="117">
        <v>6.69</v>
      </c>
      <c r="N9" s="105">
        <f>IF(MIN(L9,M9)&gt;0,MIN(L9,M9),"")</f>
        <v>6.69</v>
      </c>
      <c r="O9" s="96"/>
      <c r="P9" s="97"/>
    </row>
    <row r="10" spans="1:16" ht="18" customHeight="1">
      <c r="B10" s="98"/>
      <c r="C10" s="267" t="str">
        <f>IF('P9'!G12="","",'P9'!G12)</f>
        <v>Oslo AK</v>
      </c>
      <c r="D10" s="106"/>
      <c r="E10" s="106"/>
      <c r="F10" s="107"/>
      <c r="G10" s="99"/>
      <c r="H10" s="109"/>
      <c r="I10" s="106"/>
      <c r="J10" s="107"/>
      <c r="K10" s="100"/>
      <c r="L10" s="109"/>
      <c r="M10" s="107"/>
      <c r="N10" s="101"/>
      <c r="O10" s="102" t="str">
        <f>IF(SUM(L10:N10)&gt;0,SUM(L10:N10),"")</f>
        <v/>
      </c>
      <c r="P10" s="74"/>
    </row>
    <row r="11" spans="1:16" ht="18" customHeight="1">
      <c r="B11" s="103" t="str">
        <f>IF('P9'!D13="","",'P9'!D13)</f>
        <v>+18</v>
      </c>
      <c r="C11" s="268" t="str">
        <f>IF('P9'!G13="","",'P9'!G13)</f>
        <v>Andreas Viken</v>
      </c>
      <c r="D11" s="116">
        <v>7.62</v>
      </c>
      <c r="E11" s="116">
        <v>7.57</v>
      </c>
      <c r="F11" s="117">
        <v>7.57</v>
      </c>
      <c r="G11" s="104">
        <f>IF(MAX(D11,E11,F11)&gt;0,MAX(D11,E11,F11),"")</f>
        <v>7.62</v>
      </c>
      <c r="H11" s="119">
        <v>8.31</v>
      </c>
      <c r="I11" s="116">
        <v>8.7799999999999994</v>
      </c>
      <c r="J11" s="116">
        <v>8.34</v>
      </c>
      <c r="K11" s="105">
        <f>IF(MAX(H11,I11,J11)&gt;0,MAX(H11,I11,J11),"")</f>
        <v>8.7799999999999994</v>
      </c>
      <c r="L11" s="121">
        <v>6.76</v>
      </c>
      <c r="M11" s="117">
        <v>6.69</v>
      </c>
      <c r="N11" s="105">
        <f>IF(MIN(L11,M11)&gt;0,MIN(L11,M11),"")</f>
        <v>6.69</v>
      </c>
      <c r="O11" s="96"/>
      <c r="P11" s="97"/>
    </row>
    <row r="12" spans="1:16" ht="18" customHeight="1">
      <c r="B12" s="98"/>
      <c r="C12" s="267" t="str">
        <f>IF('P9'!G14="","",'P9'!G14)</f>
        <v>Stavanger VK</v>
      </c>
      <c r="D12" s="106"/>
      <c r="E12" s="106"/>
      <c r="F12" s="107"/>
      <c r="G12" s="99"/>
      <c r="H12" s="109"/>
      <c r="I12" s="106"/>
      <c r="J12" s="107"/>
      <c r="K12" s="100"/>
      <c r="L12" s="109"/>
      <c r="M12" s="107"/>
      <c r="N12" s="101"/>
      <c r="O12" s="102" t="str">
        <f>IF(SUM(L12:N12)&gt;0,SUM(L12:N12),"")</f>
        <v/>
      </c>
      <c r="P12" s="74"/>
    </row>
    <row r="13" spans="1:16" ht="18" customHeight="1">
      <c r="B13" s="103" t="str">
        <f>IF('P9'!D15="","",'P9'!D15)</f>
        <v>+18</v>
      </c>
      <c r="C13" s="268" t="str">
        <f>IF('P9'!G15="","",'P9'!G15)</f>
        <v>Johnny Stokke</v>
      </c>
      <c r="D13" s="116">
        <v>6.93</v>
      </c>
      <c r="E13" s="116">
        <v>7.39</v>
      </c>
      <c r="F13" s="117">
        <v>7</v>
      </c>
      <c r="G13" s="104">
        <f>IF(MAX(D13,E13,F13)&gt;0,MAX(D13,E13,F13),"")</f>
        <v>7.39</v>
      </c>
      <c r="H13" s="119">
        <v>12.32</v>
      </c>
      <c r="I13" s="116">
        <v>11.81</v>
      </c>
      <c r="J13" s="116">
        <v>12.18</v>
      </c>
      <c r="K13" s="105">
        <f>IF(MAX(H13,I13,J13)&gt;0,MAX(H13,I13,J13),"")</f>
        <v>12.32</v>
      </c>
      <c r="L13" s="121">
        <v>6.83</v>
      </c>
      <c r="M13" s="117">
        <v>6.92</v>
      </c>
      <c r="N13" s="105">
        <f>IF(MIN(L13,M13)&gt;0,MIN(L13,M13),"")</f>
        <v>6.83</v>
      </c>
      <c r="O13" s="96"/>
      <c r="P13" s="97"/>
    </row>
    <row r="14" spans="1:16" ht="18" customHeight="1">
      <c r="B14" s="98"/>
      <c r="C14" s="267" t="str">
        <f>IF('P9'!G16="","",'P9'!G16)</f>
        <v>Lørenskog AK</v>
      </c>
      <c r="D14" s="106"/>
      <c r="E14" s="106"/>
      <c r="F14" s="107"/>
      <c r="G14" s="99"/>
      <c r="H14" s="109"/>
      <c r="I14" s="106"/>
      <c r="J14" s="107"/>
      <c r="K14" s="100"/>
      <c r="L14" s="109"/>
      <c r="M14" s="107"/>
      <c r="N14" s="101"/>
      <c r="O14" s="102" t="str">
        <f>IF(SUM(L14:N14)&gt;0,SUM(L14:N14),"")</f>
        <v/>
      </c>
      <c r="P14" s="74"/>
    </row>
    <row r="15" spans="1:16" ht="18" customHeight="1">
      <c r="B15" s="103" t="str">
        <f>IF('P9'!D17="","",'P9'!D17)</f>
        <v>+18</v>
      </c>
      <c r="C15" s="268" t="str">
        <f>IF('P9'!G17="","",'P9'!G17)</f>
        <v>Bjarne Bergheim</v>
      </c>
      <c r="D15" s="116">
        <v>8.27</v>
      </c>
      <c r="E15" s="116">
        <v>9.08</v>
      </c>
      <c r="F15" s="117">
        <v>8.6199999999999992</v>
      </c>
      <c r="G15" s="104">
        <f>IF(MAX(D15,E15,F15)&gt;0,MAX(D15,E15,F15),"")</f>
        <v>9.08</v>
      </c>
      <c r="H15" s="119">
        <v>15.93</v>
      </c>
      <c r="I15" s="116">
        <v>16.41</v>
      </c>
      <c r="J15" s="116">
        <v>16.22</v>
      </c>
      <c r="K15" s="105">
        <f>IF(MAX(H15,I15,J15)&gt;0,MAX(H15,I15,J15),"")</f>
        <v>16.41</v>
      </c>
      <c r="L15" s="121">
        <v>6.36</v>
      </c>
      <c r="M15" s="117">
        <v>6.3</v>
      </c>
      <c r="N15" s="105">
        <f>IF(MIN(L15,M15)&gt;0,MIN(L15,M15),"")</f>
        <v>6.3</v>
      </c>
      <c r="O15" s="96"/>
      <c r="P15" s="97"/>
    </row>
    <row r="16" spans="1:16" ht="18" customHeight="1">
      <c r="B16" s="98"/>
      <c r="C16" s="267" t="str">
        <f>IF('P9'!G18="","",'P9'!G18)</f>
        <v>Breimsbygda IL</v>
      </c>
      <c r="D16" s="106"/>
      <c r="E16" s="106"/>
      <c r="F16" s="107"/>
      <c r="G16" s="99"/>
      <c r="H16" s="109"/>
      <c r="I16" s="106"/>
      <c r="J16" s="107"/>
      <c r="K16" s="100"/>
      <c r="L16" s="109"/>
      <c r="M16" s="107"/>
      <c r="N16" s="101"/>
      <c r="O16" s="102" t="str">
        <f>IF(SUM(L16:N16)&gt;0,SUM(L16:N16),"")</f>
        <v/>
      </c>
      <c r="P16" s="74"/>
    </row>
    <row r="17" spans="2:16" ht="18" customHeight="1">
      <c r="B17" s="103" t="str">
        <f>IF('P9'!D19="","",'P9'!D19)</f>
        <v>+18</v>
      </c>
      <c r="C17" s="268" t="str">
        <f>IF('P9'!G19="","",'P9'!G19)</f>
        <v>Åsmund Rykhus</v>
      </c>
      <c r="D17" s="116">
        <v>7.89</v>
      </c>
      <c r="E17" s="116">
        <v>7.9</v>
      </c>
      <c r="F17" s="117">
        <v>8.0500000000000007</v>
      </c>
      <c r="G17" s="104">
        <f>IF(MAX(D17,E17,F17)&gt;0,MAX(D17,E17,F17),"")</f>
        <v>8.0500000000000007</v>
      </c>
      <c r="H17" s="119">
        <v>13.63</v>
      </c>
      <c r="I17" s="116">
        <v>13.24</v>
      </c>
      <c r="J17" s="116">
        <v>11.74</v>
      </c>
      <c r="K17" s="105">
        <f>IF(MAX(H17,I17,J17)&gt;0,MAX(H17,I17,J17),"")</f>
        <v>13.63</v>
      </c>
      <c r="L17" s="121">
        <v>6.88</v>
      </c>
      <c r="M17" s="117">
        <v>6.71</v>
      </c>
      <c r="N17" s="105">
        <f>IF(MIN(L17,M17)&gt;0,MIN(L17,M17),"")</f>
        <v>6.71</v>
      </c>
      <c r="O17" s="96"/>
      <c r="P17" s="97"/>
    </row>
    <row r="18" spans="2:16" ht="18" customHeight="1">
      <c r="B18" s="98"/>
      <c r="C18" s="267" t="str">
        <f>IF('P9'!G20="","",'P9'!G20)</f>
        <v>Gjøvik AK</v>
      </c>
      <c r="D18" s="106"/>
      <c r="E18" s="106"/>
      <c r="F18" s="107"/>
      <c r="G18" s="99"/>
      <c r="H18" s="109"/>
      <c r="I18" s="106"/>
      <c r="J18" s="107"/>
      <c r="K18" s="100"/>
      <c r="L18" s="109"/>
      <c r="M18" s="107"/>
      <c r="N18" s="101"/>
      <c r="O18" s="102" t="str">
        <f>IF(SUM(L18:N18)&gt;0,SUM(L18:N18),"")</f>
        <v/>
      </c>
      <c r="P18" s="74"/>
    </row>
    <row r="19" spans="2:16" ht="18" customHeight="1">
      <c r="B19" s="103" t="str">
        <f>IF('P9'!D21="","",'P9'!D21)</f>
        <v>+18</v>
      </c>
      <c r="C19" s="268" t="str">
        <f>IF('P9'!G21="","",'P9'!G21)</f>
        <v>Kristoffer Solheimsnes</v>
      </c>
      <c r="D19" s="116">
        <v>5.72</v>
      </c>
      <c r="E19" s="116">
        <v>5.57</v>
      </c>
      <c r="F19" s="117">
        <v>5.47</v>
      </c>
      <c r="G19" s="104">
        <f>IF(MAX(D19,E19,F19)&gt;0,MAX(D19,E19,F19),"")</f>
        <v>5.72</v>
      </c>
      <c r="H19" s="119">
        <v>7.68</v>
      </c>
      <c r="I19" s="116">
        <v>6.48</v>
      </c>
      <c r="J19" s="116">
        <v>9.18</v>
      </c>
      <c r="K19" s="105">
        <f>IF(MAX(H19,I19,J19)&gt;0,MAX(H19,I19,J19),"")</f>
        <v>9.18</v>
      </c>
      <c r="L19" s="121">
        <v>8.9</v>
      </c>
      <c r="M19" s="117">
        <v>9.08</v>
      </c>
      <c r="N19" s="105">
        <f>IF(MIN(L19,M19)&gt;0,MIN(L19,M19),"")</f>
        <v>8.9</v>
      </c>
      <c r="O19" s="96"/>
      <c r="P19" s="97"/>
    </row>
    <row r="20" spans="2:16" ht="18" customHeight="1">
      <c r="B20" s="98"/>
      <c r="C20" s="267" t="str">
        <f>IF('P9'!G22="","",'P9'!G22)</f>
        <v>Gjøvik AK</v>
      </c>
      <c r="D20" s="106"/>
      <c r="E20" s="106"/>
      <c r="F20" s="107"/>
      <c r="G20" s="99"/>
      <c r="H20" s="109"/>
      <c r="I20" s="106"/>
      <c r="J20" s="107"/>
      <c r="K20" s="100"/>
      <c r="L20" s="109"/>
      <c r="M20" s="107"/>
      <c r="N20" s="101"/>
      <c r="O20" s="102" t="str">
        <f>IF(SUM(L20:N20)&gt;0,SUM(L20:N20),"")</f>
        <v/>
      </c>
      <c r="P20" s="74"/>
    </row>
    <row r="21" spans="2:16" ht="18" customHeight="1">
      <c r="B21" s="103" t="str">
        <f>IF('P9'!D23="","",'P9'!D23)</f>
        <v>+18</v>
      </c>
      <c r="C21" s="268" t="str">
        <f>IF('P9'!G23="","",'P9'!G23)</f>
        <v>Runar Klungrvik</v>
      </c>
      <c r="D21" s="116">
        <v>8</v>
      </c>
      <c r="E21" s="116">
        <v>7.95</v>
      </c>
      <c r="F21" s="117">
        <v>7.78</v>
      </c>
      <c r="G21" s="104">
        <f>IF(MAX(D21,E21,F21)&gt;0,MAX(D21,E21,F21),"")</f>
        <v>8</v>
      </c>
      <c r="H21" s="119">
        <v>10.92</v>
      </c>
      <c r="I21" s="116">
        <v>12.72</v>
      </c>
      <c r="J21" s="116">
        <v>13.19</v>
      </c>
      <c r="K21" s="105">
        <f>IF(MAX(H21,I21,J21)&gt;0,MAX(H21,I21,J21),"")</f>
        <v>13.19</v>
      </c>
      <c r="L21" s="121">
        <v>6.65</v>
      </c>
      <c r="M21" s="117">
        <v>6.52</v>
      </c>
      <c r="N21" s="105">
        <f>IF(MIN(L21,M21)&gt;0,MIN(L21,M21),"")</f>
        <v>6.52</v>
      </c>
      <c r="O21" s="96"/>
      <c r="P21" s="97"/>
    </row>
    <row r="22" spans="2:16" ht="18" customHeight="1">
      <c r="B22" s="98"/>
      <c r="C22" s="267" t="str">
        <f>IF('P9'!G24="","",'P9'!G24)</f>
        <v>Hitra VK</v>
      </c>
      <c r="D22" s="106"/>
      <c r="E22" s="106"/>
      <c r="F22" s="107"/>
      <c r="G22" s="108"/>
      <c r="H22" s="109"/>
      <c r="I22" s="106"/>
      <c r="J22" s="107"/>
      <c r="K22" s="110"/>
      <c r="L22" s="109"/>
      <c r="M22" s="107"/>
      <c r="N22" s="101"/>
      <c r="O22" s="102" t="str">
        <f>IF(SUM(L22:N22)&gt;0,SUM(L22:N22),"")</f>
        <v/>
      </c>
      <c r="P22" s="74"/>
    </row>
    <row r="23" spans="2:16" ht="18" customHeight="1">
      <c r="B23" s="103" t="str">
        <f>IF('P9'!D25="","",'P9'!D25)</f>
        <v>+18</v>
      </c>
      <c r="C23" s="268" t="str">
        <f>IF('P9'!G25="","",'P9'!G25)</f>
        <v>Bjørn Emil Evensen</v>
      </c>
      <c r="D23" s="116">
        <v>8.5399999999999991</v>
      </c>
      <c r="E23" s="116">
        <v>9.4</v>
      </c>
      <c r="F23" s="117">
        <v>9.41</v>
      </c>
      <c r="G23" s="104">
        <f>IF(MAX(D23,E23,F23)&gt;0,MAX(D23,E23,F23),"")</f>
        <v>9.41</v>
      </c>
      <c r="H23" s="119">
        <v>14.36</v>
      </c>
      <c r="I23" s="116">
        <v>13.26</v>
      </c>
      <c r="J23" s="116">
        <v>12.5</v>
      </c>
      <c r="K23" s="105">
        <f>IF(MAX(H23,I23,J23)&gt;0,MAX(H23,I23,J23),"")</f>
        <v>14.36</v>
      </c>
      <c r="L23" s="121">
        <v>6.13</v>
      </c>
      <c r="M23" s="117">
        <v>6</v>
      </c>
      <c r="N23" s="105">
        <f>IF(MIN(L23,M23)&gt;0,MIN(L23,M23),"")</f>
        <v>6</v>
      </c>
      <c r="O23" s="96"/>
      <c r="P23" s="97"/>
    </row>
    <row r="24" spans="2:16" ht="18" customHeight="1">
      <c r="B24" s="98"/>
      <c r="C24" s="267" t="str">
        <f>IF('P9'!G26="","",'P9'!G26)</f>
        <v>Gjøvik AK</v>
      </c>
      <c r="D24" s="106"/>
      <c r="E24" s="106"/>
      <c r="F24" s="107"/>
      <c r="G24" s="99"/>
      <c r="H24" s="109"/>
      <c r="I24" s="106"/>
      <c r="J24" s="107"/>
      <c r="K24" s="100"/>
      <c r="L24" s="109"/>
      <c r="M24" s="107"/>
      <c r="N24" s="101"/>
      <c r="O24" s="102" t="str">
        <f>IF(SUM(L24:N24)&gt;0,SUM(L24:N24),"")</f>
        <v/>
      </c>
      <c r="P24" s="74"/>
    </row>
    <row r="25" spans="2:16" ht="18" customHeight="1">
      <c r="B25" s="103" t="str">
        <f>IF('P9'!D27="","",'P9'!D27)</f>
        <v>+18</v>
      </c>
      <c r="C25" s="268" t="str">
        <f>IF('P9'!G27="","",'P9'!G27)</f>
        <v>Vetle Andersen</v>
      </c>
      <c r="D25" s="116">
        <v>8.81</v>
      </c>
      <c r="E25" s="116">
        <v>8.8800000000000008</v>
      </c>
      <c r="F25" s="117">
        <v>9.2200000000000006</v>
      </c>
      <c r="G25" s="104">
        <f>IF(MAX(D25,E25,F25)&gt;0,MAX(D25,E25,F25),"")</f>
        <v>9.2200000000000006</v>
      </c>
      <c r="H25" s="119">
        <v>15.94</v>
      </c>
      <c r="I25" s="116">
        <v>13.82</v>
      </c>
      <c r="J25" s="116">
        <v>17.12</v>
      </c>
      <c r="K25" s="105">
        <f>IF(MAX(H25,I25,J25)&gt;0,MAX(H25,I25,J25),"")</f>
        <v>17.12</v>
      </c>
      <c r="L25" s="121">
        <v>6.26</v>
      </c>
      <c r="M25" s="117">
        <v>6.15</v>
      </c>
      <c r="N25" s="105">
        <f>IF(MIN(L25,M25)&gt;0,MIN(L25,M25),"")</f>
        <v>6.15</v>
      </c>
      <c r="O25" s="96"/>
      <c r="P25" s="97"/>
    </row>
    <row r="26" spans="2:16" ht="18" customHeight="1">
      <c r="B26" s="98"/>
      <c r="C26" s="267" t="str">
        <f>IF('P9'!G28="","",'P9'!G28)</f>
        <v>Larvik AK</v>
      </c>
      <c r="D26" s="106"/>
      <c r="E26" s="106"/>
      <c r="F26" s="107"/>
      <c r="G26" s="99"/>
      <c r="H26" s="109"/>
      <c r="I26" s="106"/>
      <c r="J26" s="107"/>
      <c r="K26" s="100"/>
      <c r="L26" s="109"/>
      <c r="M26" s="107"/>
      <c r="N26" s="101"/>
      <c r="O26" s="102" t="str">
        <f>IF(SUM(L26:N26)&gt;0,SUM(L26:N26),"")</f>
        <v/>
      </c>
      <c r="P26" s="74"/>
    </row>
    <row r="27" spans="2:16" ht="18" customHeight="1">
      <c r="B27" s="103" t="str">
        <f>IF('P9'!D29="","",'P9'!D29)</f>
        <v/>
      </c>
      <c r="C27" s="268" t="str">
        <f>IF('P9'!G29="","",'P9'!G29)</f>
        <v/>
      </c>
      <c r="D27" s="116"/>
      <c r="E27" s="116"/>
      <c r="F27" s="117"/>
      <c r="G27" s="104" t="str">
        <f>IF(MAX(D27,E27,F27)&gt;0,MAX(D27,E27,F27),"")</f>
        <v/>
      </c>
      <c r="H27" s="119"/>
      <c r="I27" s="116"/>
      <c r="J27" s="116"/>
      <c r="K27" s="105" t="str">
        <f>IF(MAX(H27,I27,J27)&gt;0,MAX(H27,I27,J27),"")</f>
        <v/>
      </c>
      <c r="L27" s="121"/>
      <c r="M27" s="117"/>
      <c r="N27" s="105" t="str">
        <f>IF(MIN(L27,M27)&gt;0,MIN(L27,M27),"")</f>
        <v/>
      </c>
      <c r="O27" s="96"/>
      <c r="P27" s="97"/>
    </row>
    <row r="28" spans="2:16" ht="18" customHeight="1">
      <c r="B28" s="98"/>
      <c r="C28" s="267" t="str">
        <f>IF('P9'!G30="","",'P9'!G30)</f>
        <v/>
      </c>
      <c r="D28" s="106"/>
      <c r="E28" s="106"/>
      <c r="F28" s="107"/>
      <c r="G28" s="99"/>
      <c r="H28" s="109"/>
      <c r="I28" s="106"/>
      <c r="J28" s="107"/>
      <c r="K28" s="100"/>
      <c r="L28" s="122"/>
      <c r="M28" s="107"/>
      <c r="N28" s="101"/>
      <c r="O28" s="102" t="str">
        <f>IF(SUM(L28:N28)&gt;0,SUM(L28:N28),"")</f>
        <v/>
      </c>
      <c r="P28" s="74"/>
    </row>
    <row r="29" spans="2:16" ht="18" customHeight="1">
      <c r="B29" s="103" t="str">
        <f>IF('P9'!D31="","",'P9'!D31)</f>
        <v/>
      </c>
      <c r="C29" s="268" t="str">
        <f>IF('P9'!G31="","",'P9'!G31)</f>
        <v/>
      </c>
      <c r="D29" s="116"/>
      <c r="E29" s="116"/>
      <c r="F29" s="117"/>
      <c r="G29" s="104" t="str">
        <f>IF(MAX(D29,E29,F29)&gt;0,MAX(D29,E29,F29),"")</f>
        <v/>
      </c>
      <c r="H29" s="119"/>
      <c r="I29" s="116"/>
      <c r="J29" s="116"/>
      <c r="K29" s="105" t="str">
        <f>IF(MAX(H29,I29,J29)&gt;0,MAX(H29,I29,J29),"")</f>
        <v/>
      </c>
      <c r="L29" s="123"/>
      <c r="M29" s="117"/>
      <c r="N29" s="105" t="str">
        <f>IF(MIN(L29,M29)&gt;0,MIN(L29,M29),"")</f>
        <v/>
      </c>
      <c r="O29" s="96"/>
      <c r="P29" s="97"/>
    </row>
    <row r="30" spans="2:16" ht="18" customHeight="1">
      <c r="B30" s="98"/>
      <c r="C30" s="267" t="str">
        <f>IF('P9'!G32="","",'P9'!G32)</f>
        <v/>
      </c>
      <c r="D30" s="106"/>
      <c r="E30" s="106"/>
      <c r="F30" s="107"/>
      <c r="G30" s="111"/>
      <c r="H30" s="109"/>
      <c r="I30" s="106"/>
      <c r="J30" s="107"/>
      <c r="K30" s="108"/>
      <c r="L30" s="109"/>
      <c r="M30" s="107"/>
      <c r="N30" s="112"/>
      <c r="O30" s="102" t="str">
        <f>IF(SUM(L30:N30)&gt;0,SUM(L30:N30),"")</f>
        <v/>
      </c>
      <c r="P30" s="74"/>
    </row>
    <row r="31" spans="2:16">
      <c r="B31" s="113"/>
      <c r="C31" s="113"/>
    </row>
  </sheetData>
  <mergeCells count="9">
    <mergeCell ref="D5:G5"/>
    <mergeCell ref="H5:K5"/>
    <mergeCell ref="L5:N5"/>
    <mergeCell ref="A1:N1"/>
    <mergeCell ref="A3:B3"/>
    <mergeCell ref="C3:D3"/>
    <mergeCell ref="F3:I3"/>
    <mergeCell ref="K3:L3"/>
    <mergeCell ref="B4:N4"/>
  </mergeCells>
  <pageMargins left="0.27559055118110237" right="0.27559055118110237" top="0.27559055118110237" bottom="0.27559055118110237" header="0.51181102362204722" footer="0.51181102362204722"/>
  <pageSetup paperSize="9" fitToHeight="0" orientation="landscape" horizontalDpi="300" verticalDpi="300" copies="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P31"/>
  <sheetViews>
    <sheetView showGridLines="0" showRowColHeaders="0" showZeros="0" topLeftCell="A2" workbookViewId="0">
      <selection activeCell="N21" sqref="N21"/>
    </sheetView>
  </sheetViews>
  <sheetFormatPr defaultColWidth="8.85546875" defaultRowHeight="12.95"/>
  <cols>
    <col min="1" max="1" width="5.5703125" customWidth="1"/>
    <col min="2" max="2" width="7.5703125" customWidth="1"/>
    <col min="3" max="3" width="27.5703125" customWidth="1"/>
    <col min="4" max="14" width="7.42578125" customWidth="1"/>
    <col min="15" max="15" width="9.42578125" customWidth="1"/>
    <col min="16" max="16" width="4.5703125" style="36" customWidth="1"/>
  </cols>
  <sheetData>
    <row r="1" spans="1:16" ht="23.1">
      <c r="A1" s="399" t="s">
        <v>78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15"/>
      <c r="P1" s="315"/>
    </row>
    <row r="2" spans="1:16" ht="15" customHeight="1">
      <c r="B2" s="75" t="s">
        <v>280</v>
      </c>
      <c r="C2" s="265" t="str">
        <f>IF('P2'!C5&gt;0,'P2'!C5,"")</f>
        <v>NM 5-kamp og Norges Cup 3. runde</v>
      </c>
      <c r="D2" s="265"/>
      <c r="E2" s="26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6">
      <c r="A3" s="400" t="s">
        <v>4</v>
      </c>
      <c r="B3" s="400"/>
      <c r="C3" s="401" t="str">
        <f>IF('P2'!J5&gt;0,'P2'!J5,"")</f>
        <v>Larvik AK</v>
      </c>
      <c r="D3" s="401"/>
      <c r="E3" s="77" t="s">
        <v>6</v>
      </c>
      <c r="F3" s="403" t="str">
        <f>IF('P2'!P5&gt;0,'P2'!P5,"")</f>
        <v>Stavernhallen</v>
      </c>
      <c r="G3" s="403"/>
      <c r="H3" s="403"/>
      <c r="I3" s="403"/>
      <c r="J3" s="261" t="s">
        <v>8</v>
      </c>
      <c r="K3" s="404">
        <f>IF('P2'!U5&gt;0,'P2'!U5,"")</f>
        <v>43358</v>
      </c>
      <c r="L3" s="404"/>
      <c r="M3" s="78" t="s">
        <v>9</v>
      </c>
      <c r="N3" s="131">
        <v>10</v>
      </c>
      <c r="O3" s="130"/>
      <c r="P3" s="79"/>
    </row>
    <row r="4" spans="1:16" ht="14.45" thickBot="1">
      <c r="B4" s="395" t="s">
        <v>284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78"/>
      <c r="P4" s="79"/>
    </row>
    <row r="5" spans="1:16" s="80" customFormat="1" ht="14.1">
      <c r="B5" s="81" t="s">
        <v>72</v>
      </c>
      <c r="C5" s="82" t="s">
        <v>15</v>
      </c>
      <c r="D5" s="396" t="s">
        <v>75</v>
      </c>
      <c r="E5" s="396"/>
      <c r="F5" s="396"/>
      <c r="G5" s="396"/>
      <c r="H5" s="397" t="s">
        <v>76</v>
      </c>
      <c r="I5" s="397"/>
      <c r="J5" s="397"/>
      <c r="K5" s="397"/>
      <c r="L5" s="398" t="s">
        <v>282</v>
      </c>
      <c r="M5" s="398"/>
      <c r="N5" s="398"/>
      <c r="O5" s="83"/>
      <c r="P5" s="84"/>
    </row>
    <row r="6" spans="1:16" ht="13.5" thickBot="1">
      <c r="B6" s="85" t="s">
        <v>79</v>
      </c>
      <c r="C6" s="86" t="s">
        <v>85</v>
      </c>
      <c r="D6" s="87">
        <v>1</v>
      </c>
      <c r="E6" s="87">
        <v>2</v>
      </c>
      <c r="F6" s="88">
        <v>3</v>
      </c>
      <c r="G6" s="89" t="s">
        <v>283</v>
      </c>
      <c r="H6" s="90">
        <v>1</v>
      </c>
      <c r="I6" s="87">
        <v>2</v>
      </c>
      <c r="J6" s="88">
        <v>3</v>
      </c>
      <c r="K6" s="89" t="s">
        <v>283</v>
      </c>
      <c r="L6" s="90">
        <v>1</v>
      </c>
      <c r="M6" s="88">
        <v>2</v>
      </c>
      <c r="N6" s="91" t="s">
        <v>283</v>
      </c>
      <c r="O6" s="92"/>
      <c r="P6" s="93"/>
    </row>
    <row r="7" spans="1:16" ht="18" customHeight="1">
      <c r="B7" s="94" t="str">
        <f>IF('P10'!D9="","",'P10'!D9)</f>
        <v>+18</v>
      </c>
      <c r="C7" s="124" t="str">
        <f>IF('P10'!G9="","",'P10'!G9)</f>
        <v>Ole-Kristoffer Sørland</v>
      </c>
      <c r="D7" s="114">
        <v>7.77</v>
      </c>
      <c r="E7" s="114" t="s">
        <v>48</v>
      </c>
      <c r="F7" s="114" t="s">
        <v>48</v>
      </c>
      <c r="G7" s="95">
        <f>IF(MAX(D7,E7,F7)&gt;0,MAX(D7,E7,F7),"")</f>
        <v>7.77</v>
      </c>
      <c r="H7" s="118">
        <v>12.55</v>
      </c>
      <c r="I7" s="114">
        <v>12.09</v>
      </c>
      <c r="J7" s="114">
        <v>14.01</v>
      </c>
      <c r="K7" s="95">
        <f>IF(MAX(H7,I7,J7)&gt;0,MAX(H7,I7,J7),"")</f>
        <v>14.01</v>
      </c>
      <c r="L7" s="120">
        <v>7.06</v>
      </c>
      <c r="M7" s="115">
        <v>7.05</v>
      </c>
      <c r="N7" s="95">
        <f>IF(MIN(L7,M7)&gt;0,MIN(L7,M7),"")</f>
        <v>7.05</v>
      </c>
      <c r="O7" s="96"/>
      <c r="P7" s="97"/>
    </row>
    <row r="8" spans="1:16" ht="18" customHeight="1">
      <c r="B8" s="98"/>
      <c r="C8" s="267" t="str">
        <f>IF('P10'!G10="","",'P10'!G10)</f>
        <v>Breimsbygda IL</v>
      </c>
      <c r="D8" s="106"/>
      <c r="E8" s="106"/>
      <c r="F8" s="107"/>
      <c r="G8" s="99"/>
      <c r="H8" s="109"/>
      <c r="I8" s="106"/>
      <c r="J8" s="107"/>
      <c r="K8" s="100"/>
      <c r="L8" s="109"/>
      <c r="M8" s="107"/>
      <c r="N8" s="101"/>
      <c r="O8" s="102" t="str">
        <f>IF(SUM(L8:N8)&gt;0,SUM(L8:N8),"")</f>
        <v/>
      </c>
      <c r="P8" s="74"/>
    </row>
    <row r="9" spans="1:16" ht="18" customHeight="1">
      <c r="B9" s="275" t="str">
        <f>IF('P10'!D11="","",'P10'!D11)</f>
        <v>+18</v>
      </c>
      <c r="C9" s="268" t="str">
        <f>IF('P10'!G11="","",'P10'!G11)</f>
        <v>Kenneth Friberg</v>
      </c>
      <c r="D9" s="116">
        <v>7.26</v>
      </c>
      <c r="E9" s="116">
        <v>6.99</v>
      </c>
      <c r="F9" s="117">
        <v>7.26</v>
      </c>
      <c r="G9" s="104">
        <f>IF(MAX(D9,E9,F9)&gt;0,MAX(D9,E9,F9),"")</f>
        <v>7.26</v>
      </c>
      <c r="H9" s="119">
        <v>13.19</v>
      </c>
      <c r="I9" s="116">
        <v>15.64</v>
      </c>
      <c r="J9" s="116">
        <v>15.6</v>
      </c>
      <c r="K9" s="105">
        <f>IF(MAX(H9,I9,J9)&gt;0,MAX(H9,I9,J9),"")</f>
        <v>15.64</v>
      </c>
      <c r="L9" s="121">
        <v>6.73</v>
      </c>
      <c r="M9" s="116" t="s">
        <v>48</v>
      </c>
      <c r="N9" s="105">
        <f>IF(MIN(L9,M9)&gt;0,MIN(L9,M9),"")</f>
        <v>6.73</v>
      </c>
      <c r="O9" s="96"/>
      <c r="P9" s="97"/>
    </row>
    <row r="10" spans="1:16" ht="18" customHeight="1">
      <c r="B10" s="98"/>
      <c r="C10" s="267" t="str">
        <f>IF('P10'!G12="","",'P10'!G12)</f>
        <v>Oslo AK</v>
      </c>
      <c r="D10" s="106"/>
      <c r="E10" s="106"/>
      <c r="F10" s="107"/>
      <c r="G10" s="99"/>
      <c r="H10" s="109"/>
      <c r="I10" s="106"/>
      <c r="J10" s="107"/>
      <c r="K10" s="100"/>
      <c r="L10" s="109"/>
      <c r="M10" s="107"/>
      <c r="N10" s="101"/>
      <c r="O10" s="102" t="str">
        <f>IF(SUM(L10:N10)&gt;0,SUM(L10:N10),"")</f>
        <v/>
      </c>
      <c r="P10" s="74"/>
    </row>
    <row r="11" spans="1:16" ht="18" customHeight="1">
      <c r="B11" s="275" t="str">
        <f>IF('P10'!D13="","",'P10'!D13)</f>
        <v>+18</v>
      </c>
      <c r="C11" s="268" t="str">
        <f>IF('P10'!G13="","",'P10'!G13)</f>
        <v>John Anders Terland</v>
      </c>
      <c r="D11" s="116">
        <v>8.25</v>
      </c>
      <c r="E11" s="116">
        <v>8.86</v>
      </c>
      <c r="F11" s="117">
        <v>8.8699999999999992</v>
      </c>
      <c r="G11" s="104">
        <f>IF(MAX(D11,E11,F11)&gt;0,MAX(D11,E11,F11),"")</f>
        <v>8.8699999999999992</v>
      </c>
      <c r="H11" s="119">
        <v>16.5</v>
      </c>
      <c r="I11" s="116">
        <v>17.420000000000002</v>
      </c>
      <c r="J11" s="116">
        <v>17.079999999999998</v>
      </c>
      <c r="K11" s="105">
        <f>IF(MAX(H11,I11,J11)&gt;0,MAX(H11,I11,J11),"")</f>
        <v>17.420000000000002</v>
      </c>
      <c r="L11" s="121">
        <v>6.54</v>
      </c>
      <c r="M11" s="116" t="s">
        <v>48</v>
      </c>
      <c r="N11" s="105">
        <f>IF(MIN(L11,M11)&gt;0,MIN(L11,M11),"")</f>
        <v>6.54</v>
      </c>
      <c r="O11" s="96"/>
      <c r="P11" s="97"/>
    </row>
    <row r="12" spans="1:16" ht="18" customHeight="1">
      <c r="B12" s="98"/>
      <c r="C12" s="267" t="str">
        <f>IF('P10'!G14="","",'P10'!G14)</f>
        <v>T &amp; IL National</v>
      </c>
      <c r="D12" s="106"/>
      <c r="E12" s="106"/>
      <c r="F12" s="107"/>
      <c r="G12" s="99"/>
      <c r="H12" s="109"/>
      <c r="I12" s="106"/>
      <c r="J12" s="107"/>
      <c r="K12" s="100"/>
      <c r="L12" s="109"/>
      <c r="M12" s="107"/>
      <c r="N12" s="101"/>
      <c r="O12" s="102" t="str">
        <f>IF(SUM(L12:N12)&gt;0,SUM(L12:N12),"")</f>
        <v/>
      </c>
      <c r="P12" s="74"/>
    </row>
    <row r="13" spans="1:16" ht="18" customHeight="1">
      <c r="B13" s="275" t="str">
        <f>IF('P10'!D15="","",'P10'!D15)</f>
        <v>+18</v>
      </c>
      <c r="C13" s="268" t="str">
        <f>IF('P10'!G15="","",'P10'!G15)</f>
        <v>Roy Sømme Ommedal</v>
      </c>
      <c r="D13" s="116">
        <v>8.24</v>
      </c>
      <c r="E13" s="116">
        <v>8.39</v>
      </c>
      <c r="F13" s="117">
        <v>8.67</v>
      </c>
      <c r="G13" s="104">
        <f>IF(MAX(D13,E13,F13)&gt;0,MAX(D13,E13,F13),"")</f>
        <v>8.67</v>
      </c>
      <c r="H13" s="119">
        <v>14.44</v>
      </c>
      <c r="I13" s="116">
        <v>16.399999999999999</v>
      </c>
      <c r="J13" s="116">
        <v>13.81</v>
      </c>
      <c r="K13" s="105">
        <f>IF(MAX(H13,I13,J13)&gt;0,MAX(H13,I13,J13),"")</f>
        <v>16.399999999999999</v>
      </c>
      <c r="L13" s="121">
        <v>6.42</v>
      </c>
      <c r="M13" s="116" t="s">
        <v>48</v>
      </c>
      <c r="N13" s="105">
        <f>IF(MIN(L13,M13)&gt;0,MIN(L13,M13),"")</f>
        <v>6.42</v>
      </c>
      <c r="O13" s="96"/>
      <c r="P13" s="97"/>
    </row>
    <row r="14" spans="1:16" ht="18" customHeight="1">
      <c r="B14" s="98"/>
      <c r="C14" s="267" t="str">
        <f>IF('P10'!G16="","",'P10'!G16)</f>
        <v>Vigrestad IK</v>
      </c>
      <c r="D14" s="106"/>
      <c r="E14" s="106"/>
      <c r="F14" s="107"/>
      <c r="G14" s="99"/>
      <c r="H14" s="109"/>
      <c r="I14" s="106"/>
      <c r="J14" s="107"/>
      <c r="K14" s="100"/>
      <c r="L14" s="109"/>
      <c r="M14" s="107"/>
      <c r="N14" s="101"/>
      <c r="O14" s="102" t="str">
        <f>IF(SUM(L14:N14)&gt;0,SUM(L14:N14),"")</f>
        <v/>
      </c>
      <c r="P14" s="74"/>
    </row>
    <row r="15" spans="1:16" ht="18" customHeight="1">
      <c r="B15" s="275" t="str">
        <f>IF('P10'!D17="","",'P10'!D17)</f>
        <v>+18</v>
      </c>
      <c r="C15" s="268" t="str">
        <f>IF('P10'!G17="","",'P10'!G17)</f>
        <v>Jantsen Øverås</v>
      </c>
      <c r="D15" s="116">
        <v>8.5399999999999991</v>
      </c>
      <c r="E15" s="116">
        <v>8.7200000000000006</v>
      </c>
      <c r="F15" s="116" t="s">
        <v>48</v>
      </c>
      <c r="G15" s="104">
        <f>IF(MAX(D15,E15,F15)&gt;0,MAX(D15,E15,F15),"")</f>
        <v>8.7200000000000006</v>
      </c>
      <c r="H15" s="119">
        <v>15.6</v>
      </c>
      <c r="I15" s="116">
        <v>15.52</v>
      </c>
      <c r="J15" s="116">
        <v>14.74</v>
      </c>
      <c r="K15" s="105">
        <f>IF(MAX(H15,I15,J15)&gt;0,MAX(H15,I15,J15),"")</f>
        <v>15.6</v>
      </c>
      <c r="L15" s="121">
        <v>6.65</v>
      </c>
      <c r="M15" s="116" t="s">
        <v>48</v>
      </c>
      <c r="N15" s="105">
        <f>IF(MIN(L15,M15)&gt;0,MIN(L15,M15),"")</f>
        <v>6.65</v>
      </c>
      <c r="O15" s="96"/>
      <c r="P15" s="97"/>
    </row>
    <row r="16" spans="1:16" ht="18" customHeight="1">
      <c r="B16" s="98"/>
      <c r="C16" s="267" t="str">
        <f>IF('P10'!G18="","",'P10'!G18)</f>
        <v>Tambarskjelvar IL</v>
      </c>
      <c r="D16" s="106"/>
      <c r="E16" s="106"/>
      <c r="F16" s="107"/>
      <c r="G16" s="99"/>
      <c r="H16" s="109"/>
      <c r="I16" s="106"/>
      <c r="J16" s="107"/>
      <c r="K16" s="100"/>
      <c r="L16" s="109"/>
      <c r="M16" s="107"/>
      <c r="N16" s="101"/>
      <c r="O16" s="102" t="str">
        <f>IF(SUM(L16:N16)&gt;0,SUM(L16:N16),"")</f>
        <v/>
      </c>
      <c r="P16" s="74"/>
    </row>
    <row r="17" spans="2:16" ht="18" customHeight="1">
      <c r="B17" s="275" t="str">
        <f>IF('P10'!D19="","",'P10'!D19)</f>
        <v>+18</v>
      </c>
      <c r="C17" s="268" t="str">
        <f>IF('P10'!G19="","",'P10'!G19)</f>
        <v>Ole Magnus Strand</v>
      </c>
      <c r="D17" s="116"/>
      <c r="E17" s="116"/>
      <c r="F17" s="117"/>
      <c r="G17" s="104" t="str">
        <f>IF(MAX(D17,E17,F17)&gt;0,MAX(D17,E17,F17),"")</f>
        <v/>
      </c>
      <c r="H17" s="119"/>
      <c r="I17" s="116"/>
      <c r="J17" s="116"/>
      <c r="K17" s="105" t="str">
        <f>IF(MAX(H17,I17,J17)&gt;0,MAX(H17,I17,J17),"")</f>
        <v/>
      </c>
      <c r="L17" s="121"/>
      <c r="M17" s="117"/>
      <c r="N17" s="105" t="str">
        <f>IF(MIN(L17,M17)&gt;0,MIN(L17,M17),"")</f>
        <v/>
      </c>
      <c r="O17" s="96"/>
      <c r="P17" s="97"/>
    </row>
    <row r="18" spans="2:16" ht="18" customHeight="1">
      <c r="B18" s="98"/>
      <c r="C18" s="267" t="str">
        <f>IF('P10'!G20="","",'P10'!G20)</f>
        <v>Hitra VK</v>
      </c>
      <c r="D18" s="106"/>
      <c r="E18" s="106"/>
      <c r="F18" s="107"/>
      <c r="G18" s="99"/>
      <c r="H18" s="109"/>
      <c r="I18" s="106"/>
      <c r="J18" s="107"/>
      <c r="K18" s="100"/>
      <c r="L18" s="109"/>
      <c r="M18" s="107"/>
      <c r="N18" s="101"/>
      <c r="O18" s="102" t="str">
        <f>IF(SUM(L18:N18)&gt;0,SUM(L18:N18),"")</f>
        <v/>
      </c>
      <c r="P18" s="74"/>
    </row>
    <row r="19" spans="2:16" ht="18" customHeight="1">
      <c r="B19" s="275" t="str">
        <f>IF('P10'!D21="","",'P10'!D21)</f>
        <v>+18</v>
      </c>
      <c r="C19" s="268" t="str">
        <f>IF('P10'!G21="","",'P10'!G21)</f>
        <v>Jørgen Kjellevand</v>
      </c>
      <c r="D19" s="116">
        <v>8.65</v>
      </c>
      <c r="E19" s="116">
        <v>9.25</v>
      </c>
      <c r="F19" s="117">
        <v>9.23</v>
      </c>
      <c r="G19" s="104">
        <f>IF(MAX(D19,E19,F19)&gt;0,MAX(D19,E19,F19),"")</f>
        <v>9.25</v>
      </c>
      <c r="H19" s="119">
        <v>14.65</v>
      </c>
      <c r="I19" s="116">
        <v>10.34</v>
      </c>
      <c r="J19" s="116">
        <v>12.65</v>
      </c>
      <c r="K19" s="105">
        <f>IF(MAX(H19,I19,J19)&gt;0,MAX(H19,I19,J19),"")</f>
        <v>14.65</v>
      </c>
      <c r="L19" s="121">
        <v>6.14</v>
      </c>
      <c r="M19" s="117">
        <v>6.15</v>
      </c>
      <c r="N19" s="105">
        <f>IF(MIN(L19,M19)&gt;0,MIN(L19,M19),"")</f>
        <v>6.14</v>
      </c>
      <c r="O19" s="96"/>
      <c r="P19" s="97"/>
    </row>
    <row r="20" spans="2:16" ht="18" customHeight="1">
      <c r="B20" s="98"/>
      <c r="C20" s="267" t="str">
        <f>IF('P10'!G22="","",'P10'!G22)</f>
        <v>Spydeberg Atletene</v>
      </c>
      <c r="D20" s="106"/>
      <c r="E20" s="106"/>
      <c r="F20" s="107"/>
      <c r="G20" s="99"/>
      <c r="H20" s="109"/>
      <c r="I20" s="106"/>
      <c r="J20" s="107"/>
      <c r="K20" s="100"/>
      <c r="L20" s="109"/>
      <c r="M20" s="107"/>
      <c r="N20" s="101"/>
      <c r="O20" s="102" t="str">
        <f>IF(SUM(L20:N20)&gt;0,SUM(L20:N20),"")</f>
        <v/>
      </c>
      <c r="P20" s="74"/>
    </row>
    <row r="21" spans="2:16" ht="18" customHeight="1">
      <c r="B21" s="275" t="str">
        <f>IF('P10'!D23="","",'P10'!D23)</f>
        <v>+18</v>
      </c>
      <c r="C21" s="268" t="str">
        <f>IF('P10'!G23="","",'P10'!G23)</f>
        <v>Lars Joachim Nilsen</v>
      </c>
      <c r="D21" s="116">
        <v>7.79</v>
      </c>
      <c r="E21" s="116">
        <v>7.97</v>
      </c>
      <c r="F21" s="117">
        <v>8.1199999999999992</v>
      </c>
      <c r="G21" s="104">
        <f>IF(MAX(D21,E21,F21)&gt;0,MAX(D21,E21,F21),"")</f>
        <v>8.1199999999999992</v>
      </c>
      <c r="H21" s="119">
        <v>15.3</v>
      </c>
      <c r="I21" s="116">
        <v>16.87</v>
      </c>
      <c r="J21" s="116">
        <v>17.260000000000002</v>
      </c>
      <c r="K21" s="105">
        <f>IF(MAX(H21,I21,J21)&gt;0,MAX(H21,I21,J21),"")</f>
        <v>17.260000000000002</v>
      </c>
      <c r="L21" s="121">
        <v>6.79</v>
      </c>
      <c r="M21" s="117">
        <v>6.65</v>
      </c>
      <c r="N21" s="105">
        <f>IF(MIN(L21,M21)&gt;0,MIN(L21,M21),"")</f>
        <v>6.65</v>
      </c>
      <c r="O21" s="96"/>
      <c r="P21" s="97"/>
    </row>
    <row r="22" spans="2:16" ht="18" customHeight="1">
      <c r="B22" s="98"/>
      <c r="C22" s="267" t="str">
        <f>IF('P10'!G24="","",'P10'!G24)</f>
        <v>T &amp; IL National</v>
      </c>
      <c r="D22" s="106"/>
      <c r="E22" s="106"/>
      <c r="F22" s="107"/>
      <c r="G22" s="108"/>
      <c r="H22" s="109"/>
      <c r="I22" s="106"/>
      <c r="J22" s="107"/>
      <c r="K22" s="110"/>
      <c r="L22" s="109"/>
      <c r="M22" s="107"/>
      <c r="N22" s="101"/>
      <c r="O22" s="102" t="str">
        <f>IF(SUM(L22:N22)&gt;0,SUM(L22:N22),"")</f>
        <v/>
      </c>
      <c r="P22" s="74"/>
    </row>
    <row r="23" spans="2:16" ht="18" customHeight="1">
      <c r="B23" s="275" t="str">
        <f>IF('P10'!D25="","",'P10'!D25)</f>
        <v/>
      </c>
      <c r="C23" s="268" t="str">
        <f>IF('P10'!G25="","",'P10'!G25)</f>
        <v/>
      </c>
      <c r="D23" s="116"/>
      <c r="E23" s="116"/>
      <c r="F23" s="117"/>
      <c r="G23" s="104" t="str">
        <f>IF(MAX(D23,E23,F23)&gt;0,MAX(D23,E23,F23),"")</f>
        <v/>
      </c>
      <c r="H23" s="119"/>
      <c r="I23" s="116"/>
      <c r="J23" s="116"/>
      <c r="K23" s="105" t="str">
        <f>IF(MAX(H23,I23,J23)&gt;0,MAX(H23,I23,J23),"")</f>
        <v/>
      </c>
      <c r="L23" s="121"/>
      <c r="M23" s="117"/>
      <c r="N23" s="105" t="str">
        <f>IF(MIN(L23,M23)&gt;0,MIN(L23,M23),"")</f>
        <v/>
      </c>
      <c r="O23" s="96"/>
      <c r="P23" s="97"/>
    </row>
    <row r="24" spans="2:16" ht="18" customHeight="1">
      <c r="B24" s="98"/>
      <c r="C24" s="267" t="str">
        <f>IF('P10'!G26="","",'P10'!G26)</f>
        <v/>
      </c>
      <c r="D24" s="106" t="s">
        <v>42</v>
      </c>
      <c r="E24" s="106"/>
      <c r="F24" s="107"/>
      <c r="G24" s="99"/>
      <c r="H24" s="109"/>
      <c r="I24" s="106"/>
      <c r="J24" s="107"/>
      <c r="K24" s="100"/>
      <c r="L24" s="109"/>
      <c r="M24" s="107"/>
      <c r="N24" s="101"/>
      <c r="O24" s="102" t="str">
        <f>IF(SUM(L24:N24)&gt;0,SUM(L24:N24),"")</f>
        <v/>
      </c>
      <c r="P24" s="74"/>
    </row>
    <row r="25" spans="2:16" ht="18" customHeight="1">
      <c r="B25" s="275" t="str">
        <f>IF('P10'!D27="","",'P10'!D27)</f>
        <v/>
      </c>
      <c r="C25" s="268" t="str">
        <f>IF('P10'!G27="","",'P10'!G27)</f>
        <v/>
      </c>
      <c r="D25" s="116"/>
      <c r="E25" s="116"/>
      <c r="F25" s="117"/>
      <c r="G25" s="104" t="str">
        <f>IF(MAX(D25,E25,F25)&gt;0,MAX(D25,E25,F25),"")</f>
        <v/>
      </c>
      <c r="H25" s="119"/>
      <c r="I25" s="116"/>
      <c r="J25" s="116"/>
      <c r="K25" s="105" t="str">
        <f>IF(MAX(H25,I25,J25)&gt;0,MAX(H25,I25,J25),"")</f>
        <v/>
      </c>
      <c r="L25" s="121"/>
      <c r="M25" s="117"/>
      <c r="N25" s="105" t="str">
        <f>IF(MIN(L25,M25)&gt;0,MIN(L25,M25),"")</f>
        <v/>
      </c>
      <c r="O25" s="96"/>
      <c r="P25" s="97"/>
    </row>
    <row r="26" spans="2:16" ht="18" customHeight="1">
      <c r="B26" s="98"/>
      <c r="C26" s="267" t="str">
        <f>IF('P10'!G28="","",'P10'!G28)</f>
        <v/>
      </c>
      <c r="D26" s="106"/>
      <c r="E26" s="106"/>
      <c r="F26" s="107"/>
      <c r="G26" s="99"/>
      <c r="H26" s="109"/>
      <c r="I26" s="106"/>
      <c r="J26" s="107"/>
      <c r="K26" s="100"/>
      <c r="L26" s="109"/>
      <c r="M26" s="107"/>
      <c r="N26" s="101"/>
      <c r="O26" s="102" t="str">
        <f>IF(SUM(L26:N26)&gt;0,SUM(L26:N26),"")</f>
        <v/>
      </c>
      <c r="P26" s="74"/>
    </row>
    <row r="27" spans="2:16" ht="18" customHeight="1">
      <c r="B27" s="275" t="str">
        <f>IF('P10'!D29="","",'P10'!D29)</f>
        <v/>
      </c>
      <c r="C27" s="268" t="str">
        <f>IF('P10'!G29="","",'P10'!G29)</f>
        <v/>
      </c>
      <c r="D27" s="116"/>
      <c r="E27" s="116"/>
      <c r="F27" s="117"/>
      <c r="G27" s="104" t="str">
        <f>IF(MAX(D27,E27,F27)&gt;0,MAX(D27,E27,F27),"")</f>
        <v/>
      </c>
      <c r="H27" s="119"/>
      <c r="I27" s="116"/>
      <c r="J27" s="116"/>
      <c r="K27" s="105" t="str">
        <f>IF(MAX(H27,I27,J27)&gt;0,MAX(H27,I27,J27),"")</f>
        <v/>
      </c>
      <c r="L27" s="121"/>
      <c r="M27" s="117"/>
      <c r="N27" s="105" t="str">
        <f>IF(MIN(L27,M27)&gt;0,MIN(L27,M27),"")</f>
        <v/>
      </c>
      <c r="O27" s="96"/>
      <c r="P27" s="97"/>
    </row>
    <row r="28" spans="2:16" ht="18" customHeight="1">
      <c r="B28" s="98"/>
      <c r="C28" s="267" t="str">
        <f>IF('P10'!G30="","",'P10'!G30)</f>
        <v/>
      </c>
      <c r="D28" s="106"/>
      <c r="E28" s="106"/>
      <c r="F28" s="107"/>
      <c r="G28" s="99"/>
      <c r="H28" s="109"/>
      <c r="I28" s="106"/>
      <c r="J28" s="107"/>
      <c r="K28" s="100"/>
      <c r="L28" s="122"/>
      <c r="M28" s="107"/>
      <c r="N28" s="101"/>
      <c r="O28" s="102" t="str">
        <f>IF(SUM(L28:N28)&gt;0,SUM(L28:N28),"")</f>
        <v/>
      </c>
      <c r="P28" s="74"/>
    </row>
    <row r="29" spans="2:16" ht="18" customHeight="1">
      <c r="B29" s="275" t="str">
        <f>IF('P10'!D31="","",'P10'!D31)</f>
        <v/>
      </c>
      <c r="C29" s="268" t="str">
        <f>IF('P10'!G31="","",'P10'!G31)</f>
        <v/>
      </c>
      <c r="D29" s="116"/>
      <c r="E29" s="116"/>
      <c r="F29" s="117"/>
      <c r="G29" s="104" t="str">
        <f>IF(MAX(D29,E29,F29)&gt;0,MAX(D29,E29,F29),"")</f>
        <v/>
      </c>
      <c r="H29" s="119"/>
      <c r="I29" s="116"/>
      <c r="J29" s="116"/>
      <c r="K29" s="105" t="str">
        <f>IF(MAX(H29,I29,J29)&gt;0,MAX(H29,I29,J29),"")</f>
        <v/>
      </c>
      <c r="L29" s="123"/>
      <c r="M29" s="117"/>
      <c r="N29" s="105" t="str">
        <f>IF(MIN(L29,M29)&gt;0,MIN(L29,M29),"")</f>
        <v/>
      </c>
      <c r="O29" s="96"/>
      <c r="P29" s="97"/>
    </row>
    <row r="30" spans="2:16" ht="18" customHeight="1">
      <c r="B30" s="98"/>
      <c r="C30" s="267" t="str">
        <f>IF('P10'!G32="","",'P10'!G32)</f>
        <v/>
      </c>
      <c r="D30" s="106"/>
      <c r="E30" s="106"/>
      <c r="F30" s="107"/>
      <c r="G30" s="111"/>
      <c r="H30" s="109"/>
      <c r="I30" s="106"/>
      <c r="J30" s="107"/>
      <c r="K30" s="108"/>
      <c r="L30" s="109"/>
      <c r="M30" s="107"/>
      <c r="N30" s="112"/>
      <c r="O30" s="102" t="str">
        <f>IF(SUM(L30:N30)&gt;0,SUM(L30:N30),"")</f>
        <v/>
      </c>
      <c r="P30" s="74"/>
    </row>
    <row r="31" spans="2:16">
      <c r="B31" s="113"/>
      <c r="C31" s="113"/>
    </row>
  </sheetData>
  <mergeCells count="9">
    <mergeCell ref="D5:G5"/>
    <mergeCell ref="H5:K5"/>
    <mergeCell ref="L5:N5"/>
    <mergeCell ref="A1:N1"/>
    <mergeCell ref="A3:B3"/>
    <mergeCell ref="C3:D3"/>
    <mergeCell ref="F3:I3"/>
    <mergeCell ref="K3:L3"/>
    <mergeCell ref="B4:N4"/>
  </mergeCells>
  <pageMargins left="0.27559055118110237" right="0.27559055118110237" top="0.27559055118110237" bottom="0.27559055118110237" header="0.51181102362204722" footer="0.51181102362204722"/>
  <pageSetup paperSize="9" fitToHeight="0" orientation="landscape" horizontalDpi="300" verticalDpi="300" copies="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P31"/>
  <sheetViews>
    <sheetView showGridLines="0" showRowColHeaders="0" showZeros="0" workbookViewId="0">
      <selection activeCell="N21" sqref="N21"/>
    </sheetView>
  </sheetViews>
  <sheetFormatPr defaultColWidth="8.85546875" defaultRowHeight="12.95"/>
  <cols>
    <col min="1" max="1" width="5.5703125" customWidth="1"/>
    <col min="2" max="2" width="7.5703125" customWidth="1"/>
    <col min="3" max="3" width="27.5703125" customWidth="1"/>
    <col min="4" max="14" width="7.42578125" customWidth="1"/>
    <col min="15" max="15" width="9.42578125" customWidth="1"/>
    <col min="16" max="16" width="4.5703125" style="36" customWidth="1"/>
  </cols>
  <sheetData>
    <row r="1" spans="1:16" ht="23.1">
      <c r="A1" s="399" t="s">
        <v>78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15"/>
      <c r="P1" s="315"/>
    </row>
    <row r="2" spans="1:16" ht="15" customHeight="1">
      <c r="B2" s="75" t="s">
        <v>280</v>
      </c>
      <c r="C2" s="265" t="str">
        <f>IF('P2'!C5&gt;0,'P2'!C5,"")</f>
        <v>NM 5-kamp og Norges Cup 3. runde</v>
      </c>
      <c r="D2" s="265"/>
      <c r="E2" s="26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6">
      <c r="A3" s="400" t="s">
        <v>4</v>
      </c>
      <c r="B3" s="400"/>
      <c r="C3" s="401" t="str">
        <f>IF('P2'!J5&gt;0,'P2'!J5,"")</f>
        <v>Larvik AK</v>
      </c>
      <c r="D3" s="401"/>
      <c r="E3" s="77" t="s">
        <v>6</v>
      </c>
      <c r="F3" s="403" t="str">
        <f>IF('P2'!P5&gt;0,'P2'!P5,"")</f>
        <v>Stavernhallen</v>
      </c>
      <c r="G3" s="403"/>
      <c r="H3" s="403"/>
      <c r="I3" s="403"/>
      <c r="J3" s="261" t="s">
        <v>8</v>
      </c>
      <c r="K3" s="404">
        <f>IF('P2'!U5&gt;0,'P2'!U5,"")</f>
        <v>43358</v>
      </c>
      <c r="L3" s="404"/>
      <c r="M3" s="78" t="s">
        <v>9</v>
      </c>
      <c r="N3" s="131">
        <v>11</v>
      </c>
      <c r="O3" s="130"/>
      <c r="P3" s="79"/>
    </row>
    <row r="4" spans="1:16" ht="14.45" thickBot="1">
      <c r="B4" s="395" t="s">
        <v>284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78"/>
      <c r="P4" s="79"/>
    </row>
    <row r="5" spans="1:16" s="80" customFormat="1" ht="14.1">
      <c r="B5" s="81" t="s">
        <v>72</v>
      </c>
      <c r="C5" s="82" t="s">
        <v>15</v>
      </c>
      <c r="D5" s="396" t="s">
        <v>75</v>
      </c>
      <c r="E5" s="396"/>
      <c r="F5" s="396"/>
      <c r="G5" s="396"/>
      <c r="H5" s="397" t="s">
        <v>76</v>
      </c>
      <c r="I5" s="397"/>
      <c r="J5" s="397"/>
      <c r="K5" s="397"/>
      <c r="L5" s="398" t="s">
        <v>282</v>
      </c>
      <c r="M5" s="398"/>
      <c r="N5" s="398"/>
      <c r="O5" s="83"/>
      <c r="P5" s="84"/>
    </row>
    <row r="6" spans="1:16" ht="13.5" thickBot="1">
      <c r="B6" s="85" t="s">
        <v>79</v>
      </c>
      <c r="C6" s="86" t="s">
        <v>85</v>
      </c>
      <c r="D6" s="87">
        <v>1</v>
      </c>
      <c r="E6" s="87">
        <v>2</v>
      </c>
      <c r="F6" s="88">
        <v>3</v>
      </c>
      <c r="G6" s="89" t="s">
        <v>283</v>
      </c>
      <c r="H6" s="90">
        <v>1</v>
      </c>
      <c r="I6" s="87">
        <v>2</v>
      </c>
      <c r="J6" s="88">
        <v>3</v>
      </c>
      <c r="K6" s="89" t="s">
        <v>283</v>
      </c>
      <c r="L6" s="90">
        <v>1</v>
      </c>
      <c r="M6" s="88">
        <v>2</v>
      </c>
      <c r="N6" s="91" t="s">
        <v>283</v>
      </c>
      <c r="O6" s="92"/>
      <c r="P6" s="93"/>
    </row>
    <row r="7" spans="1:16" ht="18" customHeight="1">
      <c r="B7" s="94" t="str">
        <f>IF('P11'!D9="","",'P11'!D9)</f>
        <v>+18</v>
      </c>
      <c r="C7" s="124" t="str">
        <f>IF('P11'!G9="","",'P11'!G9)</f>
        <v>Mats Olsen</v>
      </c>
      <c r="D7" s="114">
        <v>9.07</v>
      </c>
      <c r="E7" s="114">
        <v>8.6199999999999992</v>
      </c>
      <c r="F7" s="115">
        <v>9.0500000000000007</v>
      </c>
      <c r="G7" s="95">
        <f>IF(MAX(D7,E7,F7)&gt;0,MAX(D7,E7,F7),"")</f>
        <v>9.07</v>
      </c>
      <c r="H7" s="118">
        <v>12.54</v>
      </c>
      <c r="I7" s="114">
        <v>11.71</v>
      </c>
      <c r="J7" s="114">
        <v>12.07</v>
      </c>
      <c r="K7" s="95">
        <f>IF(MAX(H7,I7,J7)&gt;0,MAX(H7,I7,J7),"")</f>
        <v>12.54</v>
      </c>
      <c r="L7" s="120">
        <v>6.89</v>
      </c>
      <c r="M7" s="114" t="s">
        <v>48</v>
      </c>
      <c r="N7" s="105">
        <f>IF(MIN(L7,M7)&gt;0,MIN(L7,M7),"")</f>
        <v>6.89</v>
      </c>
      <c r="O7" s="96"/>
      <c r="P7" s="97"/>
    </row>
    <row r="8" spans="1:16" ht="18" customHeight="1">
      <c r="B8" s="98"/>
      <c r="C8" s="267" t="str">
        <f>IF('P11'!G10="","",'P11'!G10)</f>
        <v>Tønsberg-Kam.</v>
      </c>
      <c r="D8" s="106"/>
      <c r="E8" s="106"/>
      <c r="F8" s="107"/>
      <c r="G8" s="99"/>
      <c r="H8" s="109"/>
      <c r="I8" s="106"/>
      <c r="J8" s="107"/>
      <c r="K8" s="100"/>
      <c r="L8" s="109"/>
      <c r="M8" s="107"/>
      <c r="N8" s="101"/>
      <c r="O8" s="102" t="str">
        <f>IF(SUM(L8:N8)&gt;0,SUM(L8:N8),"")</f>
        <v/>
      </c>
      <c r="P8" s="74"/>
    </row>
    <row r="9" spans="1:16" ht="18" customHeight="1">
      <c r="B9" s="103" t="str">
        <f>IF('P11'!D11="","",'P11'!D11)</f>
        <v>+18</v>
      </c>
      <c r="C9" s="268" t="str">
        <f>IF('P11'!G11="","",'P11'!G11)</f>
        <v>Roger B. Myrholt</v>
      </c>
      <c r="D9" s="116"/>
      <c r="E9" s="116"/>
      <c r="F9" s="117"/>
      <c r="G9" s="104" t="str">
        <f>IF(MAX(D9,E9,F9)&gt;0,MAX(D9,E9,F9),"")</f>
        <v/>
      </c>
      <c r="H9" s="119"/>
      <c r="I9" s="116"/>
      <c r="J9" s="116"/>
      <c r="K9" s="105" t="str">
        <f>IF(MAX(H9,I9,J9)&gt;0,MAX(H9,I9,J9),"")</f>
        <v/>
      </c>
      <c r="L9" s="121"/>
      <c r="M9" s="117"/>
      <c r="N9" s="105" t="str">
        <f>IF(MIN(L9,M9)&gt;0,MIN(L9,M9),"")</f>
        <v/>
      </c>
      <c r="O9" s="96"/>
      <c r="P9" s="97"/>
    </row>
    <row r="10" spans="1:16" ht="18" customHeight="1">
      <c r="B10" s="98"/>
      <c r="C10" s="267" t="str">
        <f>IF('P11'!G12="","",'P11'!G12)</f>
        <v>Tønsberg-Kam.</v>
      </c>
      <c r="D10" s="106"/>
      <c r="E10" s="106"/>
      <c r="F10" s="107"/>
      <c r="G10" s="99"/>
      <c r="H10" s="109"/>
      <c r="I10" s="106"/>
      <c r="J10" s="107"/>
      <c r="K10" s="100"/>
      <c r="L10" s="109"/>
      <c r="M10" s="107"/>
      <c r="N10" s="101"/>
      <c r="O10" s="102" t="str">
        <f>IF(SUM(L10:N10)&gt;0,SUM(L10:N10),"")</f>
        <v/>
      </c>
      <c r="P10" s="74"/>
    </row>
    <row r="11" spans="1:16" ht="18" customHeight="1">
      <c r="B11" s="103" t="str">
        <f>IF('P11'!D13="","",'P11'!D13)</f>
        <v>+18</v>
      </c>
      <c r="C11" s="268" t="str">
        <f>IF('P11'!G13="","",'P11'!G13)</f>
        <v>Leik Simon Aas</v>
      </c>
      <c r="D11" s="116"/>
      <c r="E11" s="116"/>
      <c r="F11" s="117"/>
      <c r="G11" s="104" t="str">
        <f>IF(MAX(D11,E11,F11)&gt;0,MAX(D11,E11,F11),"")</f>
        <v/>
      </c>
      <c r="H11" s="119"/>
      <c r="I11" s="116"/>
      <c r="J11" s="116"/>
      <c r="K11" s="105" t="str">
        <f>IF(MAX(H11,I11,J11)&gt;0,MAX(H11,I11,J11),"")</f>
        <v/>
      </c>
      <c r="L11" s="121"/>
      <c r="M11" s="117"/>
      <c r="N11" s="105" t="str">
        <f>IF(MIN(L11,M11)&gt;0,MIN(L11,M11),"")</f>
        <v/>
      </c>
      <c r="O11" s="96"/>
      <c r="P11" s="97"/>
    </row>
    <row r="12" spans="1:16" ht="18" customHeight="1">
      <c r="B12" s="98"/>
      <c r="C12" s="267" t="str">
        <f>IF('P11'!G14="","",'P11'!G14)</f>
        <v>T &amp; IL National</v>
      </c>
      <c r="D12" s="106"/>
      <c r="E12" s="106"/>
      <c r="F12" s="107"/>
      <c r="G12" s="99"/>
      <c r="H12" s="109"/>
      <c r="I12" s="106"/>
      <c r="J12" s="107"/>
      <c r="K12" s="100"/>
      <c r="L12" s="109"/>
      <c r="M12" s="107"/>
      <c r="N12" s="101"/>
      <c r="O12" s="102" t="str">
        <f>IF(SUM(L12:N12)&gt;0,SUM(L12:N12),"")</f>
        <v/>
      </c>
      <c r="P12" s="74"/>
    </row>
    <row r="13" spans="1:16" ht="18" customHeight="1">
      <c r="B13" s="103" t="str">
        <f>IF('P11'!D15="","",'P11'!D15)</f>
        <v>+18</v>
      </c>
      <c r="C13" s="268" t="str">
        <f>IF('P11'!G15="","",'P11'!G15)</f>
        <v>Håvard Grostad</v>
      </c>
      <c r="D13" s="116"/>
      <c r="E13" s="116"/>
      <c r="F13" s="117"/>
      <c r="G13" s="104" t="str">
        <f>IF(MAX(D13,E13,F13)&gt;0,MAX(D13,E13,F13),"")</f>
        <v/>
      </c>
      <c r="H13" s="119"/>
      <c r="I13" s="116"/>
      <c r="J13" s="116"/>
      <c r="K13" s="105" t="str">
        <f>IF(MAX(H13,I13,J13)&gt;0,MAX(H13,I13,J13),"")</f>
        <v/>
      </c>
      <c r="L13" s="121"/>
      <c r="M13" s="117"/>
      <c r="N13" s="105" t="str">
        <f>IF(MIN(L13,M13)&gt;0,MIN(L13,M13),"")</f>
        <v/>
      </c>
      <c r="O13" s="96"/>
      <c r="P13" s="97"/>
    </row>
    <row r="14" spans="1:16" ht="18" customHeight="1">
      <c r="B14" s="98"/>
      <c r="C14" s="267" t="str">
        <f>IF('P11'!G16="","",'P11'!G16)</f>
        <v>Nidelv IL</v>
      </c>
      <c r="D14" s="106"/>
      <c r="E14" s="106"/>
      <c r="F14" s="107"/>
      <c r="G14" s="99"/>
      <c r="H14" s="109"/>
      <c r="I14" s="106"/>
      <c r="J14" s="107"/>
      <c r="K14" s="100"/>
      <c r="L14" s="109"/>
      <c r="M14" s="107"/>
      <c r="N14" s="101"/>
      <c r="O14" s="102" t="str">
        <f>IF(SUM(L14:N14)&gt;0,SUM(L14:N14),"")</f>
        <v/>
      </c>
      <c r="P14" s="74"/>
    </row>
    <row r="15" spans="1:16" ht="18" customHeight="1">
      <c r="B15" s="103" t="str">
        <f>IF('P11'!D17="","",'P11'!D17)</f>
        <v>+18</v>
      </c>
      <c r="C15" s="268" t="str">
        <f>IF('P11'!G17="","",'P11'!G17)</f>
        <v>Tord Gravdal</v>
      </c>
      <c r="D15" s="116">
        <v>7.88</v>
      </c>
      <c r="E15" s="116">
        <v>7.67</v>
      </c>
      <c r="F15" s="117">
        <v>7.69</v>
      </c>
      <c r="G15" s="104">
        <f>IF(MAX(D15,E15,F15)&gt;0,MAX(D15,E15,F15),"")</f>
        <v>7.88</v>
      </c>
      <c r="H15" s="119">
        <v>12.8</v>
      </c>
      <c r="I15" s="116">
        <v>13.52</v>
      </c>
      <c r="J15" s="116">
        <v>13.78</v>
      </c>
      <c r="K15" s="105">
        <f>IF(MAX(H15,I15,J15)&gt;0,MAX(H15,I15,J15),"")</f>
        <v>13.78</v>
      </c>
      <c r="L15" s="121">
        <v>7.71</v>
      </c>
      <c r="M15" s="116" t="s">
        <v>48</v>
      </c>
      <c r="N15" s="105">
        <f>IF(MIN(L15,M15)&gt;0,MIN(L15,M15),"")</f>
        <v>7.71</v>
      </c>
      <c r="O15" s="96"/>
      <c r="P15" s="97"/>
    </row>
    <row r="16" spans="1:16" ht="18" customHeight="1">
      <c r="B16" s="98"/>
      <c r="C16" s="267" t="str">
        <f>IF('P11'!G18="","",'P11'!G18)</f>
        <v>Vigrestad IK</v>
      </c>
      <c r="D16" s="106"/>
      <c r="E16" s="106"/>
      <c r="F16" s="107"/>
      <c r="G16" s="99"/>
      <c r="H16" s="109"/>
      <c r="I16" s="106"/>
      <c r="J16" s="107"/>
      <c r="K16" s="100"/>
      <c r="L16" s="109"/>
      <c r="M16" s="107"/>
      <c r="N16" s="101"/>
      <c r="O16" s="102" t="str">
        <f>IF(SUM(L16:N16)&gt;0,SUM(L16:N16),"")</f>
        <v/>
      </c>
      <c r="P16" s="74"/>
    </row>
    <row r="17" spans="2:16" ht="18" customHeight="1">
      <c r="B17" s="103" t="str">
        <f>IF('P11'!D19="","",'P11'!D19)</f>
        <v>+18</v>
      </c>
      <c r="C17" s="268" t="str">
        <f>IF('P11'!G19="","",'P11'!G19)</f>
        <v>Kim Eirik Tollefsen</v>
      </c>
      <c r="D17" s="116">
        <v>8.76</v>
      </c>
      <c r="E17" s="116">
        <v>9.01</v>
      </c>
      <c r="F17" s="117">
        <v>8.73</v>
      </c>
      <c r="G17" s="104">
        <f>IF(MAX(D17,E17,F17)&gt;0,MAX(D17,E17,F17),"")</f>
        <v>9.01</v>
      </c>
      <c r="H17" s="119">
        <v>19.75</v>
      </c>
      <c r="I17" s="116">
        <v>19</v>
      </c>
      <c r="J17" s="116">
        <v>15.35</v>
      </c>
      <c r="K17" s="105">
        <f>IF(MAX(H17,I17,J17)&gt;0,MAX(H17,I17,J17),"")</f>
        <v>19.75</v>
      </c>
      <c r="L17" s="121">
        <v>6.97</v>
      </c>
      <c r="M17" s="116" t="s">
        <v>48</v>
      </c>
      <c r="N17" s="105">
        <f>IF(MIN(L17,M17)&gt;0,MIN(L17,M17),"")</f>
        <v>6.97</v>
      </c>
      <c r="O17" s="96"/>
      <c r="P17" s="97"/>
    </row>
    <row r="18" spans="2:16" ht="18" customHeight="1">
      <c r="B18" s="98"/>
      <c r="C18" s="267" t="str">
        <f>IF('P11'!G20="","",'P11'!G20)</f>
        <v>Tønsberg-Kam.</v>
      </c>
      <c r="D18" s="106"/>
      <c r="E18" s="106"/>
      <c r="F18" s="107"/>
      <c r="G18" s="99"/>
      <c r="H18" s="109"/>
      <c r="I18" s="106"/>
      <c r="J18" s="107"/>
      <c r="K18" s="100"/>
      <c r="L18" s="109"/>
      <c r="M18" s="107"/>
      <c r="N18" s="101"/>
      <c r="O18" s="102" t="str">
        <f>IF(SUM(L18:N18)&gt;0,SUM(L18:N18),"")</f>
        <v/>
      </c>
      <c r="P18" s="74"/>
    </row>
    <row r="19" spans="2:16" ht="18" customHeight="1">
      <c r="B19" s="103" t="str">
        <f>IF('P11'!D21="","",'P11'!D21)</f>
        <v/>
      </c>
      <c r="C19" s="268" t="str">
        <f>IF('P11'!G21="","",'P11'!G21)</f>
        <v/>
      </c>
      <c r="D19" s="116"/>
      <c r="E19" s="116"/>
      <c r="F19" s="117"/>
      <c r="G19" s="104" t="str">
        <f>IF(MAX(D19,E19,F19)&gt;0,MAX(D19,E19,F19),"")</f>
        <v/>
      </c>
      <c r="H19" s="119"/>
      <c r="I19" s="116"/>
      <c r="J19" s="116"/>
      <c r="K19" s="105" t="str">
        <f>IF(MAX(H19,I19,J19)&gt;0,MAX(H19,I19,J19),"")</f>
        <v/>
      </c>
      <c r="L19" s="121"/>
      <c r="M19" s="117"/>
      <c r="N19" s="105" t="str">
        <f>IF(MIN(L19,M19)&gt;0,MIN(L19,M19),"")</f>
        <v/>
      </c>
      <c r="O19" s="96"/>
      <c r="P19" s="97"/>
    </row>
    <row r="20" spans="2:16" ht="18" customHeight="1">
      <c r="B20" s="98"/>
      <c r="C20" s="267" t="str">
        <f>IF('P11'!G22="","",'P11'!G22)</f>
        <v/>
      </c>
      <c r="D20" s="106"/>
      <c r="E20" s="106"/>
      <c r="F20" s="107"/>
      <c r="G20" s="99"/>
      <c r="H20" s="109"/>
      <c r="I20" s="106"/>
      <c r="J20" s="107"/>
      <c r="K20" s="100"/>
      <c r="L20" s="109"/>
      <c r="M20" s="107"/>
      <c r="N20" s="101"/>
      <c r="O20" s="102" t="str">
        <f>IF(SUM(L20:N20)&gt;0,SUM(L20:N20),"")</f>
        <v/>
      </c>
      <c r="P20" s="74"/>
    </row>
    <row r="21" spans="2:16" ht="18" customHeight="1">
      <c r="B21" s="103" t="str">
        <f>IF('P11'!D23="","",'P11'!D23)</f>
        <v/>
      </c>
      <c r="C21" s="268" t="str">
        <f>IF('P11'!G23="","",'P11'!G23)</f>
        <v/>
      </c>
      <c r="D21" s="116"/>
      <c r="E21" s="116"/>
      <c r="F21" s="117"/>
      <c r="G21" s="104" t="str">
        <f>IF(MAX(D21,E21,F21)&gt;0,MAX(D21,E21,F21),"")</f>
        <v/>
      </c>
      <c r="H21" s="119"/>
      <c r="I21" s="116"/>
      <c r="J21" s="116"/>
      <c r="K21" s="105" t="str">
        <f>IF(MAX(H21,I21,J21)&gt;0,MAX(H21,I21,J21),"")</f>
        <v/>
      </c>
      <c r="L21" s="121"/>
      <c r="M21" s="117"/>
      <c r="N21" s="105" t="str">
        <f>IF(MIN(L21,M21)&gt;0,MIN(L21,M21),"")</f>
        <v/>
      </c>
      <c r="O21" s="96"/>
      <c r="P21" s="97"/>
    </row>
    <row r="22" spans="2:16" ht="18" customHeight="1">
      <c r="B22" s="98"/>
      <c r="C22" s="267" t="str">
        <f>IF('P11'!G24="","",'P11'!G24)</f>
        <v/>
      </c>
      <c r="D22" s="106"/>
      <c r="E22" s="106"/>
      <c r="F22" s="107"/>
      <c r="G22" s="108"/>
      <c r="H22" s="109"/>
      <c r="I22" s="106"/>
      <c r="J22" s="107"/>
      <c r="K22" s="110"/>
      <c r="L22" s="109"/>
      <c r="M22" s="107"/>
      <c r="N22" s="101"/>
      <c r="O22" s="102" t="str">
        <f>IF(SUM(L22:N22)&gt;0,SUM(L22:N22),"")</f>
        <v/>
      </c>
      <c r="P22" s="74"/>
    </row>
    <row r="23" spans="2:16" ht="18" customHeight="1">
      <c r="B23" s="103" t="str">
        <f>IF('P11'!D25="","",'P11'!D25)</f>
        <v/>
      </c>
      <c r="C23" s="268" t="str">
        <f>IF('P11'!G25="","",'P11'!G25)</f>
        <v/>
      </c>
      <c r="D23" s="116"/>
      <c r="E23" s="116"/>
      <c r="F23" s="117"/>
      <c r="G23" s="104" t="str">
        <f>IF(MAX(D23,E23,F23)&gt;0,MAX(D23,E23,F23),"")</f>
        <v/>
      </c>
      <c r="H23" s="119"/>
      <c r="I23" s="116"/>
      <c r="J23" s="116"/>
      <c r="K23" s="105" t="str">
        <f>IF(MAX(H23,I23,J23)&gt;0,MAX(H23,I23,J23),"")</f>
        <v/>
      </c>
      <c r="L23" s="121"/>
      <c r="M23" s="117"/>
      <c r="N23" s="105" t="str">
        <f>IF(MIN(L23,M23)&gt;0,MIN(L23,M23),"")</f>
        <v/>
      </c>
      <c r="O23" s="96"/>
      <c r="P23" s="97"/>
    </row>
    <row r="24" spans="2:16" ht="18" customHeight="1">
      <c r="B24" s="98"/>
      <c r="C24" s="267" t="str">
        <f>IF('P11'!G26="","",'P11'!G26)</f>
        <v/>
      </c>
      <c r="D24" s="106"/>
      <c r="E24" s="106"/>
      <c r="F24" s="107"/>
      <c r="G24" s="99"/>
      <c r="H24" s="109"/>
      <c r="I24" s="106"/>
      <c r="J24" s="107"/>
      <c r="K24" s="100"/>
      <c r="L24" s="109"/>
      <c r="M24" s="107"/>
      <c r="N24" s="101"/>
      <c r="O24" s="102" t="str">
        <f>IF(SUM(L24:N24)&gt;0,SUM(L24:N24),"")</f>
        <v/>
      </c>
      <c r="P24" s="74"/>
    </row>
    <row r="25" spans="2:16" ht="18" customHeight="1">
      <c r="B25" s="103" t="str">
        <f>IF('P11'!D27="","",'P11'!D27)</f>
        <v/>
      </c>
      <c r="C25" s="268" t="str">
        <f>IF('P11'!G27="","",'P11'!G27)</f>
        <v/>
      </c>
      <c r="D25" s="116"/>
      <c r="E25" s="116"/>
      <c r="F25" s="117"/>
      <c r="G25" s="104" t="str">
        <f>IF(MAX(D25,E25,F25)&gt;0,MAX(D25,E25,F25),"")</f>
        <v/>
      </c>
      <c r="H25" s="119"/>
      <c r="I25" s="116"/>
      <c r="J25" s="116"/>
      <c r="K25" s="105" t="str">
        <f>IF(MAX(H25,I25,J25)&gt;0,MAX(H25,I25,J25),"")</f>
        <v/>
      </c>
      <c r="L25" s="121"/>
      <c r="M25" s="117"/>
      <c r="N25" s="105" t="str">
        <f>IF(MIN(L25,M25)&gt;0,MIN(L25,M25),"")</f>
        <v/>
      </c>
      <c r="O25" s="96"/>
      <c r="P25" s="97"/>
    </row>
    <row r="26" spans="2:16" ht="18" customHeight="1">
      <c r="B26" s="98"/>
      <c r="C26" s="267" t="str">
        <f>IF('P11'!G28="","",'P11'!G28)</f>
        <v/>
      </c>
      <c r="D26" s="106"/>
      <c r="E26" s="106"/>
      <c r="F26" s="107"/>
      <c r="G26" s="99"/>
      <c r="H26" s="109"/>
      <c r="I26" s="106"/>
      <c r="J26" s="107"/>
      <c r="K26" s="100"/>
      <c r="L26" s="109"/>
      <c r="M26" s="107"/>
      <c r="N26" s="101"/>
      <c r="O26" s="102" t="str">
        <f>IF(SUM(L26:N26)&gt;0,SUM(L26:N26),"")</f>
        <v/>
      </c>
      <c r="P26" s="74"/>
    </row>
    <row r="27" spans="2:16" ht="18" customHeight="1">
      <c r="B27" s="103" t="str">
        <f>IF('P11'!D29="","",'P11'!D29)</f>
        <v/>
      </c>
      <c r="C27" s="268" t="str">
        <f>IF('P11'!G29="","",'P11'!G29)</f>
        <v/>
      </c>
      <c r="D27" s="116"/>
      <c r="E27" s="116"/>
      <c r="F27" s="117"/>
      <c r="G27" s="104" t="str">
        <f>IF(MAX(D27,E27,F27)&gt;0,MAX(D27,E27,F27),"")</f>
        <v/>
      </c>
      <c r="H27" s="119"/>
      <c r="I27" s="116"/>
      <c r="J27" s="116"/>
      <c r="K27" s="105" t="str">
        <f>IF(MAX(H27,I27,J27)&gt;0,MAX(H27,I27,J27),"")</f>
        <v/>
      </c>
      <c r="L27" s="121"/>
      <c r="M27" s="117"/>
      <c r="N27" s="105" t="str">
        <f>IF(MIN(L27,M27)&gt;0,MIN(L27,M27),"")</f>
        <v/>
      </c>
      <c r="O27" s="96"/>
      <c r="P27" s="97"/>
    </row>
    <row r="28" spans="2:16" ht="18" customHeight="1">
      <c r="B28" s="98"/>
      <c r="C28" s="267" t="str">
        <f>IF('P11'!G30="","",'P11'!G30)</f>
        <v/>
      </c>
      <c r="D28" s="106"/>
      <c r="E28" s="106"/>
      <c r="F28" s="107"/>
      <c r="G28" s="99"/>
      <c r="H28" s="109"/>
      <c r="I28" s="106"/>
      <c r="J28" s="107"/>
      <c r="K28" s="100"/>
      <c r="L28" s="122"/>
      <c r="M28" s="107"/>
      <c r="N28" s="101"/>
      <c r="O28" s="102" t="str">
        <f>IF(SUM(L28:N28)&gt;0,SUM(L28:N28),"")</f>
        <v/>
      </c>
      <c r="P28" s="74"/>
    </row>
    <row r="29" spans="2:16" ht="18" customHeight="1">
      <c r="B29" s="103" t="str">
        <f>IF('P11'!D31="","",'P11'!D31)</f>
        <v/>
      </c>
      <c r="C29" s="268" t="str">
        <f>IF('P11'!G31="","",'P11'!G31)</f>
        <v/>
      </c>
      <c r="D29" s="116"/>
      <c r="E29" s="116"/>
      <c r="F29" s="117"/>
      <c r="G29" s="104" t="str">
        <f>IF(MAX(D29,E29,F29)&gt;0,MAX(D29,E29,F29),"")</f>
        <v/>
      </c>
      <c r="H29" s="119"/>
      <c r="I29" s="116"/>
      <c r="J29" s="116"/>
      <c r="K29" s="105" t="str">
        <f>IF(MAX(H29,I29,J29)&gt;0,MAX(H29,I29,J29),"")</f>
        <v/>
      </c>
      <c r="L29" s="123"/>
      <c r="M29" s="117"/>
      <c r="N29" s="105" t="str">
        <f>IF(MIN(L29,M29)&gt;0,MIN(L29,M29),"")</f>
        <v/>
      </c>
      <c r="O29" s="96"/>
      <c r="P29" s="97"/>
    </row>
    <row r="30" spans="2:16" ht="18" customHeight="1">
      <c r="B30" s="98"/>
      <c r="C30" s="267" t="str">
        <f>IF('P11'!G32="","",'P11'!G32)</f>
        <v/>
      </c>
      <c r="D30" s="106"/>
      <c r="E30" s="106"/>
      <c r="F30" s="107"/>
      <c r="G30" s="111"/>
      <c r="H30" s="109"/>
      <c r="I30" s="106"/>
      <c r="J30" s="107"/>
      <c r="K30" s="108"/>
      <c r="L30" s="109"/>
      <c r="M30" s="107"/>
      <c r="N30" s="112"/>
      <c r="O30" s="102" t="str">
        <f>IF(SUM(L30:N30)&gt;0,SUM(L30:N30),"")</f>
        <v/>
      </c>
      <c r="P30" s="74"/>
    </row>
    <row r="31" spans="2:16">
      <c r="B31" s="113"/>
      <c r="C31" s="113"/>
    </row>
  </sheetData>
  <mergeCells count="9">
    <mergeCell ref="D5:G5"/>
    <mergeCell ref="H5:K5"/>
    <mergeCell ref="L5:N5"/>
    <mergeCell ref="A1:N1"/>
    <mergeCell ref="A3:B3"/>
    <mergeCell ref="C3:D3"/>
    <mergeCell ref="F3:I3"/>
    <mergeCell ref="K3:L3"/>
    <mergeCell ref="B4:N4"/>
  </mergeCells>
  <pageMargins left="0.27559055118110237" right="0.27559055118110237" top="0.27559055118110237" bottom="0.27559055118110237" header="0.51181102362204722" footer="0.51181102362204722"/>
  <pageSetup paperSize="9" fitToHeight="0" orientation="landscape" horizontalDpi="300" verticalDpi="300" copies="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9"/>
  <dimension ref="A1:B63"/>
  <sheetViews>
    <sheetView workbookViewId="0">
      <selection activeCell="J49" sqref="J49"/>
    </sheetView>
  </sheetViews>
  <sheetFormatPr defaultColWidth="9.140625" defaultRowHeight="12.95"/>
  <cols>
    <col min="1" max="1" width="11.42578125" customWidth="1"/>
    <col min="2" max="2" width="11.5703125" style="194" customWidth="1"/>
  </cols>
  <sheetData>
    <row r="1" spans="1:2">
      <c r="A1" t="s">
        <v>285</v>
      </c>
    </row>
    <row r="2" spans="1:2">
      <c r="A2" t="s">
        <v>286</v>
      </c>
      <c r="B2" s="194" t="s">
        <v>21</v>
      </c>
    </row>
    <row r="3" spans="1:2">
      <c r="A3">
        <v>30</v>
      </c>
      <c r="B3" s="194">
        <v>1</v>
      </c>
    </row>
    <row r="4" spans="1:2">
      <c r="A4">
        <v>31</v>
      </c>
      <c r="B4" s="194">
        <v>1.016</v>
      </c>
    </row>
    <row r="5" spans="1:2">
      <c r="A5">
        <v>32</v>
      </c>
      <c r="B5" s="194">
        <v>1.0309999999999999</v>
      </c>
    </row>
    <row r="6" spans="1:2">
      <c r="A6">
        <v>33</v>
      </c>
      <c r="B6" s="194">
        <v>1.046</v>
      </c>
    </row>
    <row r="7" spans="1:2">
      <c r="A7">
        <v>34</v>
      </c>
      <c r="B7" s="194">
        <v>1.0589999999999999</v>
      </c>
    </row>
    <row r="8" spans="1:2">
      <c r="A8">
        <v>35</v>
      </c>
      <c r="B8" s="194">
        <v>1.0720000000000001</v>
      </c>
    </row>
    <row r="9" spans="1:2">
      <c r="A9">
        <v>36</v>
      </c>
      <c r="B9" s="194">
        <v>1.083</v>
      </c>
    </row>
    <row r="10" spans="1:2">
      <c r="A10">
        <v>37</v>
      </c>
      <c r="B10" s="194">
        <v>1.0960000000000001</v>
      </c>
    </row>
    <row r="11" spans="1:2">
      <c r="A11">
        <v>38</v>
      </c>
      <c r="B11" s="194">
        <v>1.109</v>
      </c>
    </row>
    <row r="12" spans="1:2">
      <c r="A12">
        <v>39</v>
      </c>
      <c r="B12" s="194">
        <v>1.1220000000000001</v>
      </c>
    </row>
    <row r="13" spans="1:2">
      <c r="A13">
        <v>40</v>
      </c>
      <c r="B13" s="194">
        <v>1.135</v>
      </c>
    </row>
    <row r="14" spans="1:2">
      <c r="A14">
        <v>41</v>
      </c>
      <c r="B14" s="194">
        <v>1.149</v>
      </c>
    </row>
    <row r="15" spans="1:2">
      <c r="A15">
        <v>42</v>
      </c>
      <c r="B15" s="194">
        <v>1.1619999999999999</v>
      </c>
    </row>
    <row r="16" spans="1:2">
      <c r="A16">
        <v>43</v>
      </c>
      <c r="B16" s="194">
        <v>1.1759999999999999</v>
      </c>
    </row>
    <row r="17" spans="1:2">
      <c r="A17">
        <v>44</v>
      </c>
      <c r="B17" s="194">
        <v>1.1890000000000001</v>
      </c>
    </row>
    <row r="18" spans="1:2">
      <c r="A18">
        <v>45</v>
      </c>
      <c r="B18" s="194">
        <v>1.2030000000000001</v>
      </c>
    </row>
    <row r="19" spans="1:2">
      <c r="A19">
        <v>46</v>
      </c>
      <c r="B19" s="194">
        <v>1.218</v>
      </c>
    </row>
    <row r="20" spans="1:2">
      <c r="A20">
        <v>47</v>
      </c>
      <c r="B20" s="194">
        <v>1.2330000000000001</v>
      </c>
    </row>
    <row r="21" spans="1:2">
      <c r="A21">
        <v>48</v>
      </c>
      <c r="B21" s="194">
        <v>1.248</v>
      </c>
    </row>
    <row r="22" spans="1:2">
      <c r="A22">
        <v>49</v>
      </c>
      <c r="B22" s="194">
        <v>1.2629999999999999</v>
      </c>
    </row>
    <row r="23" spans="1:2">
      <c r="A23">
        <v>50</v>
      </c>
      <c r="B23" s="194">
        <v>1.2789999999999999</v>
      </c>
    </row>
    <row r="24" spans="1:2">
      <c r="A24">
        <v>51</v>
      </c>
      <c r="B24" s="194">
        <v>1.2969999999999999</v>
      </c>
    </row>
    <row r="25" spans="1:2">
      <c r="A25">
        <v>52</v>
      </c>
      <c r="B25" s="194">
        <v>1.3160000000000001</v>
      </c>
    </row>
    <row r="26" spans="1:2">
      <c r="A26">
        <v>53</v>
      </c>
      <c r="B26" s="194">
        <v>1.3380000000000001</v>
      </c>
    </row>
    <row r="27" spans="1:2">
      <c r="A27">
        <v>54</v>
      </c>
      <c r="B27" s="194">
        <v>1.361</v>
      </c>
    </row>
    <row r="28" spans="1:2">
      <c r="A28">
        <v>55</v>
      </c>
      <c r="B28" s="194">
        <v>1.385</v>
      </c>
    </row>
    <row r="29" spans="1:2">
      <c r="A29">
        <v>56</v>
      </c>
      <c r="B29" s="194">
        <v>1.411</v>
      </c>
    </row>
    <row r="30" spans="1:2">
      <c r="A30">
        <v>57</v>
      </c>
      <c r="B30" s="194">
        <v>1.4370000000000001</v>
      </c>
    </row>
    <row r="31" spans="1:2">
      <c r="A31">
        <v>58</v>
      </c>
      <c r="B31" s="194">
        <v>1.462</v>
      </c>
    </row>
    <row r="32" spans="1:2">
      <c r="A32">
        <v>59</v>
      </c>
      <c r="B32" s="194">
        <v>1.488</v>
      </c>
    </row>
    <row r="33" spans="1:2">
      <c r="A33">
        <v>60</v>
      </c>
      <c r="B33" s="194">
        <v>1.514</v>
      </c>
    </row>
    <row r="34" spans="1:2">
      <c r="A34">
        <v>61</v>
      </c>
      <c r="B34" s="194">
        <v>1.5409999999999999</v>
      </c>
    </row>
    <row r="35" spans="1:2">
      <c r="A35">
        <v>62</v>
      </c>
      <c r="B35" s="194">
        <v>1.5680000000000001</v>
      </c>
    </row>
    <row r="36" spans="1:2">
      <c r="A36">
        <v>63</v>
      </c>
      <c r="B36" s="194">
        <v>1.5980000000000001</v>
      </c>
    </row>
    <row r="37" spans="1:2">
      <c r="A37">
        <v>64</v>
      </c>
      <c r="B37" s="194">
        <v>1.629</v>
      </c>
    </row>
    <row r="38" spans="1:2">
      <c r="A38">
        <v>65</v>
      </c>
      <c r="B38" s="194">
        <v>1.663</v>
      </c>
    </row>
    <row r="39" spans="1:2">
      <c r="A39">
        <v>66</v>
      </c>
      <c r="B39" s="194">
        <v>1.6990000000000001</v>
      </c>
    </row>
    <row r="40" spans="1:2">
      <c r="A40">
        <v>67</v>
      </c>
      <c r="B40" s="194">
        <v>1.738</v>
      </c>
    </row>
    <row r="41" spans="1:2">
      <c r="A41">
        <v>68</v>
      </c>
      <c r="B41" s="194">
        <v>1.7789999999999999</v>
      </c>
    </row>
    <row r="42" spans="1:2">
      <c r="A42">
        <v>69</v>
      </c>
      <c r="B42" s="194">
        <v>1.823</v>
      </c>
    </row>
    <row r="43" spans="1:2">
      <c r="A43">
        <v>70</v>
      </c>
      <c r="B43" s="194">
        <v>1.867</v>
      </c>
    </row>
    <row r="44" spans="1:2">
      <c r="A44">
        <v>71</v>
      </c>
      <c r="B44" s="194">
        <v>1.91</v>
      </c>
    </row>
    <row r="45" spans="1:2">
      <c r="A45">
        <v>72</v>
      </c>
      <c r="B45" s="194">
        <v>1.9530000000000001</v>
      </c>
    </row>
    <row r="46" spans="1:2">
      <c r="A46">
        <v>73</v>
      </c>
      <c r="B46" s="194">
        <v>2.004</v>
      </c>
    </row>
    <row r="47" spans="1:2">
      <c r="A47">
        <v>74</v>
      </c>
      <c r="B47" s="194">
        <v>2.06</v>
      </c>
    </row>
    <row r="48" spans="1:2">
      <c r="A48">
        <v>75</v>
      </c>
      <c r="B48" s="194">
        <v>2.117</v>
      </c>
    </row>
    <row r="49" spans="1:2">
      <c r="A49">
        <v>76</v>
      </c>
      <c r="B49" s="194">
        <v>2.181</v>
      </c>
    </row>
    <row r="50" spans="1:2">
      <c r="A50">
        <v>77</v>
      </c>
      <c r="B50" s="194">
        <v>2.2549999999999999</v>
      </c>
    </row>
    <row r="51" spans="1:2">
      <c r="A51">
        <v>78</v>
      </c>
      <c r="B51" s="194">
        <v>2.3359999999999999</v>
      </c>
    </row>
    <row r="52" spans="1:2">
      <c r="A52">
        <v>79</v>
      </c>
      <c r="B52" s="194">
        <v>2.419</v>
      </c>
    </row>
    <row r="53" spans="1:2">
      <c r="A53">
        <v>80</v>
      </c>
      <c r="B53" s="194">
        <v>2.504</v>
      </c>
    </row>
    <row r="54" spans="1:2">
      <c r="A54">
        <v>81</v>
      </c>
      <c r="B54" s="194">
        <v>2.597</v>
      </c>
    </row>
    <row r="55" spans="1:2">
      <c r="A55">
        <v>82</v>
      </c>
      <c r="B55" s="194">
        <v>2.702</v>
      </c>
    </row>
    <row r="56" spans="1:2">
      <c r="A56">
        <v>83</v>
      </c>
      <c r="B56" s="194">
        <v>2.831</v>
      </c>
    </row>
    <row r="57" spans="1:2">
      <c r="A57">
        <v>84</v>
      </c>
      <c r="B57" s="194">
        <v>2.9809999999999999</v>
      </c>
    </row>
    <row r="58" spans="1:2">
      <c r="A58">
        <v>85</v>
      </c>
      <c r="B58" s="194">
        <v>3.153</v>
      </c>
    </row>
    <row r="59" spans="1:2">
      <c r="A59">
        <v>86</v>
      </c>
      <c r="B59" s="194">
        <v>3.3519999999999999</v>
      </c>
    </row>
    <row r="60" spans="1:2">
      <c r="A60">
        <v>87</v>
      </c>
      <c r="B60" s="194">
        <v>3.58</v>
      </c>
    </row>
    <row r="61" spans="1:2">
      <c r="A61">
        <v>88</v>
      </c>
      <c r="B61" s="194">
        <v>3.8420000000000001</v>
      </c>
    </row>
    <row r="62" spans="1:2">
      <c r="A62">
        <v>89</v>
      </c>
      <c r="B62" s="194">
        <v>4.1449999999999996</v>
      </c>
    </row>
    <row r="63" spans="1:2">
      <c r="A63">
        <v>90</v>
      </c>
      <c r="B63" s="194">
        <v>4.4930000000000003</v>
      </c>
    </row>
  </sheetData>
  <phoneticPr fontId="22" type="noConversion"/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ColWidth="11.42578125" defaultRowHeight="12.9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C55"/>
  <sheetViews>
    <sheetView showGridLines="0" showRowColHeaders="0" showZeros="0" workbookViewId="0">
      <selection activeCell="A9" sqref="A9"/>
    </sheetView>
  </sheetViews>
  <sheetFormatPr defaultColWidth="8.85546875" defaultRowHeight="12.95"/>
  <cols>
    <col min="1" max="1" width="7.85546875" customWidth="1"/>
    <col min="2" max="2" width="6.85546875" customWidth="1"/>
    <col min="3" max="3" width="5.5703125" customWidth="1"/>
    <col min="4" max="4" width="7.5703125" customWidth="1"/>
    <col min="5" max="5" width="10.42578125" customWidth="1"/>
    <col min="6" max="6" width="3.85546875" customWidth="1"/>
    <col min="7" max="7" width="27.5703125" customWidth="1"/>
    <col min="8" max="16" width="6.5703125" customWidth="1"/>
    <col min="17" max="18" width="8.85546875" customWidth="1"/>
    <col min="19" max="20" width="8.5703125" customWidth="1"/>
    <col min="21" max="21" width="9.85546875" customWidth="1"/>
    <col min="22" max="23" width="8.5703125" customWidth="1"/>
    <col min="24" max="24" width="4.42578125" customWidth="1"/>
    <col min="25" max="25" width="5.5703125" customWidth="1"/>
    <col min="26" max="26" width="0" hidden="1" customWidth="1"/>
  </cols>
  <sheetData>
    <row r="1" spans="1:26">
      <c r="A1" s="36"/>
      <c r="B1" s="36"/>
      <c r="C1" s="36"/>
      <c r="D1" s="36"/>
      <c r="E1" s="36"/>
      <c r="F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ht="72.75" customHeight="1">
      <c r="A2" s="36"/>
      <c r="B2" s="36"/>
      <c r="C2" s="36"/>
      <c r="D2" s="36"/>
      <c r="E2" s="36"/>
      <c r="F2" s="36"/>
      <c r="G2" s="346" t="s">
        <v>70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02"/>
      <c r="S2" s="36"/>
      <c r="T2" s="36"/>
      <c r="U2" s="36"/>
      <c r="V2" s="36"/>
      <c r="W2" s="36"/>
      <c r="X2" s="36"/>
      <c r="Y2" s="36"/>
    </row>
    <row r="3" spans="1:26" ht="27.95">
      <c r="A3" s="36"/>
      <c r="B3" s="36"/>
      <c r="C3" s="36"/>
      <c r="D3" s="36"/>
      <c r="E3" s="36"/>
      <c r="F3" s="36"/>
      <c r="G3" s="320" t="s">
        <v>1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00"/>
      <c r="S3" s="36"/>
      <c r="T3" s="36"/>
      <c r="U3" s="36"/>
      <c r="V3" s="36"/>
      <c r="W3" s="36"/>
      <c r="X3" s="36"/>
      <c r="Y3" s="36"/>
    </row>
    <row r="4" spans="1:26">
      <c r="A4" s="36"/>
      <c r="B4" s="36"/>
      <c r="C4" s="36"/>
      <c r="D4" s="36"/>
      <c r="E4" s="36"/>
      <c r="F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6" ht="15" customHeight="1">
      <c r="A5" s="344" t="s">
        <v>2</v>
      </c>
      <c r="B5" s="344"/>
      <c r="C5" s="321" t="s">
        <v>3</v>
      </c>
      <c r="D5" s="321"/>
      <c r="E5" s="321"/>
      <c r="F5" s="321"/>
      <c r="G5" s="321"/>
      <c r="H5" s="344" t="s">
        <v>4</v>
      </c>
      <c r="I5" s="344"/>
      <c r="J5" s="321" t="s">
        <v>5</v>
      </c>
      <c r="K5" s="321"/>
      <c r="L5" s="321"/>
      <c r="M5" s="321"/>
      <c r="N5" s="321"/>
      <c r="O5" s="306" t="s">
        <v>6</v>
      </c>
      <c r="P5" s="345" t="s">
        <v>7</v>
      </c>
      <c r="Q5" s="345"/>
      <c r="R5" s="345"/>
      <c r="S5" s="345"/>
      <c r="T5" s="306" t="s">
        <v>8</v>
      </c>
      <c r="U5" s="325">
        <v>43358</v>
      </c>
      <c r="V5" s="325"/>
      <c r="W5" s="52" t="s">
        <v>9</v>
      </c>
      <c r="X5" s="263" t="s">
        <v>120</v>
      </c>
      <c r="Y5" s="263"/>
    </row>
    <row r="6" spans="1:26" ht="13.5" thickBot="1">
      <c r="A6" s="53"/>
      <c r="B6" s="53"/>
      <c r="C6" s="53"/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5"/>
      <c r="X6" s="53"/>
      <c r="Y6" s="53"/>
    </row>
    <row r="7" spans="1:26">
      <c r="A7" s="56" t="s">
        <v>12</v>
      </c>
      <c r="B7" s="57" t="s">
        <v>11</v>
      </c>
      <c r="C7" s="314" t="s">
        <v>72</v>
      </c>
      <c r="D7" s="58" t="s">
        <v>72</v>
      </c>
      <c r="E7" s="313" t="s">
        <v>14</v>
      </c>
      <c r="F7" s="313" t="s">
        <v>73</v>
      </c>
      <c r="G7" s="313" t="s">
        <v>15</v>
      </c>
      <c r="H7" s="356" t="s">
        <v>17</v>
      </c>
      <c r="I7" s="357"/>
      <c r="J7" s="358"/>
      <c r="K7" s="356" t="s">
        <v>18</v>
      </c>
      <c r="L7" s="357"/>
      <c r="M7" s="358"/>
      <c r="N7" s="359" t="s">
        <v>74</v>
      </c>
      <c r="O7" s="360"/>
      <c r="P7" s="360"/>
      <c r="Q7" s="360"/>
      <c r="R7" s="227" t="s">
        <v>21</v>
      </c>
      <c r="S7" s="57" t="s">
        <v>75</v>
      </c>
      <c r="T7" s="57" t="s">
        <v>76</v>
      </c>
      <c r="U7" s="57" t="s">
        <v>77</v>
      </c>
      <c r="V7" s="313" t="s">
        <v>78</v>
      </c>
      <c r="W7" s="59" t="s">
        <v>79</v>
      </c>
      <c r="X7" s="59" t="s">
        <v>80</v>
      </c>
      <c r="Y7" s="60" t="s">
        <v>81</v>
      </c>
    </row>
    <row r="8" spans="1:26" ht="13.5" thickBot="1">
      <c r="A8" s="61" t="s">
        <v>26</v>
      </c>
      <c r="B8" s="62" t="s">
        <v>25</v>
      </c>
      <c r="C8" s="63" t="s">
        <v>82</v>
      </c>
      <c r="D8" s="64" t="s">
        <v>79</v>
      </c>
      <c r="E8" s="65" t="s">
        <v>83</v>
      </c>
      <c r="F8" s="65" t="s">
        <v>84</v>
      </c>
      <c r="G8" s="312" t="s">
        <v>85</v>
      </c>
      <c r="H8" s="361" t="s">
        <v>86</v>
      </c>
      <c r="I8" s="362"/>
      <c r="J8" s="363"/>
      <c r="K8" s="361" t="s">
        <v>86</v>
      </c>
      <c r="L8" s="362"/>
      <c r="M8" s="363"/>
      <c r="N8" s="66" t="s">
        <v>17</v>
      </c>
      <c r="O8" s="67" t="s">
        <v>18</v>
      </c>
      <c r="P8" s="62" t="s">
        <v>87</v>
      </c>
      <c r="Q8" s="63" t="s">
        <v>21</v>
      </c>
      <c r="R8" s="62" t="s">
        <v>31</v>
      </c>
      <c r="S8" s="68" t="s">
        <v>21</v>
      </c>
      <c r="T8" s="68" t="s">
        <v>21</v>
      </c>
      <c r="U8" s="68" t="s">
        <v>21</v>
      </c>
      <c r="V8" s="65" t="s">
        <v>88</v>
      </c>
      <c r="W8" s="69" t="s">
        <v>89</v>
      </c>
      <c r="X8" s="69"/>
      <c r="Y8" s="70"/>
    </row>
    <row r="9" spans="1:26" ht="18" customHeight="1">
      <c r="A9" s="185">
        <v>51.1</v>
      </c>
      <c r="B9" s="186" t="s">
        <v>95</v>
      </c>
      <c r="C9" s="187" t="s">
        <v>121</v>
      </c>
      <c r="D9" s="186" t="s">
        <v>122</v>
      </c>
      <c r="E9" s="188">
        <v>36561</v>
      </c>
      <c r="F9" s="189"/>
      <c r="G9" s="190" t="s">
        <v>123</v>
      </c>
      <c r="H9" s="191">
        <v>-60</v>
      </c>
      <c r="I9" s="191">
        <v>61</v>
      </c>
      <c r="J9" s="192">
        <v>-66</v>
      </c>
      <c r="K9" s="191">
        <v>71</v>
      </c>
      <c r="L9" s="192">
        <v>75</v>
      </c>
      <c r="M9" s="192">
        <v>-80</v>
      </c>
      <c r="N9" s="210">
        <v>61</v>
      </c>
      <c r="O9" s="210">
        <f>IF(MAX(K9:M9)&gt;0,IF(MAX(K9:M9)&lt;0,0,TRUNC(MAX(K9:M9)/1)*1),"")</f>
        <v>75</v>
      </c>
      <c r="P9" s="211">
        <f>IF(N9="","",IF(O9="","",IF(SUM(N9:O9)=0,"",SUM(N9:O9))))</f>
        <v>136</v>
      </c>
      <c r="Q9" s="223">
        <f>IF(P9="","",IF(A9="","",IF(OR(C9="UK",C9="JK",C9="SK",C9="K1",C9="K2",C9="K3",C9="K4",C9="K5",C9="K6",C9="K7",C9="K8",C9="K9",C9="K10"),IF(A9&gt;153.655,P9,IF(A9&lt;28,10^(0.783497476*LOG10(28/153.655)^2)*P9,10^(0.783497476*LOG10(A9/153.655)^2)*P9)),IF(A9&gt;175.508,P9,IF(A9&lt;32,10^(0.75194503*LOG10(32/175.508)^2)*P9,10^(0.75194503*LOG10(A9/175.508)^2)*P9)))))</f>
        <v>205.42333842851315</v>
      </c>
      <c r="R9" s="162" t="str">
        <f>IF(OR(E9="",A9="",Z9="",Q9=""),"",IF(OR(C9="UM",C9="JM",C9="SM",C9="UK",C9="JK",C9="SK"),"",Q9*(IF(ABS(1900-YEAR((Z9+1)-E9))&lt;29,0,(VLOOKUP((YEAR(Z9)-YEAR(E9)),'Meltzer-Malone'!$A$3:$B$63,2))))))</f>
        <v/>
      </c>
      <c r="S9" s="174">
        <f>IF('K3'!G7="","",'K3'!G7)</f>
        <v>7.87</v>
      </c>
      <c r="T9" s="163">
        <f>IF('K3'!K7="","",'K3'!K7)</f>
        <v>12.94</v>
      </c>
      <c r="U9" s="163">
        <f>IF('K3'!N7="","",'K3'!N7)</f>
        <v>6.93</v>
      </c>
      <c r="V9" s="163"/>
      <c r="W9" s="164"/>
      <c r="X9" s="195"/>
      <c r="Y9" s="196" t="s">
        <v>42</v>
      </c>
      <c r="Z9" s="225">
        <f>U5</f>
        <v>43358</v>
      </c>
    </row>
    <row r="10" spans="1:26" ht="18" customHeight="1">
      <c r="A10" s="165"/>
      <c r="B10" s="166"/>
      <c r="C10" s="167"/>
      <c r="D10" s="168"/>
      <c r="E10" s="169"/>
      <c r="F10" s="193"/>
      <c r="G10" s="170" t="s">
        <v>124</v>
      </c>
      <c r="H10" s="338"/>
      <c r="I10" s="339"/>
      <c r="J10" s="340"/>
      <c r="K10" s="341"/>
      <c r="L10" s="342"/>
      <c r="M10" s="343"/>
      <c r="N10" s="297"/>
      <c r="O10" s="171"/>
      <c r="P10" s="334">
        <f>IF(Q9="","",Q9*1.2)</f>
        <v>246.50800611421576</v>
      </c>
      <c r="Q10" s="334"/>
      <c r="R10" s="222"/>
      <c r="S10" s="172">
        <f>IF(S9="","",S9*20)</f>
        <v>157.4</v>
      </c>
      <c r="T10" s="172">
        <f>IF(T9="","",T9*11)</f>
        <v>142.34</v>
      </c>
      <c r="U10" s="173">
        <f>IF(U9="","",IF((80+(8-ROUNDUP(U9,1))*40)&lt;0,0,80+(8-ROUNDUP(U9,1))*40))</f>
        <v>120</v>
      </c>
      <c r="V10" s="237">
        <f>IF(SUM(S10,T10,U10)&gt;0,SUM(S10,T10,U10),"")</f>
        <v>419.74</v>
      </c>
      <c r="W10" s="238">
        <f>IF(OR(P10="",S10="",T10="",U10=""),"",SUM(P10,S10,T10,U10))</f>
        <v>666.24800611421574</v>
      </c>
      <c r="X10" s="239"/>
      <c r="Y10" s="240"/>
      <c r="Z10" s="225"/>
    </row>
    <row r="11" spans="1:26" ht="18" customHeight="1">
      <c r="A11" s="185">
        <v>56.38</v>
      </c>
      <c r="B11" s="186" t="s">
        <v>99</v>
      </c>
      <c r="C11" s="187" t="s">
        <v>91</v>
      </c>
      <c r="D11" s="186" t="s">
        <v>122</v>
      </c>
      <c r="E11" s="188">
        <v>36902</v>
      </c>
      <c r="F11" s="189"/>
      <c r="G11" s="190" t="s">
        <v>125</v>
      </c>
      <c r="H11" s="191">
        <v>50</v>
      </c>
      <c r="I11" s="192">
        <v>53</v>
      </c>
      <c r="J11" s="192">
        <v>55</v>
      </c>
      <c r="K11" s="191">
        <v>67</v>
      </c>
      <c r="L11" s="192">
        <v>70</v>
      </c>
      <c r="M11" s="192">
        <v>-73</v>
      </c>
      <c r="N11" s="210">
        <v>55</v>
      </c>
      <c r="O11" s="210">
        <f>IF(MAX(K11:M11)&gt;0,IF(MAX(K11:M11)&lt;0,0,TRUNC(MAX(K11:M11)/1)*1),"")</f>
        <v>70</v>
      </c>
      <c r="P11" s="211">
        <f>IF(N11="","",IF(O11="","",IF(SUM(N11:O11)=0,"",SUM(N11:O11))))</f>
        <v>125</v>
      </c>
      <c r="Q11" s="223">
        <f>IF(P11="","",IF(A11="","",IF(OR(C11="UK",C11="JK",C11="SK",C11="K1",C11="K2",C11="K3",C11="K4",C11="K5",C11="K6",C11="K7",C11="K8",C11="K9",C11="K10"),IF(A11&gt;153.655,P11,IF(A11&lt;28,10^(0.783497476*LOG10(28/153.655)^2)*P11,10^(0.783497476*LOG10(A11/153.655)^2)*P11)),IF(A11&gt;175.508,P11,IF(A11&lt;32,10^(0.75194503*LOG10(32/175.508)^2)*P11,10^(0.75194503*LOG10(A11/175.508)^2)*P11)))))</f>
        <v>175.97657470179655</v>
      </c>
      <c r="R11" s="224" t="str">
        <f>IF(OR(E11="",A11="",Z11="",Q11=""),"",IF(OR(C11="UM",C11="JM",C11="SM",C11="UK",C11="JK",C11="SK"),"",Q11*(IF(ABS(1900-YEAR((Z11+1)-E11))&lt;29,0,(VLOOKUP((YEAR(Z11)-YEAR(E11)),'Meltzer-Malone'!$A$3:$B$63,2))))))</f>
        <v/>
      </c>
      <c r="S11" s="174">
        <f>IF('K3'!G9="","",'K3'!G9)</f>
        <v>7.14</v>
      </c>
      <c r="T11" s="174">
        <f>IF('K3'!K9="","",'K3'!K9)</f>
        <v>10.5</v>
      </c>
      <c r="U11" s="174">
        <f>IF('K3'!N9="","",'K3'!N9)</f>
        <v>7.29</v>
      </c>
      <c r="V11" s="163"/>
      <c r="W11" s="164"/>
      <c r="X11" s="175"/>
      <c r="Y11" s="176"/>
      <c r="Z11" s="225">
        <f>U5</f>
        <v>43358</v>
      </c>
    </row>
    <row r="12" spans="1:26" ht="18" customHeight="1">
      <c r="A12" s="165"/>
      <c r="B12" s="166"/>
      <c r="C12" s="167"/>
      <c r="D12" s="168"/>
      <c r="E12" s="169"/>
      <c r="F12" s="193"/>
      <c r="G12" s="170" t="s">
        <v>5</v>
      </c>
      <c r="H12" s="338"/>
      <c r="I12" s="339"/>
      <c r="J12" s="340"/>
      <c r="K12" s="341"/>
      <c r="L12" s="342"/>
      <c r="M12" s="343"/>
      <c r="N12" s="297"/>
      <c r="O12" s="171"/>
      <c r="P12" s="334">
        <f>IF(Q11="","",Q11*1.2)</f>
        <v>211.17188964215586</v>
      </c>
      <c r="Q12" s="334"/>
      <c r="R12" s="222"/>
      <c r="S12" s="197">
        <f>IF(S11="","",S11*20)</f>
        <v>142.79999999999998</v>
      </c>
      <c r="T12" s="172">
        <f>IF(T11="","",T11*11)</f>
        <v>115.5</v>
      </c>
      <c r="U12" s="173">
        <f>IF(U11="","",IF((80+(8-ROUNDUP(U11,1))*40)&lt;0,0,80+(8-ROUNDUP(U11,1))*40))</f>
        <v>108</v>
      </c>
      <c r="V12" s="237">
        <f>IF(SUM(S12,T12,U12)&gt;0,SUM(S12,T12,U12),"")</f>
        <v>366.29999999999995</v>
      </c>
      <c r="W12" s="238">
        <f>IF(OR(P12="",S12="",T12="",U12=""),"",SUM(P12,S12,T12,U12))</f>
        <v>577.47188964215582</v>
      </c>
      <c r="X12" s="239"/>
      <c r="Y12" s="240"/>
      <c r="Z12" s="225"/>
    </row>
    <row r="13" spans="1:26" ht="18" customHeight="1">
      <c r="A13" s="185">
        <v>60.39</v>
      </c>
      <c r="B13" s="186" t="s">
        <v>109</v>
      </c>
      <c r="C13" s="187" t="s">
        <v>121</v>
      </c>
      <c r="D13" s="186" t="s">
        <v>122</v>
      </c>
      <c r="E13" s="188">
        <v>36794</v>
      </c>
      <c r="F13" s="189"/>
      <c r="G13" s="190" t="s">
        <v>126</v>
      </c>
      <c r="H13" s="191">
        <v>50</v>
      </c>
      <c r="I13" s="192">
        <v>-54</v>
      </c>
      <c r="J13" s="192">
        <v>-57</v>
      </c>
      <c r="K13" s="191">
        <v>60</v>
      </c>
      <c r="L13" s="192">
        <v>63</v>
      </c>
      <c r="M13" s="192">
        <v>-66</v>
      </c>
      <c r="N13" s="210">
        <v>50</v>
      </c>
      <c r="O13" s="210">
        <f>IF(MAX(K13:M13)&gt;0,IF(MAX(K13:M13)&lt;0,0,TRUNC(MAX(K13:M13)/1)*1),"")</f>
        <v>63</v>
      </c>
      <c r="P13" s="211">
        <f>IF(N13="","",IF(O13="","",IF(SUM(N13:O13)=0,"",SUM(N13:O13))))</f>
        <v>113</v>
      </c>
      <c r="Q13" s="223">
        <f>IF(P13="","",IF(A13="","",IF(OR(C13="UK",C13="JK",C13="SK",C13="K1",C13="K2",C13="K3",C13="K4",C13="K5",C13="K6",C13="K7",C13="K8",C13="K9",C13="K10"),IF(A13&gt;153.655,P13,IF(A13&lt;28,10^(0.783497476*LOG10(28/153.655)^2)*P13,10^(0.783497476*LOG10(A13/153.655)^2)*P13)),IF(A13&gt;175.508,P13,IF(A13&lt;32,10^(0.75194503*LOG10(32/175.508)^2)*P13,10^(0.75194503*LOG10(A13/175.508)^2)*P13)))))</f>
        <v>152.04110851503359</v>
      </c>
      <c r="R13" s="224" t="str">
        <f>IF(OR(E13="",A13="",Z13="",Q13=""),"",IF(OR(C13="UM",C13="JM",C13="SM",C13="UK",C13="JK",C13="SK"),"",Q13*(IF(ABS(1900-YEAR((Z13+1)-E13))&lt;29,0,(VLOOKUP((YEAR(Z13)-YEAR(E13)),'Meltzer-Malone'!$A$3:$B$63,2))))))</f>
        <v/>
      </c>
      <c r="S13" s="174">
        <f>IF('K3'!G11="","",'K3'!G11)</f>
        <v>6.8</v>
      </c>
      <c r="T13" s="174">
        <f>IF('K3'!K11="","",'K3'!K11)</f>
        <v>9.76</v>
      </c>
      <c r="U13" s="174">
        <f>IF('K3'!N11="","",'K3'!N11)</f>
        <v>7.14</v>
      </c>
      <c r="V13" s="163"/>
      <c r="W13" s="164"/>
      <c r="X13" s="175"/>
      <c r="Y13" s="176"/>
      <c r="Z13" s="225">
        <f>U5</f>
        <v>43358</v>
      </c>
    </row>
    <row r="14" spans="1:26" ht="18" customHeight="1">
      <c r="A14" s="165"/>
      <c r="B14" s="166"/>
      <c r="C14" s="167"/>
      <c r="D14" s="168"/>
      <c r="E14" s="169"/>
      <c r="F14" s="193"/>
      <c r="G14" s="170" t="s">
        <v>127</v>
      </c>
      <c r="H14" s="338"/>
      <c r="I14" s="339"/>
      <c r="J14" s="340"/>
      <c r="K14" s="341"/>
      <c r="L14" s="342"/>
      <c r="M14" s="343"/>
      <c r="N14" s="297"/>
      <c r="O14" s="171"/>
      <c r="P14" s="334">
        <f>IF(Q13="","",Q13*1.2)</f>
        <v>182.4493302180403</v>
      </c>
      <c r="Q14" s="334"/>
      <c r="R14" s="222"/>
      <c r="S14" s="197">
        <f>IF(S13="","",S13*20)</f>
        <v>136</v>
      </c>
      <c r="T14" s="172">
        <f>IF(T13="","",T13*11)</f>
        <v>107.36</v>
      </c>
      <c r="U14" s="173">
        <f>IF(U13="","",IF((80+(8-ROUNDUP(U13,1))*40)&lt;0,0,80+(8-ROUNDUP(U13,1))*40))</f>
        <v>112.00000000000003</v>
      </c>
      <c r="V14" s="237">
        <f>IF(SUM(S14,T14,U14)&gt;0,SUM(S14,T14,U14),"")</f>
        <v>355.36</v>
      </c>
      <c r="W14" s="238">
        <f>IF(OR(P14="",S14="",T14="",U14=""),"",SUM(P14,S14,T14,U14))</f>
        <v>537.80933021804037</v>
      </c>
      <c r="X14" s="239"/>
      <c r="Y14" s="240"/>
      <c r="Z14" s="225"/>
    </row>
    <row r="15" spans="1:26" ht="18" customHeight="1">
      <c r="A15" s="185">
        <v>65.099999999999994</v>
      </c>
      <c r="B15" s="186" t="s">
        <v>128</v>
      </c>
      <c r="C15" s="187" t="s">
        <v>121</v>
      </c>
      <c r="D15" s="186" t="s">
        <v>122</v>
      </c>
      <c r="E15" s="188">
        <v>36628</v>
      </c>
      <c r="F15" s="189"/>
      <c r="G15" s="190" t="s">
        <v>129</v>
      </c>
      <c r="H15" s="191">
        <v>-43</v>
      </c>
      <c r="I15" s="192">
        <v>45</v>
      </c>
      <c r="J15" s="192">
        <v>48</v>
      </c>
      <c r="K15" s="191">
        <v>60</v>
      </c>
      <c r="L15" s="192">
        <v>63</v>
      </c>
      <c r="M15" s="192">
        <v>66</v>
      </c>
      <c r="N15" s="210">
        <v>48</v>
      </c>
      <c r="O15" s="210">
        <f>IF(MAX(K15:M15)&gt;0,IF(MAX(K15:M15)&lt;0,0,TRUNC(MAX(K15:M15)/1)*1),"")</f>
        <v>66</v>
      </c>
      <c r="P15" s="211">
        <f>IF(N15="","",IF(O15="","",IF(SUM(N15:O15)=0,"",SUM(N15:O15))))</f>
        <v>114</v>
      </c>
      <c r="Q15" s="223">
        <f>IF(P15="","",IF(A15="","",IF(OR(C15="UK",C15="JK",C15="SK",C15="K1",C15="K2",C15="K3",C15="K4",C15="K5",C15="K6",C15="K7",C15="K8",C15="K9",C15="K10"),IF(A15&gt;153.655,P15,IF(A15&lt;28,10^(0.783497476*LOG10(28/153.655)^2)*P15,10^(0.783497476*LOG10(A15/153.655)^2)*P15)),IF(A15&gt;175.508,P15,IF(A15&lt;32,10^(0.75194503*LOG10(32/175.508)^2)*P15,10^(0.75194503*LOG10(A15/175.508)^2)*P15)))))</f>
        <v>146.51835346091508</v>
      </c>
      <c r="R15" s="224" t="str">
        <f>IF(OR(E15="",A15="",Z15="",Q15=""),"",IF(OR(C15="UM",C15="JM",C15="SM",C15="UK",C15="JK",C15="SK"),"",Q15*(IF(ABS(1900-YEAR((Z15+1)-E15))&lt;29,0,(VLOOKUP((YEAR(Z15)-YEAR(E15)),'Meltzer-Malone'!$A$3:$B$63,2))))))</f>
        <v/>
      </c>
      <c r="S15" s="174">
        <f>IF('K3'!G13="","",'K3'!G13)</f>
        <v>6.15</v>
      </c>
      <c r="T15" s="174">
        <f>IF('K3'!K13="","",'K3'!K13)</f>
        <v>8.85</v>
      </c>
      <c r="U15" s="174">
        <f>IF('K3'!N13="","",'K3'!N13)</f>
        <v>7.54</v>
      </c>
      <c r="V15" s="163"/>
      <c r="W15" s="164"/>
      <c r="X15" s="175"/>
      <c r="Y15" s="176"/>
      <c r="Z15" s="225">
        <f>U5</f>
        <v>43358</v>
      </c>
    </row>
    <row r="16" spans="1:26" ht="18" customHeight="1">
      <c r="A16" s="165"/>
      <c r="B16" s="166"/>
      <c r="C16" s="167"/>
      <c r="D16" s="168"/>
      <c r="E16" s="169"/>
      <c r="F16" s="193"/>
      <c r="G16" s="170" t="s">
        <v>127</v>
      </c>
      <c r="H16" s="338"/>
      <c r="I16" s="339"/>
      <c r="J16" s="340"/>
      <c r="K16" s="341"/>
      <c r="L16" s="342"/>
      <c r="M16" s="343"/>
      <c r="N16" s="297"/>
      <c r="O16" s="171"/>
      <c r="P16" s="334">
        <f>IF(Q15="","",Q15*1.2)</f>
        <v>175.82202415309808</v>
      </c>
      <c r="Q16" s="334"/>
      <c r="R16" s="222"/>
      <c r="S16" s="197">
        <f>IF(S15="","",S15*20)</f>
        <v>123</v>
      </c>
      <c r="T16" s="172">
        <f>IF(T15="","",T15*11)</f>
        <v>97.35</v>
      </c>
      <c r="U16" s="173">
        <f>IF(U15="","",IF((80+(8-ROUNDUP(U15,1))*40)&lt;0,0,80+(8-ROUNDUP(U15,1))*40))</f>
        <v>96.000000000000014</v>
      </c>
      <c r="V16" s="237">
        <f>IF(SUM(S16,T16,U16)&gt;0,SUM(S16,T16,U16),"")</f>
        <v>316.35000000000002</v>
      </c>
      <c r="W16" s="238">
        <f>IF(OR(P16="",S16="",T16="",U16=""),"",SUM(P16,S16,T16,U16))</f>
        <v>492.17202415309805</v>
      </c>
      <c r="X16" s="239"/>
      <c r="Y16" s="240"/>
      <c r="Z16" s="225"/>
    </row>
    <row r="17" spans="1:29" ht="18" customHeight="1">
      <c r="A17" s="185">
        <v>65.45</v>
      </c>
      <c r="B17" s="186" t="s">
        <v>128</v>
      </c>
      <c r="C17" s="187" t="s">
        <v>91</v>
      </c>
      <c r="D17" s="186" t="s">
        <v>122</v>
      </c>
      <c r="E17" s="188">
        <v>36909</v>
      </c>
      <c r="F17" s="189"/>
      <c r="G17" s="190" t="s">
        <v>130</v>
      </c>
      <c r="H17" s="191">
        <v>47</v>
      </c>
      <c r="I17" s="192">
        <v>-49</v>
      </c>
      <c r="J17" s="192">
        <v>-49</v>
      </c>
      <c r="K17" s="191">
        <v>56</v>
      </c>
      <c r="L17" s="192">
        <v>58</v>
      </c>
      <c r="M17" s="192">
        <v>60</v>
      </c>
      <c r="N17" s="210">
        <v>47</v>
      </c>
      <c r="O17" s="210">
        <f>IF(MAX(K17:M17)&gt;0,IF(MAX(K17:M17)&lt;0,0,TRUNC(MAX(K17:M17)/1)*1),"")</f>
        <v>60</v>
      </c>
      <c r="P17" s="211">
        <f>IF(N17="","",IF(O17="","",IF(SUM(N17:O17)=0,"",SUM(N17:O17))))</f>
        <v>107</v>
      </c>
      <c r="Q17" s="223">
        <f>IF(P17="","",IF(A17="","",IF(OR(C17="UK",C17="JK",C17="SK",C17="K1",C17="K2",C17="K3",C17="K4",C17="K5",C17="K6",C17="K7",C17="K8",C17="K9",C17="K10"),IF(A17&gt;153.655,P17,IF(A17&lt;28,10^(0.783497476*LOG10(28/153.655)^2)*P17,10^(0.783497476*LOG10(A17/153.655)^2)*P17)),IF(A17&gt;175.508,P17,IF(A17&lt;32,10^(0.75194503*LOG10(32/175.508)^2)*P17,10^(0.75194503*LOG10(A17/175.508)^2)*P17)))))</f>
        <v>137.09267539335048</v>
      </c>
      <c r="R17" s="224" t="str">
        <f>IF(OR(E17="",A17="",Z17="",Q17=""),"",IF(OR(C17="UM",C17="JM",C17="SM",C17="UK",C17="JK",C17="SK"),"",Q17*(IF(ABS(1900-YEAR((Z17+1)-E17))&lt;29,0,(VLOOKUP((YEAR(Z17)-YEAR(E17)),'Meltzer-Malone'!$A$3:$B$63,2))))))</f>
        <v/>
      </c>
      <c r="S17" s="174">
        <f>IF('K3'!G15="","",'K3'!G15)</f>
        <v>6.12</v>
      </c>
      <c r="T17" s="174">
        <f>IF('K3'!K15="","",'K3'!K15)</f>
        <v>11.75</v>
      </c>
      <c r="U17" s="174">
        <f>IF('K3'!N15="","",'K3'!N15)</f>
        <v>7.83</v>
      </c>
      <c r="V17" s="163"/>
      <c r="W17" s="164"/>
      <c r="X17" s="175"/>
      <c r="Y17" s="176"/>
      <c r="Z17" s="225">
        <f>U5</f>
        <v>43358</v>
      </c>
    </row>
    <row r="18" spans="1:29" ht="18" customHeight="1">
      <c r="A18" s="165"/>
      <c r="B18" s="166"/>
      <c r="C18" s="167"/>
      <c r="D18" s="168"/>
      <c r="E18" s="169"/>
      <c r="F18" s="193"/>
      <c r="G18" s="170" t="s">
        <v>131</v>
      </c>
      <c r="H18" s="338"/>
      <c r="I18" s="339"/>
      <c r="J18" s="340"/>
      <c r="K18" s="341"/>
      <c r="L18" s="342"/>
      <c r="M18" s="343"/>
      <c r="N18" s="297"/>
      <c r="O18" s="171"/>
      <c r="P18" s="334">
        <f>IF(Q17="","",Q17*1.2)</f>
        <v>164.51121047202057</v>
      </c>
      <c r="Q18" s="334"/>
      <c r="R18" s="222"/>
      <c r="S18" s="197">
        <f>IF(S17="","",S17*20)</f>
        <v>122.4</v>
      </c>
      <c r="T18" s="172">
        <f>IF(T17="","",T17*11)</f>
        <v>129.25</v>
      </c>
      <c r="U18" s="173">
        <f>IF(U17="","",IF((80+(8-ROUNDUP(U17,1))*40)&lt;0,0,80+(8-ROUNDUP(U17,1))*40))</f>
        <v>84.000000000000028</v>
      </c>
      <c r="V18" s="237">
        <f>IF(SUM(S18,T18,U18)&gt;0,SUM(S18,T18,U18),"")</f>
        <v>335.65000000000003</v>
      </c>
      <c r="W18" s="238">
        <f>IF(OR(P18="",S18="",T18="",U18=""),"",SUM(P18,S18,T18,U18))</f>
        <v>500.16121047202057</v>
      </c>
      <c r="X18" s="239"/>
      <c r="Y18" s="240"/>
      <c r="Z18" s="225"/>
      <c r="AC18" t="s">
        <v>42</v>
      </c>
    </row>
    <row r="19" spans="1:29" ht="18" customHeight="1">
      <c r="A19" s="185">
        <v>71.37</v>
      </c>
      <c r="B19" s="186" t="s">
        <v>112</v>
      </c>
      <c r="C19" s="187" t="s">
        <v>91</v>
      </c>
      <c r="D19" s="186" t="s">
        <v>122</v>
      </c>
      <c r="E19" s="188">
        <v>37227</v>
      </c>
      <c r="F19" s="189"/>
      <c r="G19" s="190" t="s">
        <v>132</v>
      </c>
      <c r="H19" s="191">
        <v>44</v>
      </c>
      <c r="I19" s="192">
        <v>47</v>
      </c>
      <c r="J19" s="192">
        <v>-49</v>
      </c>
      <c r="K19" s="191">
        <v>52</v>
      </c>
      <c r="L19" s="192">
        <v>54</v>
      </c>
      <c r="M19" s="192">
        <v>56</v>
      </c>
      <c r="N19" s="210">
        <v>47</v>
      </c>
      <c r="O19" s="210">
        <f>IF(MAX(K19:M19)&gt;0,IF(MAX(K19:M19)&lt;0,0,TRUNC(MAX(K19:M19)/1)*1),"")</f>
        <v>56</v>
      </c>
      <c r="P19" s="211">
        <f>IF(N19="","",IF(O19="","",IF(SUM(N19:O19)=0,"",SUM(N19:O19))))</f>
        <v>103</v>
      </c>
      <c r="Q19" s="223">
        <f>IF(P19="","",IF(A19="","",IF(OR(C19="UK",C19="JK",C19="SK",C19="K1",C19="K2",C19="K3",C19="K4",C19="K5",C19="K6",C19="K7",C19="K8",C19="K9",C19="K10"),IF(A19&gt;153.655,P19,IF(A19&lt;28,10^(0.783497476*LOG10(28/153.655)^2)*P19,10^(0.783497476*LOG10(A19/153.655)^2)*P19)),IF(A19&gt;175.508,P19,IF(A19&lt;32,10^(0.75194503*LOG10(32/175.508)^2)*P19,10^(0.75194503*LOG10(A19/175.508)^2)*P19)))))</f>
        <v>125.8156464151004</v>
      </c>
      <c r="R19" s="224" t="str">
        <f>IF(OR(E19="",A19="",Z19="",Q19=""),"",IF(OR(C19="UM",C19="JM",C19="SM",C19="UK",C19="JK",C19="SK"),"",Q19*(IF(ABS(1900-YEAR((Z19+1)-E19))&lt;29,0,(VLOOKUP((YEAR(Z19)-YEAR(E19)),'Meltzer-Malone'!$A$3:$B$63,2))))))</f>
        <v/>
      </c>
      <c r="S19" s="174">
        <f>IF('K3'!G17="","",'K3'!G17)</f>
        <v>6.19</v>
      </c>
      <c r="T19" s="174">
        <f>IF('K3'!K17="","",'K3'!K17)</f>
        <v>10.49</v>
      </c>
      <c r="U19" s="174">
        <f>IF('K3'!N17="","",'K3'!N17)</f>
        <v>8.09</v>
      </c>
      <c r="V19" s="163"/>
      <c r="W19" s="164"/>
      <c r="X19" s="175"/>
      <c r="Y19" s="176"/>
      <c r="Z19" s="225">
        <f>U5</f>
        <v>43358</v>
      </c>
    </row>
    <row r="20" spans="1:29" ht="18" customHeight="1">
      <c r="A20" s="165"/>
      <c r="B20" s="166"/>
      <c r="C20" s="167"/>
      <c r="D20" s="168"/>
      <c r="E20" s="169"/>
      <c r="F20" s="193"/>
      <c r="G20" s="170" t="s">
        <v>131</v>
      </c>
      <c r="H20" s="338"/>
      <c r="I20" s="339"/>
      <c r="J20" s="340"/>
      <c r="K20" s="341"/>
      <c r="L20" s="342"/>
      <c r="M20" s="343"/>
      <c r="N20" s="297"/>
      <c r="O20" s="171"/>
      <c r="P20" s="334">
        <f>IF(Q19="","",Q19*1.2)</f>
        <v>150.97877569812047</v>
      </c>
      <c r="Q20" s="334"/>
      <c r="R20" s="222"/>
      <c r="S20" s="197">
        <f>IF(S19="","",S19*20)</f>
        <v>123.80000000000001</v>
      </c>
      <c r="T20" s="172">
        <f>IF(T19="","",T19*11)</f>
        <v>115.39</v>
      </c>
      <c r="U20" s="173">
        <f>IF(U19="","",IF((80+(8-ROUNDUP(U19,1))*40)&lt;0,0,80+(8-ROUNDUP(U19,1))*40))</f>
        <v>76.000000000000014</v>
      </c>
      <c r="V20" s="237">
        <f>IF(SUM(S20,T20,U20)&gt;0,SUM(S20,T20,U20),"")</f>
        <v>315.19</v>
      </c>
      <c r="W20" s="238">
        <f>IF(OR(P20="",S20="",T20="",U20=""),"",SUM(P20,S20,T20,U20))</f>
        <v>466.1687756981205</v>
      </c>
      <c r="X20" s="239"/>
      <c r="Y20" s="240"/>
      <c r="Z20" s="225"/>
    </row>
    <row r="21" spans="1:29" ht="18" customHeight="1">
      <c r="A21" s="185"/>
      <c r="B21" s="186"/>
      <c r="C21" s="187"/>
      <c r="D21" s="186"/>
      <c r="E21" s="188"/>
      <c r="F21" s="189"/>
      <c r="G21" s="190"/>
      <c r="H21" s="191"/>
      <c r="I21" s="192"/>
      <c r="J21" s="192"/>
      <c r="K21" s="191"/>
      <c r="L21" s="192"/>
      <c r="M21" s="192"/>
      <c r="N21" s="209" t="str">
        <f>IF(MAX(H21:J21)&gt;0,IF(MAX(H21:J21)&lt;0,0,TRUNC(MAX(H21:J21)/1)*1),"")</f>
        <v/>
      </c>
      <c r="O21" s="210" t="str">
        <f>IF(MAX(K21:M21)&gt;0,IF(MAX(K21:M21)&lt;0,0,TRUNC(MAX(K21:M21)/1)*1),"")</f>
        <v/>
      </c>
      <c r="P21" s="211" t="str">
        <f>IF(N21="","",IF(O21="","",IF(SUM(N21:O21)=0,"",SUM(N21:O21))))</f>
        <v/>
      </c>
      <c r="Q21" s="223" t="str">
        <f>IF(P21="","",IF(A21="","",IF(OR(C21="UK",C21="JK",C21="SK",C21="K1",C21="K2",C21="K3",C21="K4",C21="K5",C21="K6",C21="K7",C21="K8",C21="K9",C21="K10"),IF(A21&gt;153.655,P21,IF(A21&lt;28,10^(0.783497476*LOG10(28/153.655)^2)*P21,10^(0.783497476*LOG10(A21/153.655)^2)*P21)),IF(A21&gt;175.508,P21,IF(A21&lt;32,10^(0.75194503*LOG10(32/175.508)^2)*P21,10^(0.75194503*LOG10(A21/175.508)^2)*P21)))))</f>
        <v/>
      </c>
      <c r="R21" s="224" t="str">
        <f>IF(OR(E21="",A21="",Z21="",Q21=""),"",IF(OR(C21="UM",C21="JM",C21="SM",C21="UK",C21="JK",C21="SK"),"",Q21*(IF(ABS(1900-YEAR((Z21+1)-E21))&lt;29,0,(VLOOKUP((YEAR(Z21)-YEAR(E21)),'Meltzer-Malone'!$A$3:$B$63,2))))))</f>
        <v/>
      </c>
      <c r="S21" s="174" t="str">
        <f>IF('K3'!G19="","",'K3'!G19)</f>
        <v/>
      </c>
      <c r="T21" s="174" t="str">
        <f>IF('K3'!K19="","",'K3'!K19)</f>
        <v/>
      </c>
      <c r="U21" s="174" t="str">
        <f>IF('K3'!N19="","",'K3'!N19)</f>
        <v/>
      </c>
      <c r="V21" s="163"/>
      <c r="W21" s="164"/>
      <c r="X21" s="175"/>
      <c r="Y21" s="176"/>
      <c r="Z21" s="225">
        <f>U5</f>
        <v>43358</v>
      </c>
    </row>
    <row r="22" spans="1:29" ht="18" customHeight="1">
      <c r="A22" s="165"/>
      <c r="B22" s="166"/>
      <c r="C22" s="167"/>
      <c r="D22" s="168"/>
      <c r="E22" s="169"/>
      <c r="F22" s="193"/>
      <c r="G22" s="170"/>
      <c r="H22" s="338"/>
      <c r="I22" s="339"/>
      <c r="J22" s="340"/>
      <c r="K22" s="341"/>
      <c r="L22" s="342"/>
      <c r="M22" s="343"/>
      <c r="N22" s="167"/>
      <c r="O22" s="171"/>
      <c r="P22" s="334" t="str">
        <f>IF(Q21="","",Q21*1.2)</f>
        <v/>
      </c>
      <c r="Q22" s="334"/>
      <c r="R22" s="222"/>
      <c r="S22" s="197" t="str">
        <f>IF(S21="","",S21*20)</f>
        <v/>
      </c>
      <c r="T22" s="172" t="str">
        <f>IF(T21="","",T21*11)</f>
        <v/>
      </c>
      <c r="U22" s="173" t="str">
        <f>IF(U21="","",IF((80+(8-ROUNDUP(U21,1))*40)&lt;0,0,80+(8-ROUNDUP(U21,1))*40))</f>
        <v/>
      </c>
      <c r="V22" s="237" t="str">
        <f>IF(SUM(S22,T22,U22)&gt;0,SUM(S22,T22,U22),"")</f>
        <v/>
      </c>
      <c r="W22" s="238" t="str">
        <f>IF(OR(P22="",S22="",T22="",U22=""),"",SUM(P22,S22,T22,U22))</f>
        <v/>
      </c>
      <c r="X22" s="239"/>
      <c r="Y22" s="240"/>
      <c r="Z22" s="225"/>
    </row>
    <row r="23" spans="1:29" ht="18" customHeight="1">
      <c r="A23" s="185"/>
      <c r="B23" s="186"/>
      <c r="C23" s="187"/>
      <c r="D23" s="206"/>
      <c r="E23" s="188"/>
      <c r="F23" s="189"/>
      <c r="G23" s="190"/>
      <c r="H23" s="207"/>
      <c r="I23" s="208"/>
      <c r="J23" s="208"/>
      <c r="K23" s="207"/>
      <c r="L23" s="208"/>
      <c r="M23" s="208"/>
      <c r="N23" s="209" t="str">
        <f>IF(MAX(H23:J23)&gt;0,IF(MAX(H23:J23)&lt;0,0,TRUNC(MAX(H23:J23)/1)*1),"")</f>
        <v/>
      </c>
      <c r="O23" s="210" t="str">
        <f>IF(MAX(K23:M23)&gt;0,IF(MAX(K23:M23)&lt;0,0,TRUNC(MAX(K23:M23)/1)*1),"")</f>
        <v/>
      </c>
      <c r="P23" s="211" t="str">
        <f>IF(N23="","",IF(O23="","",IF(SUM(N23:O23)=0,"",SUM(N23:O23))))</f>
        <v/>
      </c>
      <c r="Q23" s="223" t="str">
        <f>IF(P23="","",IF(A23="","",IF(OR(C23="UK",C23="JK",C23="SK",C23="K1",C23="K2",C23="K3",C23="K4",C23="K5",C23="K6",C23="K7",C23="K8",C23="K9",C23="K10"),IF(A23&gt;153.655,P23,IF(A23&lt;28,10^(0.783497476*LOG10(28/153.655)^2)*P23,10^(0.783497476*LOG10(A23/153.655)^2)*P23)),IF(A23&gt;175.508,P23,IF(A23&lt;32,10^(0.75194503*LOG10(32/175.508)^2)*P23,10^(0.75194503*LOG10(A23/175.508)^2)*P23)))))</f>
        <v/>
      </c>
      <c r="R23" s="224" t="str">
        <f>IF(OR(E23="",A23="",Z23="",Q23=""),"",IF(OR(C23="UM",C23="JM",C23="SM",C23="UK",C23="JK",C23="SK"),"",Q23*(IF(ABS(1900-YEAR((Z23+1)-E23))&lt;29,0,(VLOOKUP((YEAR(Z23)-YEAR(E23)),'Meltzer-Malone'!$A$3:$B$63,2))))))</f>
        <v/>
      </c>
      <c r="S23" s="174" t="str">
        <f>IF('K3'!G21="","",'K3'!G21)</f>
        <v/>
      </c>
      <c r="T23" s="174" t="str">
        <f>IF('K3'!K21="","",'K3'!K21)</f>
        <v/>
      </c>
      <c r="U23" s="174" t="str">
        <f>IF('K3'!N21="","",'K3'!N21)</f>
        <v/>
      </c>
      <c r="V23" s="163"/>
      <c r="W23" s="164"/>
      <c r="X23" s="175"/>
      <c r="Y23" s="176"/>
      <c r="Z23" s="225">
        <f>U5</f>
        <v>43358</v>
      </c>
    </row>
    <row r="24" spans="1:29" ht="18" customHeight="1">
      <c r="A24" s="165"/>
      <c r="B24" s="166"/>
      <c r="C24" s="167"/>
      <c r="D24" s="168"/>
      <c r="E24" s="169"/>
      <c r="F24" s="193"/>
      <c r="G24" s="170"/>
      <c r="H24" s="338"/>
      <c r="I24" s="339"/>
      <c r="J24" s="340"/>
      <c r="K24" s="341"/>
      <c r="L24" s="342"/>
      <c r="M24" s="343"/>
      <c r="N24" s="167"/>
      <c r="O24" s="171"/>
      <c r="P24" s="334" t="str">
        <f>IF(Q23="","",Q23*1.2)</f>
        <v/>
      </c>
      <c r="Q24" s="334"/>
      <c r="R24" s="222"/>
      <c r="S24" s="197" t="str">
        <f>IF(S23="","",S23*20)</f>
        <v/>
      </c>
      <c r="T24" s="172" t="str">
        <f>IF(T23="","",T23*11)</f>
        <v/>
      </c>
      <c r="U24" s="173" t="str">
        <f>IF(U23="","",IF((80+(8-ROUNDUP(U23,1))*40)&lt;0,0,80+(8-ROUNDUP(U23,1))*40))</f>
        <v/>
      </c>
      <c r="V24" s="237" t="str">
        <f>IF(SUM(S24,T24,U24)&gt;0,SUM(S24,T24,U24),"")</f>
        <v/>
      </c>
      <c r="W24" s="238" t="str">
        <f>IF(OR(P24="",S24="",T24="",U24=""),"",SUM(P24,S24,T24,U24))</f>
        <v/>
      </c>
      <c r="X24" s="239"/>
      <c r="Y24" s="240"/>
      <c r="Z24" s="225"/>
    </row>
    <row r="25" spans="1:29" ht="18" customHeight="1">
      <c r="A25" s="185"/>
      <c r="B25" s="206"/>
      <c r="C25" s="187"/>
      <c r="D25" s="186"/>
      <c r="E25" s="188"/>
      <c r="F25" s="189"/>
      <c r="G25" s="190"/>
      <c r="H25" s="207"/>
      <c r="I25" s="208"/>
      <c r="J25" s="208"/>
      <c r="K25" s="207"/>
      <c r="L25" s="208"/>
      <c r="M25" s="208"/>
      <c r="N25" s="209" t="str">
        <f>IF(MAX(H25:J25)&gt;0,IF(MAX(H25:J25)&lt;0,0,TRUNC(MAX(H25:J25)/1)*1),"")</f>
        <v/>
      </c>
      <c r="O25" s="210" t="str">
        <f>IF(MAX(K25:M25)&gt;0,IF(MAX(K25:M25)&lt;0,0,TRUNC(MAX(K25:M25)/1)*1),"")</f>
        <v/>
      </c>
      <c r="P25" s="211" t="str">
        <f>IF(N25="","",IF(O25="","",IF(SUM(N25:O25)=0,"",SUM(N25:O25))))</f>
        <v/>
      </c>
      <c r="Q25" s="223" t="str">
        <f>IF(P25="","",IF(A25="","",IF(OR(C25="UK",C25="JK",C25="SK",C25="K1",C25="K2",C25="K3",C25="K4",C25="K5",C25="K6",C25="K7",C25="K8",C25="K9",C25="K10"),IF(A25&gt;153.655,P25,IF(A25&lt;28,10^(0.783497476*LOG10(28/153.655)^2)*P25,10^(0.783497476*LOG10(A25/153.655)^2)*P25)),IF(A25&gt;175.508,P25,IF(A25&lt;32,10^(0.75194503*LOG10(32/175.508)^2)*P25,10^(0.75194503*LOG10(A25/175.508)^2)*P25)))))</f>
        <v/>
      </c>
      <c r="R25" s="224" t="str">
        <f>IF(OR(E25="",A25="",Z25="",Q25=""),"",IF(OR(C25="UM",C25="JM",C25="SM",C25="UK",C25="JK",C25="SK"),"",Q25*(IF(ABS(1900-YEAR((Z25+1)-E25))&lt;29,0,(VLOOKUP((YEAR(Z25)-YEAR(E25)),'Meltzer-Malone'!$A$3:$B$63,2))))))</f>
        <v/>
      </c>
      <c r="S25" s="174" t="str">
        <f>IF('K3'!G23="","",'K3'!G23)</f>
        <v/>
      </c>
      <c r="T25" s="174" t="str">
        <f>IF('K3'!K23="","",'K3'!K23)</f>
        <v/>
      </c>
      <c r="U25" s="174" t="str">
        <f>IF('K3'!N23="","",'K3'!N23)</f>
        <v/>
      </c>
      <c r="V25" s="163"/>
      <c r="W25" s="164"/>
      <c r="X25" s="175"/>
      <c r="Y25" s="176"/>
      <c r="Z25" s="225">
        <f>U5</f>
        <v>43358</v>
      </c>
    </row>
    <row r="26" spans="1:29" ht="18" customHeight="1">
      <c r="A26" s="165"/>
      <c r="B26" s="166"/>
      <c r="C26" s="167"/>
      <c r="D26" s="168"/>
      <c r="E26" s="169"/>
      <c r="F26" s="193"/>
      <c r="G26" s="170"/>
      <c r="H26" s="338"/>
      <c r="I26" s="339"/>
      <c r="J26" s="340"/>
      <c r="K26" s="341"/>
      <c r="L26" s="342"/>
      <c r="M26" s="343"/>
      <c r="N26" s="167"/>
      <c r="O26" s="171"/>
      <c r="P26" s="334" t="str">
        <f>IF(Q25="","",Q25*1.2)</f>
        <v/>
      </c>
      <c r="Q26" s="334"/>
      <c r="R26" s="222"/>
      <c r="S26" s="197" t="str">
        <f>IF(S25="","",S25*20)</f>
        <v/>
      </c>
      <c r="T26" s="172" t="str">
        <f>IF(T25="","",T25*11)</f>
        <v/>
      </c>
      <c r="U26" s="173" t="str">
        <f>IF(U25="","",IF((80+(8-ROUNDUP(U25,1))*40)&lt;0,0,80+(8-ROUNDUP(U25,1))*40))</f>
        <v/>
      </c>
      <c r="V26" s="237" t="str">
        <f>IF(SUM(S26,T26,U26)&gt;0,SUM(S26,T26,U26),"")</f>
        <v/>
      </c>
      <c r="W26" s="238" t="str">
        <f>IF(OR(P26="",S26="",T26="",U26=""),"",SUM(P26,S26,T26,U26))</f>
        <v/>
      </c>
      <c r="X26" s="239"/>
      <c r="Y26" s="240"/>
      <c r="Z26" s="225"/>
    </row>
    <row r="27" spans="1:29" ht="18" customHeight="1">
      <c r="A27" s="158"/>
      <c r="B27" s="186"/>
      <c r="C27" s="187"/>
      <c r="D27" s="206"/>
      <c r="E27" s="159"/>
      <c r="F27" s="159"/>
      <c r="G27" s="160"/>
      <c r="H27" s="161"/>
      <c r="I27" s="161"/>
      <c r="J27" s="161"/>
      <c r="K27" s="161"/>
      <c r="L27" s="161"/>
      <c r="M27" s="161"/>
      <c r="N27" s="209" t="str">
        <f>IF(MAX(H27:J27)&gt;0,IF(MAX(H27:J27)&lt;0,0,TRUNC(MAX(H27:J27)/1)*1),"")</f>
        <v/>
      </c>
      <c r="O27" s="210" t="str">
        <f>IF(MAX(K27:M27)&gt;0,IF(MAX(K27:M27)&lt;0,0,TRUNC(MAX(K27:M27)/1)*1),"")</f>
        <v/>
      </c>
      <c r="P27" s="211" t="str">
        <f>IF(N27="","",IF(O27="","",IF(SUM(N27:O27)=0,"",SUM(N27:O27))))</f>
        <v/>
      </c>
      <c r="Q27" s="223" t="str">
        <f>IF(P27="","",IF(A27="","",IF(OR(C27="UK",C27="JK",C27="SK",C27="K1",C27="K2",C27="K3",C27="K4",C27="K5",C27="K6",C27="K7",C27="K8",C27="K9",C27="K10"),IF(A27&gt;153.655,P27,IF(A27&lt;28,10^(0.783497476*LOG10(28/153.655)^2)*P27,10^(0.783497476*LOG10(A27/153.655)^2)*P27)),IF(A27&gt;175.508,P27,IF(A27&lt;32,10^(0.75194503*LOG10(32/175.508)^2)*P27,10^(0.75194503*LOG10(A27/175.508)^2)*P27)))))</f>
        <v/>
      </c>
      <c r="R27" s="224" t="str">
        <f>IF(OR(E27="",A27="",Z27="",Q27=""),"",IF(OR(C27="UM",C27="JM",C27="SM",C27="UK",C27="JK",C27="SK"),"",Q27*(IF(ABS(1900-YEAR((Z27+1)-E27))&lt;29,0,(VLOOKUP((YEAR(Z27)-YEAR(E27)),'Meltzer-Malone'!$A$3:$B$63,2))))))</f>
        <v/>
      </c>
      <c r="S27" s="174" t="str">
        <f>IF('K3'!G25="","",'K3'!G25)</f>
        <v/>
      </c>
      <c r="T27" s="174" t="str">
        <f>IF('K3'!K25="","",'K3'!K25)</f>
        <v/>
      </c>
      <c r="U27" s="174" t="str">
        <f>IF('K3'!N25="","",'K3'!N25)</f>
        <v/>
      </c>
      <c r="V27" s="163"/>
      <c r="W27" s="164"/>
      <c r="X27" s="175"/>
      <c r="Y27" s="176"/>
      <c r="Z27" s="225">
        <f>U5</f>
        <v>43358</v>
      </c>
    </row>
    <row r="28" spans="1:29" ht="18" customHeight="1">
      <c r="A28" s="165"/>
      <c r="B28" s="166"/>
      <c r="C28" s="167"/>
      <c r="D28" s="168"/>
      <c r="E28" s="169"/>
      <c r="F28" s="169"/>
      <c r="G28" s="170"/>
      <c r="H28" s="333"/>
      <c r="I28" s="334"/>
      <c r="J28" s="335"/>
      <c r="K28" s="333"/>
      <c r="L28" s="334"/>
      <c r="M28" s="335"/>
      <c r="N28" s="167"/>
      <c r="O28" s="171"/>
      <c r="P28" s="334" t="str">
        <f>IF(Q27="","",Q27*1.2)</f>
        <v/>
      </c>
      <c r="Q28" s="334"/>
      <c r="R28" s="222"/>
      <c r="S28" s="197" t="str">
        <f>IF(S27="","",S27*20)</f>
        <v/>
      </c>
      <c r="T28" s="172" t="str">
        <f>IF(T27="","",T27*11)</f>
        <v/>
      </c>
      <c r="U28" s="173" t="str">
        <f>IF(U27="","",IF((80+(8-ROUNDUP(U27,1))*40)&lt;0,0,80+(8-ROUNDUP(U27,1))*40))</f>
        <v/>
      </c>
      <c r="V28" s="237" t="str">
        <f>IF(SUM(S28,T28,U28)&gt;0,SUM(S28,T28,U28),"")</f>
        <v/>
      </c>
      <c r="W28" s="238" t="str">
        <f>IF(OR(P28="",S28="",T28="",U28=""),"",SUM(P28,S28,T28,U28))</f>
        <v/>
      </c>
      <c r="X28" s="239"/>
      <c r="Y28" s="240"/>
      <c r="Z28" s="226"/>
    </row>
    <row r="29" spans="1:29" ht="18" customHeight="1">
      <c r="A29" s="158"/>
      <c r="B29" s="186"/>
      <c r="C29" s="187"/>
      <c r="D29" s="206"/>
      <c r="E29" s="159"/>
      <c r="F29" s="159"/>
      <c r="G29" s="160"/>
      <c r="H29" s="161"/>
      <c r="I29" s="161"/>
      <c r="J29" s="161"/>
      <c r="K29" s="161"/>
      <c r="L29" s="161"/>
      <c r="M29" s="161"/>
      <c r="N29" s="209" t="str">
        <f>IF(MAX(H29:J29)&gt;0,IF(MAX(H29:J29)&lt;0,0,TRUNC(MAX(H29:J29)/1)*1),"")</f>
        <v/>
      </c>
      <c r="O29" s="210" t="str">
        <f>IF(MAX(K29:M29)&gt;0,IF(MAX(K29:M29)&lt;0,0,TRUNC(MAX(K29:M29)/1)*1),"")</f>
        <v/>
      </c>
      <c r="P29" s="211" t="str">
        <f>IF(N29="","",IF(O29="","",IF(SUM(N29:O29)=0,"",SUM(N29:O29))))</f>
        <v/>
      </c>
      <c r="Q29" s="223" t="str">
        <f>IF(P29="","",IF(A29="","",IF(OR(C29="UK",C29="JK",C29="SK",C29="K1",C29="K2",C29="K3",C29="K4",C29="K5",C29="K6",C29="K7",C29="K8",C29="K9",C29="K10"),IF(A29&gt;153.655,P29,IF(A29&lt;28,10^(0.783497476*LOG10(28/153.655)^2)*P29,10^(0.783497476*LOG10(A29/153.655)^2)*P29)),IF(A29&gt;175.508,P29,IF(A29&lt;32,10^(0.75194503*LOG10(32/175.508)^2)*P29,10^(0.75194503*LOG10(A29/175.508)^2)*P29)))))</f>
        <v/>
      </c>
      <c r="R29" s="224" t="str">
        <f>IF(OR(E29="",A29="",Z29="",Q29=""),"",IF(OR(C29="UM",C29="JM",C29="SM",C29="UK",C29="JK",C29="SK"),"",Q29*(IF(ABS(1900-YEAR((Z29+1)-E29))&lt;29,0,(VLOOKUP((YEAR(Z29)-YEAR(E29)),'Meltzer-Malone'!$A$3:$B$63,2))))))</f>
        <v/>
      </c>
      <c r="S29" s="174" t="str">
        <f>IF('K3'!G27="","",'K3'!G27)</f>
        <v/>
      </c>
      <c r="T29" s="174" t="str">
        <f>IF('K3'!K27="","",'K3'!K27)</f>
        <v/>
      </c>
      <c r="U29" s="174" t="str">
        <f>IF('K3'!N27="","",'K3'!N27)</f>
        <v/>
      </c>
      <c r="V29" s="163"/>
      <c r="W29" s="164"/>
      <c r="X29" s="175"/>
      <c r="Y29" s="176"/>
      <c r="Z29" s="225">
        <f>U5</f>
        <v>43358</v>
      </c>
    </row>
    <row r="30" spans="1:29" ht="18" customHeight="1">
      <c r="A30" s="165"/>
      <c r="B30" s="166"/>
      <c r="C30" s="167"/>
      <c r="D30" s="168"/>
      <c r="E30" s="169"/>
      <c r="F30" s="169"/>
      <c r="G30" s="170"/>
      <c r="H30" s="333"/>
      <c r="I30" s="334"/>
      <c r="J30" s="335"/>
      <c r="K30" s="333"/>
      <c r="L30" s="334"/>
      <c r="M30" s="335"/>
      <c r="N30" s="167"/>
      <c r="O30" s="171"/>
      <c r="P30" s="334" t="str">
        <f>IF(Q29="","",Q29*1.2)</f>
        <v/>
      </c>
      <c r="Q30" s="334"/>
      <c r="R30" s="222"/>
      <c r="S30" s="197" t="str">
        <f>IF(S29="","",S29*20)</f>
        <v/>
      </c>
      <c r="T30" s="172" t="str">
        <f>IF(T29="","",T29*11)</f>
        <v/>
      </c>
      <c r="U30" s="173" t="str">
        <f>IF(U29="","",IF((80+(8-ROUNDUP(U29,1))*40)&lt;0,0,80+(8-ROUNDUP(U29,1))*40))</f>
        <v/>
      </c>
      <c r="V30" s="237" t="str">
        <f>IF(SUM(S30,T30,U30)&gt;0,SUM(S30,T30,U30),"")</f>
        <v/>
      </c>
      <c r="W30" s="238" t="str">
        <f>IF(OR(P30="",S30="",T30="",U30=""),"",SUM(P30,S30,T30,U30))</f>
        <v/>
      </c>
      <c r="X30" s="239"/>
      <c r="Y30" s="240"/>
      <c r="Z30" s="225"/>
    </row>
    <row r="31" spans="1:29" ht="18" customHeight="1">
      <c r="A31" s="158"/>
      <c r="B31" s="186"/>
      <c r="C31" s="187"/>
      <c r="D31" s="206"/>
      <c r="E31" s="159"/>
      <c r="F31" s="159"/>
      <c r="G31" s="160"/>
      <c r="H31" s="161"/>
      <c r="I31" s="161"/>
      <c r="J31" s="161"/>
      <c r="K31" s="161"/>
      <c r="L31" s="161"/>
      <c r="M31" s="161"/>
      <c r="N31" s="209" t="str">
        <f>IF(MAX(H31:J31)&gt;0,IF(MAX(H31:J31)&lt;0,0,TRUNC(MAX(H31:J31)/1)*1),"")</f>
        <v/>
      </c>
      <c r="O31" s="210" t="str">
        <f>IF(MAX(K31:M31)&gt;0,IF(MAX(K31:M31)&lt;0,0,TRUNC(MAX(K31:M31)/1)*1),"")</f>
        <v/>
      </c>
      <c r="P31" s="211" t="str">
        <f>IF(N31="","",IF(O31="","",IF(SUM(N31:O31)=0,"",SUM(N31:O31))))</f>
        <v/>
      </c>
      <c r="Q31" s="223" t="str">
        <f>IF(P31="","",IF(A31="","",IF(OR(C31="UK",C31="JK",C31="SK",C31="K1",C31="K2",C31="K3",C31="K4",C31="K5",C31="K6",C31="K7",C31="K8",C31="K9",C31="K10"),IF(A31&gt;153.655,P31,IF(A31&lt;28,10^(0.783497476*LOG10(28/153.655)^2)*P31,10^(0.783497476*LOG10(A31/153.655)^2)*P31)),IF(A31&gt;175.508,P31,IF(A31&lt;32,10^(0.75194503*LOG10(32/175.508)^2)*P31,10^(0.75194503*LOG10(A31/175.508)^2)*P31)))))</f>
        <v/>
      </c>
      <c r="R31" s="224" t="str">
        <f>IF(OR(E31="",A31="",Z31="",Q31=""),"",IF(OR(C31="UM",C31="JM",C31="SM",C31="UK",C31="JK",C31="SK"),"",Q31*(IF(ABS(1900-YEAR((Z31+1)-E31))&lt;29,0,(VLOOKUP((YEAR(Z31)-YEAR(E31)),'Meltzer-Malone'!$A$3:$B$63,2))))))</f>
        <v/>
      </c>
      <c r="S31" s="174" t="str">
        <f>IF('K3'!G29="","",'K3'!G29)</f>
        <v/>
      </c>
      <c r="T31" s="174" t="str">
        <f>IF('K3'!K29="","",'K3'!K29)</f>
        <v/>
      </c>
      <c r="U31" s="174" t="str">
        <f>IF('K3'!N29="","",'K3'!N29)</f>
        <v/>
      </c>
      <c r="V31" s="163"/>
      <c r="W31" s="164"/>
      <c r="X31" s="175"/>
      <c r="Y31" s="176"/>
      <c r="Z31" s="225">
        <f>U5</f>
        <v>43358</v>
      </c>
    </row>
    <row r="32" spans="1:29" ht="18" customHeight="1" thickBot="1">
      <c r="A32" s="177"/>
      <c r="B32" s="178"/>
      <c r="C32" s="179"/>
      <c r="D32" s="180"/>
      <c r="E32" s="181"/>
      <c r="F32" s="181"/>
      <c r="G32" s="182"/>
      <c r="H32" s="330"/>
      <c r="I32" s="331"/>
      <c r="J32" s="332"/>
      <c r="K32" s="330"/>
      <c r="L32" s="331"/>
      <c r="M32" s="332"/>
      <c r="N32" s="307"/>
      <c r="O32" s="308"/>
      <c r="P32" s="331" t="str">
        <f>IF(Q31="","",Q31*1.2)</f>
        <v/>
      </c>
      <c r="Q32" s="331"/>
      <c r="R32" s="309"/>
      <c r="S32" s="183" t="str">
        <f>IF(S31="","",S31*20)</f>
        <v/>
      </c>
      <c r="T32" s="183" t="str">
        <f>IF(T31="","",T31*11)</f>
        <v/>
      </c>
      <c r="U32" s="184" t="str">
        <f>IF(U31="","",IF((80+(8-ROUNDUP(U31,1))*40)&lt;0,0,80+(8-ROUNDUP(U31,1))*40))</f>
        <v/>
      </c>
      <c r="V32" s="184" t="str">
        <f>IF(SUM(S32,T32,U32)&gt;0,SUM(S32,T32,U32),"")</f>
        <v/>
      </c>
      <c r="W32" s="257" t="str">
        <f>IF(OR(P32="",S32="",T32="",U32=""),"",SUM(P32,S32,T32,U32))</f>
        <v/>
      </c>
      <c r="X32" s="258"/>
      <c r="Y32" s="259"/>
      <c r="Z32" s="225"/>
    </row>
    <row r="33" spans="1:25" ht="14.1">
      <c r="A33" s="429"/>
      <c r="B33" s="429"/>
      <c r="C33" s="429"/>
      <c r="D33" s="430"/>
      <c r="E33" s="431"/>
      <c r="F33" s="431"/>
      <c r="G33" s="432"/>
      <c r="H33" s="433"/>
      <c r="I33" s="433"/>
      <c r="J33" s="433"/>
      <c r="K33" s="433"/>
      <c r="L33" s="433"/>
      <c r="M33" s="433"/>
      <c r="N33" s="429"/>
      <c r="O33" s="429"/>
      <c r="P33" s="429"/>
      <c r="Q33" s="429"/>
      <c r="R33" s="429"/>
      <c r="S33" s="433"/>
      <c r="T33" s="433"/>
      <c r="U33" s="434"/>
      <c r="V33" s="434"/>
      <c r="W33" s="435"/>
      <c r="X33" s="436"/>
      <c r="Y33" s="437"/>
    </row>
    <row r="34" spans="1:25" s="7" customFormat="1" ht="14.1">
      <c r="A34" s="7" t="s">
        <v>50</v>
      </c>
      <c r="B34"/>
      <c r="C34" s="317" t="s">
        <v>51</v>
      </c>
      <c r="D34" s="317"/>
      <c r="E34" s="317"/>
      <c r="F34" s="317"/>
      <c r="G34" s="317"/>
      <c r="H34" s="328" t="s">
        <v>115</v>
      </c>
      <c r="I34" s="328"/>
      <c r="J34" s="134">
        <v>1</v>
      </c>
      <c r="K34" s="317" t="s">
        <v>133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s="7" customFormat="1" ht="14.1">
      <c r="B35"/>
      <c r="C35" s="327"/>
      <c r="D35" s="327"/>
      <c r="E35" s="327"/>
      <c r="F35" s="327"/>
      <c r="G35" s="327"/>
      <c r="H35" s="328"/>
      <c r="I35" s="328"/>
      <c r="J35" s="134">
        <v>2</v>
      </c>
      <c r="K35" s="317" t="s">
        <v>134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s="7" customFormat="1" ht="14.1">
      <c r="A36" s="7" t="s">
        <v>55</v>
      </c>
      <c r="B36"/>
      <c r="C36" s="317"/>
      <c r="D36" s="317"/>
      <c r="E36" s="317"/>
      <c r="F36" s="317"/>
      <c r="G36" s="317"/>
      <c r="H36" s="329"/>
      <c r="I36" s="329"/>
      <c r="J36" s="134">
        <v>3</v>
      </c>
      <c r="K36" s="317" t="s">
        <v>118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s="5" customFormat="1" ht="14.1">
      <c r="A37" s="6"/>
      <c r="B37"/>
      <c r="C37" s="317"/>
      <c r="D37" s="317"/>
      <c r="E37" s="317"/>
      <c r="F37" s="317"/>
      <c r="G37" s="317"/>
      <c r="H37" s="32"/>
      <c r="I37" s="30"/>
      <c r="J37" s="135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s="5" customFormat="1" ht="14.1">
      <c r="A38" s="7"/>
      <c r="B38"/>
      <c r="C38" s="317"/>
      <c r="D38" s="317"/>
      <c r="E38" s="317"/>
      <c r="F38" s="317"/>
      <c r="G38" s="317"/>
      <c r="H38" s="136" t="s">
        <v>57</v>
      </c>
      <c r="I38" s="301"/>
      <c r="J38" s="43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s="5" customFormat="1" ht="14.1">
      <c r="A39" s="2"/>
      <c r="B39" s="2"/>
      <c r="C39" s="30"/>
      <c r="D39" s="31"/>
      <c r="E39" s="31"/>
      <c r="F39" s="31"/>
      <c r="G39" s="32"/>
      <c r="H39" s="136" t="s">
        <v>58</v>
      </c>
      <c r="I39" s="301"/>
      <c r="J39" s="47"/>
      <c r="K39" s="317" t="s">
        <v>135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s="5" customFormat="1" ht="14.1">
      <c r="A40" s="7" t="s">
        <v>60</v>
      </c>
      <c r="B40"/>
      <c r="C40" s="318" t="s">
        <v>61</v>
      </c>
      <c r="D40" s="318"/>
      <c r="E40" s="318"/>
      <c r="F40" s="318"/>
      <c r="G40" s="318"/>
      <c r="H40" s="136" t="s">
        <v>62</v>
      </c>
      <c r="I40" s="301"/>
      <c r="J40" s="137"/>
      <c r="K40" s="317" t="s">
        <v>63</v>
      </c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s="5" customFormat="1" ht="14.1">
      <c r="A41" s="2"/>
      <c r="B41" s="2"/>
      <c r="C41" s="326" t="s">
        <v>64</v>
      </c>
      <c r="D41" s="326"/>
      <c r="E41" s="326"/>
      <c r="F41" s="326"/>
      <c r="G41" s="326"/>
      <c r="H41" s="136"/>
      <c r="I41" s="311"/>
      <c r="J41" s="138"/>
      <c r="K41" s="2"/>
      <c r="L41" s="2"/>
      <c r="M41" s="2"/>
      <c r="N41" s="2"/>
      <c r="O41" s="2"/>
      <c r="P41" s="2"/>
      <c r="Q41" s="2"/>
      <c r="R41" s="2"/>
      <c r="S41" s="40"/>
      <c r="T41" s="40"/>
      <c r="U41" s="40"/>
      <c r="V41" s="40"/>
    </row>
    <row r="42" spans="1:25" s="5" customFormat="1" ht="14.1">
      <c r="A42" s="311" t="s">
        <v>65</v>
      </c>
      <c r="B42" s="139"/>
      <c r="C42" s="317" t="s">
        <v>63</v>
      </c>
      <c r="D42" s="317"/>
      <c r="E42" s="317"/>
      <c r="F42" s="317"/>
      <c r="G42" s="317"/>
      <c r="H42" s="136" t="s">
        <v>66</v>
      </c>
      <c r="I42" s="301"/>
      <c r="J42" s="43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s="5" customFormat="1" ht="14.1">
      <c r="A43" s="2"/>
      <c r="B43" s="2"/>
      <c r="C43" s="317"/>
      <c r="D43" s="317"/>
      <c r="E43" s="317"/>
      <c r="F43" s="317"/>
      <c r="G43" s="317"/>
      <c r="H43" s="136"/>
      <c r="I43" s="301"/>
      <c r="J43" s="138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s="5" customFormat="1" ht="14.1">
      <c r="A44" s="139" t="s">
        <v>68</v>
      </c>
      <c r="B44" s="139"/>
      <c r="C44" s="33" t="s">
        <v>69</v>
      </c>
      <c r="D44" s="34"/>
      <c r="E44" s="34"/>
      <c r="F44" s="34"/>
      <c r="G44" s="35"/>
      <c r="I44" s="301"/>
      <c r="J44" s="13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</row>
    <row r="45" spans="1:25" s="5" customFormat="1" ht="14.1">
      <c r="A45" s="140"/>
      <c r="B45" s="140"/>
      <c r="C45" s="33"/>
      <c r="D45" s="31"/>
      <c r="E45" s="31"/>
      <c r="F45" s="31"/>
      <c r="G45" s="32"/>
      <c r="I45" s="301"/>
      <c r="J45" s="13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</row>
    <row r="46" spans="1:25" s="5" customFormat="1" ht="14.1">
      <c r="A46" s="2"/>
      <c r="B46" s="2"/>
      <c r="C46" s="3"/>
      <c r="D46" s="4"/>
      <c r="E46" s="4"/>
      <c r="F46" s="4"/>
      <c r="I46" s="301"/>
      <c r="J46" s="13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</row>
    <row r="47" spans="1:25">
      <c r="A47" s="36"/>
      <c r="B47" s="36"/>
      <c r="C47" s="36"/>
      <c r="D47" s="36"/>
      <c r="E47" s="36"/>
      <c r="F47" s="36"/>
      <c r="H47" s="36"/>
      <c r="I47" s="36"/>
      <c r="J47" s="43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</sheetData>
  <mergeCells count="73">
    <mergeCell ref="H32:J32"/>
    <mergeCell ref="K32:M32"/>
    <mergeCell ref="H22:J22"/>
    <mergeCell ref="K22:M22"/>
    <mergeCell ref="H24:J24"/>
    <mergeCell ref="K24:M24"/>
    <mergeCell ref="H26:J26"/>
    <mergeCell ref="K26:M26"/>
    <mergeCell ref="H30:J30"/>
    <mergeCell ref="K30:M30"/>
    <mergeCell ref="H16:J16"/>
    <mergeCell ref="K16:M16"/>
    <mergeCell ref="H18:J18"/>
    <mergeCell ref="K18:M18"/>
    <mergeCell ref="H20:J20"/>
    <mergeCell ref="K20:M20"/>
    <mergeCell ref="H12:J12"/>
    <mergeCell ref="H14:J14"/>
    <mergeCell ref="K14:M14"/>
    <mergeCell ref="K12:M12"/>
    <mergeCell ref="A5:B5"/>
    <mergeCell ref="H5:I5"/>
    <mergeCell ref="K8:M8"/>
    <mergeCell ref="H10:J10"/>
    <mergeCell ref="K10:M10"/>
    <mergeCell ref="C5:G5"/>
    <mergeCell ref="H8:J8"/>
    <mergeCell ref="J5:N5"/>
    <mergeCell ref="G2:Q2"/>
    <mergeCell ref="G3:Q3"/>
    <mergeCell ref="H7:J7"/>
    <mergeCell ref="K7:M7"/>
    <mergeCell ref="N7:Q7"/>
    <mergeCell ref="P5:S5"/>
    <mergeCell ref="H36:I36"/>
    <mergeCell ref="C35:G35"/>
    <mergeCell ref="P16:Q16"/>
    <mergeCell ref="P14:Q14"/>
    <mergeCell ref="P12:Q12"/>
    <mergeCell ref="H34:I34"/>
    <mergeCell ref="H35:I35"/>
    <mergeCell ref="H28:J28"/>
    <mergeCell ref="K28:M28"/>
    <mergeCell ref="P24:Q24"/>
    <mergeCell ref="P22:Q22"/>
    <mergeCell ref="P20:Q20"/>
    <mergeCell ref="P18:Q18"/>
    <mergeCell ref="P32:Q32"/>
    <mergeCell ref="P30:Q30"/>
    <mergeCell ref="P28:Q28"/>
    <mergeCell ref="C42:G42"/>
    <mergeCell ref="C43:G43"/>
    <mergeCell ref="K34:Y34"/>
    <mergeCell ref="K35:Y35"/>
    <mergeCell ref="K36:Y36"/>
    <mergeCell ref="K37:Y37"/>
    <mergeCell ref="K38:Y38"/>
    <mergeCell ref="K39:Y39"/>
    <mergeCell ref="K40:Y40"/>
    <mergeCell ref="K42:Y42"/>
    <mergeCell ref="C34:G34"/>
    <mergeCell ref="C36:G36"/>
    <mergeCell ref="C37:G37"/>
    <mergeCell ref="C38:G38"/>
    <mergeCell ref="C40:G40"/>
    <mergeCell ref="C41:G41"/>
    <mergeCell ref="U5:V5"/>
    <mergeCell ref="K43:Y43"/>
    <mergeCell ref="K44:Y44"/>
    <mergeCell ref="K45:Y45"/>
    <mergeCell ref="K46:Y46"/>
    <mergeCell ref="P10:Q10"/>
    <mergeCell ref="P26:Q26"/>
  </mergeCells>
  <phoneticPr fontId="0" type="noConversion"/>
  <conditionalFormatting sqref="H27:M27 H31:M31 H29:M29">
    <cfRule type="cellIs" dxfId="217" priority="117" stopIfTrue="1" operator="between">
      <formula>1</formula>
      <formula>300</formula>
    </cfRule>
    <cfRule type="cellIs" dxfId="216" priority="118" stopIfTrue="1" operator="lessThanOrEqual">
      <formula>0</formula>
    </cfRule>
  </conditionalFormatting>
  <conditionalFormatting sqref="H25:M25">
    <cfRule type="cellIs" dxfId="215" priority="95" stopIfTrue="1" operator="between">
      <formula>1</formula>
      <formula>300</formula>
    </cfRule>
    <cfRule type="cellIs" dxfId="214" priority="96" stopIfTrue="1" operator="lessThanOrEqual">
      <formula>0</formula>
    </cfRule>
  </conditionalFormatting>
  <conditionalFormatting sqref="H21:M21">
    <cfRule type="cellIs" dxfId="213" priority="75" stopIfTrue="1" operator="between">
      <formula>1</formula>
      <formula>300</formula>
    </cfRule>
    <cfRule type="cellIs" dxfId="212" priority="76" stopIfTrue="1" operator="lessThanOrEqual">
      <formula>0</formula>
    </cfRule>
  </conditionalFormatting>
  <conditionalFormatting sqref="H23:M23">
    <cfRule type="cellIs" dxfId="211" priority="103" stopIfTrue="1" operator="between">
      <formula>1</formula>
      <formula>300</formula>
    </cfRule>
    <cfRule type="cellIs" dxfId="210" priority="104" stopIfTrue="1" operator="lessThanOrEqual">
      <formula>0</formula>
    </cfRule>
  </conditionalFormatting>
  <conditionalFormatting sqref="H9:M9">
    <cfRule type="cellIs" dxfId="209" priority="11" stopIfTrue="1" operator="between">
      <formula>1</formula>
      <formula>300</formula>
    </cfRule>
    <cfRule type="cellIs" dxfId="208" priority="12" stopIfTrue="1" operator="lessThanOrEqual">
      <formula>0</formula>
    </cfRule>
  </conditionalFormatting>
  <conditionalFormatting sqref="H11:M11">
    <cfRule type="cellIs" dxfId="207" priority="9" stopIfTrue="1" operator="between">
      <formula>1</formula>
      <formula>300</formula>
    </cfRule>
    <cfRule type="cellIs" dxfId="206" priority="10" stopIfTrue="1" operator="lessThanOrEqual">
      <formula>0</formula>
    </cfRule>
  </conditionalFormatting>
  <conditionalFormatting sqref="H13:M13">
    <cfRule type="cellIs" dxfId="205" priority="7" stopIfTrue="1" operator="between">
      <formula>1</formula>
      <formula>300</formula>
    </cfRule>
    <cfRule type="cellIs" dxfId="204" priority="8" stopIfTrue="1" operator="lessThanOrEqual">
      <formula>0</formula>
    </cfRule>
  </conditionalFormatting>
  <conditionalFormatting sqref="H17:M17">
    <cfRule type="cellIs" dxfId="203" priority="5" stopIfTrue="1" operator="between">
      <formula>1</formula>
      <formula>300</formula>
    </cfRule>
    <cfRule type="cellIs" dxfId="202" priority="6" stopIfTrue="1" operator="lessThanOrEqual">
      <formula>0</formula>
    </cfRule>
  </conditionalFormatting>
  <conditionalFormatting sqref="H15:M15">
    <cfRule type="cellIs" dxfId="201" priority="3" stopIfTrue="1" operator="between">
      <formula>1</formula>
      <formula>300</formula>
    </cfRule>
    <cfRule type="cellIs" dxfId="200" priority="4" stopIfTrue="1" operator="lessThanOrEqual">
      <formula>0</formula>
    </cfRule>
  </conditionalFormatting>
  <conditionalFormatting sqref="H19:M19">
    <cfRule type="cellIs" dxfId="199" priority="1" stopIfTrue="1" operator="between">
      <formula>1</formula>
      <formula>300</formula>
    </cfRule>
    <cfRule type="cellIs" dxfId="198" priority="2" stopIfTrue="1" operator="lessThanOrEqual">
      <formula>0</formula>
    </cfRule>
  </conditionalFormatting>
  <dataValidations count="3">
    <dataValidation type="list" allowBlank="1" showInputMessage="1" showErrorMessage="1" errorTitle="Feil_i_vektklasse" error="Feil verdi i vektklasse" sqref="B21 B23 B25 B27 B29 B31 B9 B11 B13 B15 B17 B19" xr:uid="{00000000-0002-0000-0200-000000000000}">
      <formula1>"44,48,53,58,63,69,+69,'+69,69+,75,+75,'+75,75,50,56,62,69,77,85,94,+94,'+94,94+,105,+105,'+105,105+"</formula1>
    </dataValidation>
    <dataValidation type="list" allowBlank="1" showInputMessage="1" showErrorMessage="1" errorTitle="Feil_i_kat.v.løft" error="Feil verdi i kategori vektløfting" sqref="C21 C23 C25 C27 C29 C31 C9 C11 C13 C15 C17 C19" xr:uid="{00000000-0002-0000-0200-000001000000}">
      <formula1>"UM,JM,SM,UK,JK,SK,M1,M2,M3,M4,M5,M6,M8,M9,M10,K1,K2,K3,K4,K5,K6,K7,K8,K9,K10"</formula1>
    </dataValidation>
    <dataValidation type="list" allowBlank="1" showInputMessage="1" showErrorMessage="1" errorTitle="Feil_i_kat.5-kamp" error="Feil verdi i kategori 5-kamp" sqref="D21 D23 D25 D27 D29 D31 D9 D11 D13 D15 D17 D19" xr:uid="{00000000-0002-0000-0200-000002000000}">
      <formula1>"11-12,13-14,15-16,17-18,+18,'+18,18+"</formula1>
    </dataValidation>
  </dataValidations>
  <pageMargins left="0.27559055118110237" right="0.27559055118110237" top="0.27559055118110237" bottom="0.27559055118110237" header="0.51181102362204722" footer="0.51181102362204722"/>
  <pageSetup paperSize="9" scale="66" orientation="landscape" horizontalDpi="300" verticalDpi="300" copies="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C55"/>
  <sheetViews>
    <sheetView showGridLines="0" showRowColHeaders="0" showZeros="0" topLeftCell="A12" workbookViewId="0">
      <selection activeCell="A9" sqref="A9"/>
    </sheetView>
  </sheetViews>
  <sheetFormatPr defaultColWidth="8.85546875" defaultRowHeight="12.95"/>
  <cols>
    <col min="1" max="1" width="7.85546875" customWidth="1"/>
    <col min="2" max="2" width="6.85546875" customWidth="1"/>
    <col min="3" max="3" width="5.5703125" customWidth="1"/>
    <col min="4" max="4" width="7.5703125" customWidth="1"/>
    <col min="5" max="5" width="10.42578125" customWidth="1"/>
    <col min="6" max="6" width="3.85546875" customWidth="1"/>
    <col min="7" max="7" width="27.5703125" customWidth="1"/>
    <col min="8" max="16" width="6.5703125" customWidth="1"/>
    <col min="17" max="18" width="8.85546875" customWidth="1"/>
    <col min="19" max="20" width="8.5703125" customWidth="1"/>
    <col min="21" max="21" width="9.85546875" customWidth="1"/>
    <col min="22" max="23" width="8.5703125" customWidth="1"/>
    <col min="24" max="24" width="4.42578125" customWidth="1"/>
    <col min="25" max="25" width="5.5703125" customWidth="1"/>
    <col min="26" max="26" width="0" hidden="1" customWidth="1"/>
  </cols>
  <sheetData>
    <row r="1" spans="1:27">
      <c r="A1" s="36"/>
      <c r="B1" s="36"/>
      <c r="C1" s="36"/>
      <c r="D1" s="36"/>
      <c r="E1" s="36"/>
      <c r="F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7" ht="72.75" customHeight="1">
      <c r="A2" s="36"/>
      <c r="B2" s="36"/>
      <c r="C2" s="36"/>
      <c r="D2" s="36"/>
      <c r="E2" s="36"/>
      <c r="F2" s="36"/>
      <c r="G2" s="346" t="s">
        <v>70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02"/>
      <c r="S2" s="36"/>
      <c r="T2" s="36"/>
      <c r="U2" s="36"/>
      <c r="V2" s="36"/>
      <c r="W2" s="36"/>
      <c r="X2" s="36"/>
      <c r="Y2" s="36"/>
    </row>
    <row r="3" spans="1:27" ht="27.95">
      <c r="A3" s="36"/>
      <c r="B3" s="36"/>
      <c r="C3" s="36"/>
      <c r="D3" s="36"/>
      <c r="E3" s="36"/>
      <c r="F3" s="36"/>
      <c r="G3" s="320" t="s">
        <v>1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00"/>
      <c r="S3" s="36"/>
      <c r="T3" s="36"/>
      <c r="U3" s="36"/>
      <c r="V3" s="36"/>
      <c r="W3" s="36"/>
      <c r="X3" s="36"/>
      <c r="Y3" s="36"/>
    </row>
    <row r="4" spans="1:27">
      <c r="A4" s="36"/>
      <c r="B4" s="36"/>
      <c r="C4" s="36"/>
      <c r="D4" s="36"/>
      <c r="E4" s="36"/>
      <c r="F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7" ht="15" customHeight="1">
      <c r="A5" s="344" t="s">
        <v>2</v>
      </c>
      <c r="B5" s="344"/>
      <c r="C5" s="321" t="s">
        <v>3</v>
      </c>
      <c r="D5" s="321"/>
      <c r="E5" s="321"/>
      <c r="F5" s="321"/>
      <c r="G5" s="321"/>
      <c r="H5" s="344" t="s">
        <v>4</v>
      </c>
      <c r="I5" s="344"/>
      <c r="J5" s="321" t="s">
        <v>5</v>
      </c>
      <c r="K5" s="321"/>
      <c r="L5" s="321"/>
      <c r="M5" s="321"/>
      <c r="N5" s="321"/>
      <c r="O5" s="306" t="s">
        <v>6</v>
      </c>
      <c r="P5" s="345" t="s">
        <v>7</v>
      </c>
      <c r="Q5" s="345"/>
      <c r="R5" s="345"/>
      <c r="S5" s="345"/>
      <c r="T5" s="306" t="s">
        <v>8</v>
      </c>
      <c r="U5" s="325">
        <v>43358</v>
      </c>
      <c r="V5" s="325"/>
      <c r="W5" s="52" t="s">
        <v>9</v>
      </c>
      <c r="X5" s="263" t="s">
        <v>136</v>
      </c>
      <c r="Y5" s="263"/>
    </row>
    <row r="6" spans="1:27" ht="13.5" thickBot="1">
      <c r="A6" s="53"/>
      <c r="B6" s="53"/>
      <c r="C6" s="53"/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5"/>
      <c r="X6" s="53"/>
      <c r="Y6" s="53"/>
    </row>
    <row r="7" spans="1:27">
      <c r="A7" s="56" t="s">
        <v>12</v>
      </c>
      <c r="B7" s="57" t="s">
        <v>11</v>
      </c>
      <c r="C7" s="314" t="s">
        <v>72</v>
      </c>
      <c r="D7" s="58" t="s">
        <v>72</v>
      </c>
      <c r="E7" s="313" t="s">
        <v>14</v>
      </c>
      <c r="F7" s="313" t="s">
        <v>73</v>
      </c>
      <c r="G7" s="313" t="s">
        <v>15</v>
      </c>
      <c r="H7" s="356" t="s">
        <v>17</v>
      </c>
      <c r="I7" s="357"/>
      <c r="J7" s="358"/>
      <c r="K7" s="356" t="s">
        <v>18</v>
      </c>
      <c r="L7" s="357"/>
      <c r="M7" s="358"/>
      <c r="N7" s="359" t="s">
        <v>74</v>
      </c>
      <c r="O7" s="360"/>
      <c r="P7" s="360"/>
      <c r="Q7" s="360"/>
      <c r="R7" s="227" t="s">
        <v>21</v>
      </c>
      <c r="S7" s="57" t="s">
        <v>75</v>
      </c>
      <c r="T7" s="57" t="s">
        <v>76</v>
      </c>
      <c r="U7" s="57" t="s">
        <v>77</v>
      </c>
      <c r="V7" s="313" t="s">
        <v>78</v>
      </c>
      <c r="W7" s="59" t="s">
        <v>79</v>
      </c>
      <c r="X7" s="59" t="s">
        <v>80</v>
      </c>
      <c r="Y7" s="60" t="s">
        <v>81</v>
      </c>
    </row>
    <row r="8" spans="1:27" ht="13.5" thickBot="1">
      <c r="A8" s="61" t="s">
        <v>26</v>
      </c>
      <c r="B8" s="62" t="s">
        <v>25</v>
      </c>
      <c r="C8" s="63" t="s">
        <v>82</v>
      </c>
      <c r="D8" s="64" t="s">
        <v>79</v>
      </c>
      <c r="E8" s="65" t="s">
        <v>83</v>
      </c>
      <c r="F8" s="65" t="s">
        <v>84</v>
      </c>
      <c r="G8" s="312" t="s">
        <v>85</v>
      </c>
      <c r="H8" s="361" t="s">
        <v>86</v>
      </c>
      <c r="I8" s="362"/>
      <c r="J8" s="363"/>
      <c r="K8" s="361" t="s">
        <v>86</v>
      </c>
      <c r="L8" s="362"/>
      <c r="M8" s="363"/>
      <c r="N8" s="66" t="s">
        <v>17</v>
      </c>
      <c r="O8" s="67" t="s">
        <v>18</v>
      </c>
      <c r="P8" s="62" t="s">
        <v>87</v>
      </c>
      <c r="Q8" s="63" t="s">
        <v>21</v>
      </c>
      <c r="R8" s="62" t="s">
        <v>31</v>
      </c>
      <c r="S8" s="68" t="s">
        <v>21</v>
      </c>
      <c r="T8" s="68" t="s">
        <v>21</v>
      </c>
      <c r="U8" s="68" t="s">
        <v>21</v>
      </c>
      <c r="V8" s="65" t="s">
        <v>88</v>
      </c>
      <c r="W8" s="69" t="s">
        <v>89</v>
      </c>
      <c r="X8" s="69"/>
      <c r="Y8" s="70"/>
    </row>
    <row r="9" spans="1:27" ht="18" customHeight="1">
      <c r="A9" s="185">
        <v>52.74</v>
      </c>
      <c r="B9" s="186" t="s">
        <v>95</v>
      </c>
      <c r="C9" s="187" t="s">
        <v>32</v>
      </c>
      <c r="D9" s="206" t="s">
        <v>137</v>
      </c>
      <c r="E9" s="188">
        <v>31750</v>
      </c>
      <c r="F9" s="189"/>
      <c r="G9" s="190" t="s">
        <v>138</v>
      </c>
      <c r="H9" s="191">
        <v>55</v>
      </c>
      <c r="I9" s="192">
        <v>58</v>
      </c>
      <c r="J9" s="192">
        <v>60</v>
      </c>
      <c r="K9" s="191">
        <v>73</v>
      </c>
      <c r="L9" s="192">
        <v>-76</v>
      </c>
      <c r="M9" s="192">
        <v>-76</v>
      </c>
      <c r="N9" s="209">
        <f>IF(MAX(H9:J9)&gt;0,IF(MAX(H9:J9)&lt;0,0,TRUNC(MAX(H9:J9)/1)*1),"")</f>
        <v>60</v>
      </c>
      <c r="O9" s="210">
        <f>IF(MAX(K9:M9)&gt;0,IF(MAX(K9:M9)&lt;0,0,TRUNC(MAX(K9:M9)/1)*1),"")</f>
        <v>73</v>
      </c>
      <c r="P9" s="211">
        <f>IF(N9="","",IF(O9="","",IF(SUM(N9:O9)=0,"",SUM(N9:O9))))</f>
        <v>133</v>
      </c>
      <c r="Q9" s="223">
        <f>IF(P9="","",IF(A9="","",IF(OR(C9="UK",C9="JK",C9="SK",C9="K1",C9="K2",C9="K3",C9="K4",C9="K5",C9="K6",C9="K7",C9="K8",C9="K9",C9="K10"),IF(A9&gt;153.655,P9,IF(A9&lt;28,10^(0.783497476*LOG10(28/153.655)^2)*P9,10^(0.783497476*LOG10(A9/153.655)^2)*P9)),IF(A9&gt;175.508,P9,IF(A9&lt;32,10^(0.75194503*LOG10(32/175.508)^2)*P9,10^(0.75194503*LOG10(A9/175.508)^2)*P9)))))</f>
        <v>196.25975636282124</v>
      </c>
      <c r="R9" s="162" t="str">
        <f>IF(OR(E9="",A9="",Z9="",Q9=""),"",IF(OR(C9="UM",C9="JM",C9="SM",C9="UK",C9="JK",C9="SK"),"",Q9*(IF(ABS(1900-YEAR((Z9+1)-E9))&lt;29,0,(VLOOKUP((YEAR(Z9)-YEAR(E9)),'Meltzer-Malone'!$A$3:$B$63,2))))))</f>
        <v/>
      </c>
      <c r="S9" s="163">
        <f>IF('K4'!G7="","",'K4'!G7)</f>
        <v>7.53</v>
      </c>
      <c r="T9" s="163">
        <f>IF('K4'!K7="","",'K4'!K7)</f>
        <v>13.5</v>
      </c>
      <c r="U9" s="163">
        <f>IF('K4'!N7="","",'K4'!N7)</f>
        <v>6.79</v>
      </c>
      <c r="V9" s="163"/>
      <c r="W9" s="164"/>
      <c r="X9" s="195"/>
      <c r="Y9" s="196" t="s">
        <v>42</v>
      </c>
      <c r="Z9" s="225">
        <f>U5</f>
        <v>43358</v>
      </c>
    </row>
    <row r="10" spans="1:27" ht="18" customHeight="1">
      <c r="A10" s="165"/>
      <c r="B10" s="166"/>
      <c r="C10" s="167"/>
      <c r="D10" s="168"/>
      <c r="E10" s="169"/>
      <c r="F10" s="193"/>
      <c r="G10" s="170" t="s">
        <v>139</v>
      </c>
      <c r="H10" s="338"/>
      <c r="I10" s="339"/>
      <c r="J10" s="340"/>
      <c r="K10" s="341"/>
      <c r="L10" s="342"/>
      <c r="M10" s="343"/>
      <c r="N10" s="167"/>
      <c r="O10" s="171"/>
      <c r="P10" s="334">
        <f>IF(Q9="","",Q9*1.2)</f>
        <v>235.51170763538548</v>
      </c>
      <c r="Q10" s="334"/>
      <c r="R10" s="222"/>
      <c r="S10" s="172">
        <f>IF(S9="","",S9*20)</f>
        <v>150.6</v>
      </c>
      <c r="T10" s="172">
        <f>IF(T9="","",T9*11)</f>
        <v>148.5</v>
      </c>
      <c r="U10" s="173">
        <f>IF(U9="","",IF((80+(8-ROUNDUP(U9,1))*40)&lt;0,0,80+(8-ROUNDUP(U9,1))*40))</f>
        <v>128</v>
      </c>
      <c r="V10" s="237">
        <f>IF(SUM(S10,T10,U10)&gt;0,SUM(S10,T10,U10),"")</f>
        <v>427.1</v>
      </c>
      <c r="W10" s="238">
        <f>IF(OR(P10="",S10="",T10="",U10=""),"",SUM(P10,S10,T10,U10))</f>
        <v>662.61170763538553</v>
      </c>
      <c r="X10" s="239">
        <v>5</v>
      </c>
      <c r="Y10" s="240"/>
      <c r="Z10" s="225"/>
    </row>
    <row r="11" spans="1:27" ht="18" customHeight="1">
      <c r="A11" s="185">
        <v>56.15</v>
      </c>
      <c r="B11" s="186" t="s">
        <v>99</v>
      </c>
      <c r="C11" s="187" t="s">
        <v>32</v>
      </c>
      <c r="D11" s="206" t="s">
        <v>137</v>
      </c>
      <c r="E11" s="188">
        <v>32644</v>
      </c>
      <c r="F11" s="189"/>
      <c r="G11" s="190" t="s">
        <v>140</v>
      </c>
      <c r="H11" s="191">
        <v>45</v>
      </c>
      <c r="I11" s="192">
        <v>-48</v>
      </c>
      <c r="J11" s="192">
        <v>-48</v>
      </c>
      <c r="K11" s="191">
        <v>56</v>
      </c>
      <c r="L11" s="192">
        <v>59</v>
      </c>
      <c r="M11" s="192">
        <v>-62</v>
      </c>
      <c r="N11" s="209">
        <f>IF(MAX(H11:J11)&gt;0,IF(MAX(H11:J11)&lt;0,0,TRUNC(MAX(H11:J11)/1)*1),"")</f>
        <v>45</v>
      </c>
      <c r="O11" s="210">
        <f>IF(MAX(K11:M11)&gt;0,IF(MAX(K11:M11)&lt;0,0,TRUNC(MAX(K11:M11)/1)*1),"")</f>
        <v>59</v>
      </c>
      <c r="P11" s="211">
        <f>IF(N11="","",IF(O11="","",IF(SUM(N11:O11)=0,"",SUM(N11:O11))))</f>
        <v>104</v>
      </c>
      <c r="Q11" s="223">
        <f>IF(P11="","",IF(A11="","",IF(OR(C11="UK",C11="JK",C11="SK",C11="K1",C11="K2",C11="K3",C11="K4",C11="K5",C11="K6",C11="K7",C11="K8",C11="K9",C11="K10"),IF(A11&gt;153.655,P11,IF(A11&lt;28,10^(0.783497476*LOG10(28/153.655)^2)*P11,10^(0.783497476*LOG10(A11/153.655)^2)*P11)),IF(A11&gt;175.508,P11,IF(A11&lt;32,10^(0.75194503*LOG10(32/175.508)^2)*P11,10^(0.75194503*LOG10(A11/175.508)^2)*P11)))))</f>
        <v>146.82227752814234</v>
      </c>
      <c r="R11" s="224" t="str">
        <f>IF(OR(E11="",A11="",Z11="",Q11=""),"",IF(OR(C11="UM",C11="JM",C11="SM",C11="UK",C11="JK",C11="SK"),"",Q11*(IF(ABS(1900-YEAR((Z11+1)-E11))&lt;29,0,(VLOOKUP((YEAR(Z11)-YEAR(E11)),'Meltzer-Malone'!$A$3:$B$63,2))))))</f>
        <v/>
      </c>
      <c r="S11" s="174">
        <f>IF('K4'!G9="","",'K4'!G9)</f>
        <v>7.03</v>
      </c>
      <c r="T11" s="174">
        <f>IF('K4'!K9="","",'K4'!K9)</f>
        <v>8.08</v>
      </c>
      <c r="U11" s="174">
        <f>IF('K4'!N9="","",'K4'!N9)</f>
        <v>6.74</v>
      </c>
      <c r="V11" s="163"/>
      <c r="W11" s="164"/>
      <c r="X11" s="175"/>
      <c r="Y11" s="176"/>
      <c r="Z11" s="225">
        <f>U5</f>
        <v>43358</v>
      </c>
      <c r="AA11" t="s">
        <v>42</v>
      </c>
    </row>
    <row r="12" spans="1:27" ht="18" customHeight="1">
      <c r="A12" s="165"/>
      <c r="B12" s="166"/>
      <c r="C12" s="167"/>
      <c r="D12" s="168"/>
      <c r="E12" s="169"/>
      <c r="F12" s="193"/>
      <c r="G12" s="170" t="s">
        <v>94</v>
      </c>
      <c r="H12" s="338"/>
      <c r="I12" s="339"/>
      <c r="J12" s="340"/>
      <c r="K12" s="341"/>
      <c r="L12" s="342"/>
      <c r="M12" s="343"/>
      <c r="N12" s="167"/>
      <c r="O12" s="171"/>
      <c r="P12" s="334">
        <f>IF(Q11="","",Q11*1.2)</f>
        <v>176.18673303377079</v>
      </c>
      <c r="Q12" s="334"/>
      <c r="R12" s="222"/>
      <c r="S12" s="197">
        <f>IF(S11="","",S11*20)</f>
        <v>140.6</v>
      </c>
      <c r="T12" s="172">
        <f>IF(T11="","",T11*11)</f>
        <v>88.88</v>
      </c>
      <c r="U12" s="173">
        <f>IF(U11="","",IF((80+(8-ROUNDUP(U11,1))*40)&lt;0,0,80+(8-ROUNDUP(U11,1))*40))</f>
        <v>128</v>
      </c>
      <c r="V12" s="237">
        <f>IF(SUM(S12,T12,U12)&gt;0,SUM(S12,T12,U12),"")</f>
        <v>357.48</v>
      </c>
      <c r="W12" s="238">
        <f>IF(OR(P12="",S12="",T12="",U12=""),"",SUM(P12,S12,T12,U12))</f>
        <v>533.66673303377081</v>
      </c>
      <c r="X12" s="239">
        <v>15</v>
      </c>
      <c r="Y12" s="240"/>
      <c r="Z12" s="225"/>
    </row>
    <row r="13" spans="1:27" ht="18" customHeight="1">
      <c r="A13" s="185">
        <v>55.8</v>
      </c>
      <c r="B13" s="186" t="s">
        <v>99</v>
      </c>
      <c r="C13" s="187" t="s">
        <v>32</v>
      </c>
      <c r="D13" s="206" t="s">
        <v>137</v>
      </c>
      <c r="E13" s="188">
        <v>34000</v>
      </c>
      <c r="F13" s="189"/>
      <c r="G13" s="190" t="s">
        <v>141</v>
      </c>
      <c r="H13" s="191">
        <v>-45</v>
      </c>
      <c r="I13" s="191">
        <v>-45</v>
      </c>
      <c r="J13" s="192">
        <v>45</v>
      </c>
      <c r="K13" s="191">
        <v>53</v>
      </c>
      <c r="L13" s="192">
        <v>56</v>
      </c>
      <c r="M13" s="192">
        <v>-60</v>
      </c>
      <c r="N13" s="209">
        <f>IF(MAX(H13:J13)&gt;0,IF(MAX(H13:J13)&lt;0,0,TRUNC(MAX(H13:J13)/1)*1),"")</f>
        <v>45</v>
      </c>
      <c r="O13" s="210">
        <f>IF(MAX(K13:M13)&gt;0,IF(MAX(K13:M13)&lt;0,0,TRUNC(MAX(K13:M13)/1)*1),"")</f>
        <v>56</v>
      </c>
      <c r="P13" s="211">
        <f>IF(N13="","",IF(O13="","",IF(SUM(N13:O13)=0,"",SUM(N13:O13))))</f>
        <v>101</v>
      </c>
      <c r="Q13" s="223">
        <f>IF(P13="","",IF(A13="","",IF(OR(C13="UK",C13="JK",C13="SK",C13="K1",C13="K2",C13="K3",C13="K4",C13="K5",C13="K6",C13="K7",C13="K8",C13="K9",C13="K10"),IF(A13&gt;153.655,P13,IF(A13&lt;28,10^(0.783497476*LOG10(28/153.655)^2)*P13,10^(0.783497476*LOG10(A13/153.655)^2)*P13)),IF(A13&gt;175.508,P13,IF(A13&lt;32,10^(0.75194503*LOG10(32/175.508)^2)*P13,10^(0.75194503*LOG10(A13/175.508)^2)*P13)))))</f>
        <v>143.20103617715725</v>
      </c>
      <c r="R13" s="224" t="str">
        <f>IF(OR(E13="",A13="",Z13="",Q13=""),"",IF(OR(C13="UM",C13="JM",C13="SM",C13="UK",C13="JK",C13="SK"),"",Q13*(IF(ABS(1900-YEAR((Z13+1)-E13))&lt;29,0,(VLOOKUP((YEAR(Z13)-YEAR(E13)),'Meltzer-Malone'!$A$3:$B$63,2))))))</f>
        <v/>
      </c>
      <c r="S13" s="174">
        <f>IF('K4'!G11="","",'K4'!G11)</f>
        <v>6.55</v>
      </c>
      <c r="T13" s="174">
        <f>IF('K4'!K11="","",'K4'!K11)</f>
        <v>10.050000000000001</v>
      </c>
      <c r="U13" s="174">
        <f>IF('K4'!N11="","",'K4'!N11)</f>
        <v>7.71</v>
      </c>
      <c r="V13" s="163"/>
      <c r="W13" s="164"/>
      <c r="X13" s="175"/>
      <c r="Y13" s="176"/>
      <c r="Z13" s="225">
        <f>U5</f>
        <v>43358</v>
      </c>
    </row>
    <row r="14" spans="1:27" ht="18" customHeight="1">
      <c r="A14" s="165"/>
      <c r="B14" s="166"/>
      <c r="C14" s="167"/>
      <c r="D14" s="168"/>
      <c r="E14" s="169"/>
      <c r="F14" s="193"/>
      <c r="G14" s="170" t="s">
        <v>139</v>
      </c>
      <c r="H14" s="338"/>
      <c r="I14" s="339"/>
      <c r="J14" s="340"/>
      <c r="K14" s="341"/>
      <c r="L14" s="342"/>
      <c r="M14" s="343"/>
      <c r="N14" s="167"/>
      <c r="O14" s="171"/>
      <c r="P14" s="334">
        <f>IF(Q13="","",Q13*1.2)</f>
        <v>171.84124341258868</v>
      </c>
      <c r="Q14" s="334"/>
      <c r="R14" s="222"/>
      <c r="S14" s="197">
        <f>IF(S13="","",S13*20)</f>
        <v>131</v>
      </c>
      <c r="T14" s="172">
        <f>IF(T13="","",T13*11)</f>
        <v>110.55000000000001</v>
      </c>
      <c r="U14" s="173">
        <f>IF(U13="","",IF((80+(8-ROUNDUP(U13,1))*40)&lt;0,0,80+(8-ROUNDUP(U13,1))*40))</f>
        <v>88</v>
      </c>
      <c r="V14" s="237">
        <f>IF(SUM(S14,T14,U14)&gt;0,SUM(S14,T14,U14),"")</f>
        <v>329.55</v>
      </c>
      <c r="W14" s="238">
        <f>IF(OR(P14="",S14="",T14="",U14=""),"",SUM(P14,S14,T14,U14))</f>
        <v>501.39124341258872</v>
      </c>
      <c r="X14" s="239">
        <v>17</v>
      </c>
      <c r="Y14" s="240"/>
      <c r="Z14" s="225"/>
    </row>
    <row r="15" spans="1:27" ht="18" customHeight="1">
      <c r="A15" s="185">
        <v>61.4</v>
      </c>
      <c r="B15" s="186" t="s">
        <v>109</v>
      </c>
      <c r="C15" s="187" t="s">
        <v>32</v>
      </c>
      <c r="D15" s="262" t="s">
        <v>137</v>
      </c>
      <c r="E15" s="187" t="s">
        <v>142</v>
      </c>
      <c r="F15" s="189"/>
      <c r="G15" s="212" t="s">
        <v>143</v>
      </c>
      <c r="H15" s="214">
        <v>43</v>
      </c>
      <c r="I15" s="214">
        <v>-45</v>
      </c>
      <c r="J15" s="214">
        <v>45</v>
      </c>
      <c r="K15" s="213">
        <v>53</v>
      </c>
      <c r="L15" s="192">
        <v>-57</v>
      </c>
      <c r="M15" s="214">
        <v>-57</v>
      </c>
      <c r="N15" s="209">
        <f>IF(MAX(H15:J15)&gt;0,IF(MAX(H15:J15)&lt;0,0,TRUNC(MAX(H15:J15)/1)*1),"")</f>
        <v>45</v>
      </c>
      <c r="O15" s="210">
        <f>IF(MAX(K15:M15)&gt;0,IF(MAX(K15:M15)&lt;0,0,TRUNC(MAX(K15:M15)/1)*1),"")</f>
        <v>53</v>
      </c>
      <c r="P15" s="211">
        <f>IF(N15="","",IF(O15="","",IF(SUM(N15:O15)=0,"",SUM(N15:O15))))</f>
        <v>98</v>
      </c>
      <c r="Q15" s="223">
        <f>IF(P15="","",IF(A15="","",IF(OR(C15="UK",C15="JK",C15="SK",C15="K1",C15="K2",C15="K3",C15="K4",C15="K5",C15="K6",C15="K7",C15="K8",C15="K9",C15="K10"),IF(A15&gt;153.655,P15,IF(A15&lt;28,10^(0.783497476*LOG10(28/153.655)^2)*P15,10^(0.783497476*LOG10(A15/153.655)^2)*P15)),IF(A15&gt;175.508,P15,IF(A15&lt;32,10^(0.75194503*LOG10(32/175.508)^2)*P15,10^(0.75194503*LOG10(A15/175.508)^2)*P15)))))</f>
        <v>130.48820896838828</v>
      </c>
      <c r="R15" s="224" t="str">
        <f>IF(OR(E15="",A15="",Z15="",Q15=""),"",IF(OR(C15="UM",C15="JM",C15="SM",C15="UK",C15="JK",C15="SK"),"",Q15*(IF(ABS(1900-YEAR((Z15+1)-E15))&lt;29,0,(VLOOKUP((YEAR(Z15)-YEAR(E15)),'Meltzer-Malone'!$A$3:$B$63,2))))))</f>
        <v/>
      </c>
      <c r="S15" s="174">
        <f>IF('K4'!G13="","",'K4'!G13)</f>
        <v>6.6</v>
      </c>
      <c r="T15" s="174">
        <f>IF('K4'!K13="","",'K4'!K13)</f>
        <v>7</v>
      </c>
      <c r="U15" s="174">
        <f>IF('K4'!N13="","",'K4'!N13)</f>
        <v>7.25</v>
      </c>
      <c r="V15" s="163"/>
      <c r="W15" s="164"/>
      <c r="X15" s="175"/>
      <c r="Y15" s="176"/>
      <c r="Z15" s="225">
        <f>U5</f>
        <v>43358</v>
      </c>
    </row>
    <row r="16" spans="1:27" ht="18" customHeight="1">
      <c r="A16" s="276"/>
      <c r="B16" s="166"/>
      <c r="C16" s="167"/>
      <c r="D16" s="168"/>
      <c r="E16" s="215"/>
      <c r="F16" s="193"/>
      <c r="G16" s="216" t="s">
        <v>144</v>
      </c>
      <c r="H16" s="338"/>
      <c r="I16" s="339"/>
      <c r="J16" s="340"/>
      <c r="K16" s="341"/>
      <c r="L16" s="342"/>
      <c r="M16" s="343"/>
      <c r="N16" s="167"/>
      <c r="O16" s="171"/>
      <c r="P16" s="334">
        <f>IF(Q15="","",Q15*1.2)</f>
        <v>156.58585076206592</v>
      </c>
      <c r="Q16" s="334"/>
      <c r="R16" s="222"/>
      <c r="S16" s="197">
        <f>IF(S15="","",S15*20)</f>
        <v>132</v>
      </c>
      <c r="T16" s="172">
        <f>IF(T15="","",T15*11)</f>
        <v>77</v>
      </c>
      <c r="U16" s="173">
        <f>IF(U15="","",IF((80+(8-ROUNDUP(U15,1))*40)&lt;0,0,80+(8-ROUNDUP(U15,1))*40))</f>
        <v>108</v>
      </c>
      <c r="V16" s="237">
        <f>IF(SUM(S16,T16,U16)&gt;0,SUM(S16,T16,U16),"")</f>
        <v>317</v>
      </c>
      <c r="W16" s="238">
        <f>IF(OR(P16="",S16="",T16="",U16=""),"",SUM(P16,S16,T16,U16))</f>
        <v>473.58585076206589</v>
      </c>
      <c r="X16" s="239">
        <v>18</v>
      </c>
      <c r="Y16" s="240"/>
      <c r="Z16" s="225"/>
    </row>
    <row r="17" spans="1:29" ht="18" customHeight="1">
      <c r="A17" s="185">
        <v>64.040000000000006</v>
      </c>
      <c r="B17" s="186" t="s">
        <v>128</v>
      </c>
      <c r="C17" s="187" t="s">
        <v>32</v>
      </c>
      <c r="D17" s="206" t="s">
        <v>137</v>
      </c>
      <c r="E17" s="188">
        <v>33356</v>
      </c>
      <c r="F17" s="189"/>
      <c r="G17" s="190" t="s">
        <v>145</v>
      </c>
      <c r="H17" s="191">
        <v>60</v>
      </c>
      <c r="I17" s="192">
        <v>-63</v>
      </c>
      <c r="J17" s="192">
        <v>63</v>
      </c>
      <c r="K17" s="191">
        <v>72</v>
      </c>
      <c r="L17" s="192">
        <v>76</v>
      </c>
      <c r="M17" s="192">
        <v>-80</v>
      </c>
      <c r="N17" s="209">
        <f>IF(MAX(H17:J17)&gt;0,IF(MAX(H17:J17)&lt;0,0,TRUNC(MAX(H17:J17)/1)*1),"")</f>
        <v>63</v>
      </c>
      <c r="O17" s="210">
        <f>IF(MAX(K17:M17)&gt;0,IF(MAX(K17:M17)&lt;0,0,TRUNC(MAX(K17:M17)/1)*1),"")</f>
        <v>76</v>
      </c>
      <c r="P17" s="211">
        <f>IF(N17="","",IF(O17="","",IF(SUM(N17:O17)=0,"",SUM(N17:O17))))</f>
        <v>139</v>
      </c>
      <c r="Q17" s="223">
        <f>IF(P17="","",IF(A17="","",IF(OR(C17="UK",C17="JK",C17="SK",C17="K1",C17="K2",C17="K3",C17="K4",C17="K5",C17="K6",C17="K7",C17="K8",C17="K9",C17="K10"),IF(A17&gt;153.655,P17,IF(A17&lt;28,10^(0.783497476*LOG10(28/153.655)^2)*P17,10^(0.783497476*LOG10(A17/153.655)^2)*P17)),IF(A17&gt;175.508,P17,IF(A17&lt;32,10^(0.75194503*LOG10(32/175.508)^2)*P17,10^(0.75194503*LOG10(A17/175.508)^2)*P17)))))</f>
        <v>180.38841140572785</v>
      </c>
      <c r="R17" s="224" t="str">
        <f>IF(OR(E17="",A17="",Z17="",Q17=""),"",IF(OR(C17="UM",C17="JM",C17="SM",C17="UK",C17="JK",C17="SK"),"",Q17*(IF(ABS(1900-YEAR((Z17+1)-E17))&lt;29,0,(VLOOKUP((YEAR(Z17)-YEAR(E17)),'Meltzer-Malone'!$A$3:$B$63,2))))))</f>
        <v/>
      </c>
      <c r="S17" s="174">
        <f>IF('K4'!G15="","",'K4'!G15)</f>
        <v>6.83</v>
      </c>
      <c r="T17" s="174">
        <f>IF('K4'!K15="","",'K4'!K15)</f>
        <v>11.21</v>
      </c>
      <c r="U17" s="174">
        <f>IF('K4'!N15="","",'K4'!N15)</f>
        <v>7.44</v>
      </c>
      <c r="V17" s="163"/>
      <c r="W17" s="164"/>
      <c r="X17" s="175"/>
      <c r="Y17" s="176"/>
      <c r="Z17" s="225">
        <f>U5</f>
        <v>43358</v>
      </c>
    </row>
    <row r="18" spans="1:29" ht="18" customHeight="1">
      <c r="A18" s="165"/>
      <c r="B18" s="166"/>
      <c r="C18" s="167"/>
      <c r="D18" s="168"/>
      <c r="E18" s="169"/>
      <c r="F18" s="193"/>
      <c r="G18" s="170" t="s">
        <v>45</v>
      </c>
      <c r="H18" s="338"/>
      <c r="I18" s="339"/>
      <c r="J18" s="340"/>
      <c r="K18" s="341"/>
      <c r="L18" s="342"/>
      <c r="M18" s="343"/>
      <c r="N18" s="167"/>
      <c r="O18" s="171"/>
      <c r="P18" s="334">
        <f>IF(Q17="","",Q17*1.2)</f>
        <v>216.46609368687342</v>
      </c>
      <c r="Q18" s="334"/>
      <c r="R18" s="222"/>
      <c r="S18" s="197">
        <f>IF(S17="","",S17*20)</f>
        <v>136.6</v>
      </c>
      <c r="T18" s="172">
        <f>IF(T17="","",T17*11)</f>
        <v>123.31</v>
      </c>
      <c r="U18" s="173">
        <f>IF(U17="","",IF((80+(8-ROUNDUP(U17,1))*40)&lt;0,0,80+(8-ROUNDUP(U17,1))*40))</f>
        <v>100</v>
      </c>
      <c r="V18" s="237">
        <f>IF(SUM(S18,T18,U18)&gt;0,SUM(S18,T18,U18),"")</f>
        <v>359.90999999999997</v>
      </c>
      <c r="W18" s="238">
        <f>IF(OR(P18="",S18="",T18="",U18=""),"",SUM(P18,S18,T18,U18))</f>
        <v>576.37609368687345</v>
      </c>
      <c r="X18" s="239">
        <v>13</v>
      </c>
      <c r="Y18" s="240"/>
      <c r="Z18" s="225"/>
      <c r="AC18" t="s">
        <v>42</v>
      </c>
    </row>
    <row r="19" spans="1:29" ht="18" customHeight="1">
      <c r="A19" s="185">
        <v>66.78</v>
      </c>
      <c r="B19" s="186" t="s">
        <v>128</v>
      </c>
      <c r="C19" s="187" t="s">
        <v>32</v>
      </c>
      <c r="D19" s="206" t="s">
        <v>137</v>
      </c>
      <c r="E19" s="188">
        <v>33506</v>
      </c>
      <c r="F19" s="189"/>
      <c r="G19" s="190" t="s">
        <v>146</v>
      </c>
      <c r="H19" s="191">
        <v>50</v>
      </c>
      <c r="I19" s="192">
        <v>53</v>
      </c>
      <c r="J19" s="192">
        <v>56</v>
      </c>
      <c r="K19" s="191">
        <v>72</v>
      </c>
      <c r="L19" s="192">
        <v>79</v>
      </c>
      <c r="M19" s="192">
        <v>81</v>
      </c>
      <c r="N19" s="209">
        <f>IF(MAX(H19:J19)&gt;0,IF(MAX(H19:J19)&lt;0,0,TRUNC(MAX(H19:J19)/1)*1),"")</f>
        <v>56</v>
      </c>
      <c r="O19" s="210">
        <f>IF(MAX(K19:M19)&gt;0,IF(MAX(K19:M19)&lt;0,0,TRUNC(MAX(K19:M19)/1)*1),"")</f>
        <v>81</v>
      </c>
      <c r="P19" s="211">
        <f>IF(N19="","",IF(O19="","",IF(SUM(N19:O19)=0,"",SUM(N19:O19))))</f>
        <v>137</v>
      </c>
      <c r="Q19" s="223">
        <f>IF(P19="","",IF(A19="","",IF(OR(C19="UK",C19="JK",C19="SK",C19="K1",C19="K2",C19="K3",C19="K4",C19="K5",C19="K6",C19="K7",C19="K8",C19="K9",C19="K10"),IF(A19&gt;153.655,P19,IF(A19&lt;28,10^(0.783497476*LOG10(28/153.655)^2)*P19,10^(0.783497476*LOG10(A19/153.655)^2)*P19)),IF(A19&gt;175.508,P19,IF(A19&lt;32,10^(0.75194503*LOG10(32/175.508)^2)*P19,10^(0.75194503*LOG10(A19/175.508)^2)*P19)))))</f>
        <v>173.51485157168381</v>
      </c>
      <c r="R19" s="224" t="str">
        <f>IF(OR(E19="",A19="",Z19="",Q19=""),"",IF(OR(C19="UM",C19="JM",C19="SM",C19="UK",C19="JK",C19="SK"),"",Q19*(IF(ABS(1900-YEAR((Z19+1)-E19))&lt;29,0,(VLOOKUP((YEAR(Z19)-YEAR(E19)),'Meltzer-Malone'!$A$3:$B$63,2))))))</f>
        <v/>
      </c>
      <c r="S19" s="174">
        <f>IF('K4'!G17="","",'K4'!G17)</f>
        <v>6.22</v>
      </c>
      <c r="T19" s="174">
        <f>IF('K4'!K17="","",'K4'!K17)</f>
        <v>11.35</v>
      </c>
      <c r="U19" s="174">
        <f>IF('K4'!N17="","",'K4'!N17)</f>
        <v>6.97</v>
      </c>
      <c r="V19" s="163"/>
      <c r="W19" s="164"/>
      <c r="X19" s="175"/>
      <c r="Y19" s="176"/>
      <c r="Z19" s="225">
        <f>U5</f>
        <v>43358</v>
      </c>
    </row>
    <row r="20" spans="1:29" ht="18" customHeight="1">
      <c r="A20" s="165"/>
      <c r="B20" s="166"/>
      <c r="C20" s="167"/>
      <c r="D20" s="168"/>
      <c r="E20" s="169"/>
      <c r="F20" s="193"/>
      <c r="G20" s="170" t="s">
        <v>94</v>
      </c>
      <c r="H20" s="338"/>
      <c r="I20" s="339"/>
      <c r="J20" s="340"/>
      <c r="K20" s="341"/>
      <c r="L20" s="342"/>
      <c r="M20" s="343"/>
      <c r="N20" s="167"/>
      <c r="O20" s="171"/>
      <c r="P20" s="334">
        <f>IF(Q19="","",Q19*1.2)</f>
        <v>208.21782188602057</v>
      </c>
      <c r="Q20" s="334"/>
      <c r="R20" s="222"/>
      <c r="S20" s="197">
        <f>IF(S19="","",S19*20)</f>
        <v>124.39999999999999</v>
      </c>
      <c r="T20" s="172">
        <f>IF(T19="","",T19*11)</f>
        <v>124.85</v>
      </c>
      <c r="U20" s="173">
        <f>IF(U19="","",IF((80+(8-ROUNDUP(U19,1))*40)&lt;0,0,80+(8-ROUNDUP(U19,1))*40))</f>
        <v>120</v>
      </c>
      <c r="V20" s="237">
        <f>IF(SUM(S20,T20,U20)&gt;0,SUM(S20,T20,U20),"")</f>
        <v>369.25</v>
      </c>
      <c r="W20" s="238">
        <f>IF(OR(P20="",S20="",T20="",U20=""),"",SUM(P20,S20,T20,U20))</f>
        <v>577.4678218860206</v>
      </c>
      <c r="X20" s="239">
        <v>12</v>
      </c>
      <c r="Y20" s="240"/>
      <c r="Z20" s="225"/>
    </row>
    <row r="21" spans="1:29" ht="18" customHeight="1">
      <c r="A21" s="185">
        <v>84.71</v>
      </c>
      <c r="B21" s="186" t="s">
        <v>147</v>
      </c>
      <c r="C21" s="187" t="s">
        <v>32</v>
      </c>
      <c r="D21" s="262" t="s">
        <v>137</v>
      </c>
      <c r="E21" s="187" t="s">
        <v>148</v>
      </c>
      <c r="F21" s="189"/>
      <c r="G21" s="212" t="s">
        <v>149</v>
      </c>
      <c r="H21" s="213">
        <v>53</v>
      </c>
      <c r="I21" s="214">
        <v>56</v>
      </c>
      <c r="J21" s="214">
        <v>58</v>
      </c>
      <c r="K21" s="213">
        <v>72</v>
      </c>
      <c r="L21" s="214">
        <v>-76</v>
      </c>
      <c r="M21" s="214">
        <v>-78</v>
      </c>
      <c r="N21" s="209">
        <f>IF(MAX(H21:J21)&gt;0,IF(MAX(H21:J21)&lt;0,0,TRUNC(MAX(H21:J21)/1)*1),"")</f>
        <v>58</v>
      </c>
      <c r="O21" s="210">
        <f>IF(MAX(K21:M21)&gt;0,IF(MAX(K21:M21)&lt;0,0,TRUNC(MAX(K21:M21)/1)*1),"")</f>
        <v>72</v>
      </c>
      <c r="P21" s="211">
        <f>IF(N21="","",IF(O21="","",IF(SUM(N21:O21)=0,"",SUM(N21:O21))))</f>
        <v>130</v>
      </c>
      <c r="Q21" s="223">
        <f>IF(P21="","",IF(A21="","",IF(OR(C21="UK",C21="JK",C21="SK",C21="K1",C21="K2",C21="K3",C21="K4",C21="K5",C21="K6",C21="K7",C21="K8",C21="K9",C21="K10"),IF(A21&gt;153.655,P21,IF(A21&lt;28,10^(0.783497476*LOG10(28/153.655)^2)*P21,10^(0.783497476*LOG10(A21/153.655)^2)*P21)),IF(A21&gt;175.508,P21,IF(A21&lt;32,10^(0.75194503*LOG10(32/175.508)^2)*P21,10^(0.75194503*LOG10(A21/175.508)^2)*P21)))))</f>
        <v>146.67084706173168</v>
      </c>
      <c r="R21" s="224" t="str">
        <f>IF(OR(E21="",A21="",Z21="",Q21=""),"",IF(OR(C21="UM",C21="JM",C21="SM",C21="UK",C21="JK",C21="SK"),"",Q21*(IF(ABS(1900-YEAR((Z21+1)-E21))&lt;29,0,(VLOOKUP((YEAR(Z21)-YEAR(E21)),'Meltzer-Malone'!$A$3:$B$63,2))))))</f>
        <v/>
      </c>
      <c r="S21" s="174">
        <f>IF('K4'!G19="","",'K4'!G19)</f>
        <v>6.66</v>
      </c>
      <c r="T21" s="174">
        <f>IF('K4'!K19="","",'K4'!K19)</f>
        <v>11.93</v>
      </c>
      <c r="U21" s="174">
        <f>IF('K4'!N19="","",'K4'!N19)</f>
        <v>7.76</v>
      </c>
      <c r="V21" s="163"/>
      <c r="W21" s="164"/>
      <c r="X21" s="175"/>
      <c r="Y21" s="176"/>
      <c r="Z21" s="225">
        <f>U5</f>
        <v>43358</v>
      </c>
    </row>
    <row r="22" spans="1:29" ht="18" customHeight="1">
      <c r="A22" s="276"/>
      <c r="B22" s="166"/>
      <c r="C22" s="167"/>
      <c r="D22" s="168"/>
      <c r="E22" s="215"/>
      <c r="F22" s="193"/>
      <c r="G22" s="216" t="s">
        <v>127</v>
      </c>
      <c r="H22" s="338"/>
      <c r="I22" s="339"/>
      <c r="J22" s="340"/>
      <c r="K22" s="341"/>
      <c r="L22" s="342"/>
      <c r="M22" s="343"/>
      <c r="N22" s="167"/>
      <c r="O22" s="171"/>
      <c r="P22" s="334">
        <f>IF(Q21="","",Q21*1.2)</f>
        <v>176.00501647407802</v>
      </c>
      <c r="Q22" s="334"/>
      <c r="R22" s="222"/>
      <c r="S22" s="197">
        <f>IF(S21="","",S21*20)</f>
        <v>133.19999999999999</v>
      </c>
      <c r="T22" s="172">
        <f>IF(T21="","",T21*11)</f>
        <v>131.22999999999999</v>
      </c>
      <c r="U22" s="173">
        <f>IF(U21="","",IF((80+(8-ROUNDUP(U21,1))*40)&lt;0,0,80+(8-ROUNDUP(U21,1))*40))</f>
        <v>88</v>
      </c>
      <c r="V22" s="237">
        <f>IF(SUM(S22,T22,U22)&gt;0,SUM(S22,T22,U22),"")</f>
        <v>352.42999999999995</v>
      </c>
      <c r="W22" s="238">
        <f>IF(OR(P22="",S22="",T22="",U22=""),"",SUM(P22,S22,T22,U22))</f>
        <v>528.435016474078</v>
      </c>
      <c r="X22" s="239">
        <v>16</v>
      </c>
      <c r="Y22" s="240"/>
      <c r="Z22" s="225"/>
    </row>
    <row r="23" spans="1:29" ht="18" customHeight="1">
      <c r="A23" s="185"/>
      <c r="B23" s="186"/>
      <c r="C23" s="187"/>
      <c r="D23" s="206"/>
      <c r="E23" s="188"/>
      <c r="F23" s="189"/>
      <c r="G23" s="190"/>
      <c r="H23" s="191"/>
      <c r="I23" s="192"/>
      <c r="J23" s="192"/>
      <c r="K23" s="191"/>
      <c r="L23" s="192"/>
      <c r="M23" s="192"/>
      <c r="N23" s="209" t="str">
        <f>IF(MAX(H23:J23)&gt;0,IF(MAX(H23:J23)&lt;0,0,TRUNC(MAX(H23:J23)/1)*1),"")</f>
        <v/>
      </c>
      <c r="O23" s="210" t="str">
        <f>IF(MAX(K23:M23)&gt;0,IF(MAX(K23:M23)&lt;0,0,TRUNC(MAX(K23:M23)/1)*1),"")</f>
        <v/>
      </c>
      <c r="P23" s="211" t="str">
        <f>IF(N23="","",IF(O23="","",IF(SUM(N23:O23)=0,"",SUM(N23:O23))))</f>
        <v/>
      </c>
      <c r="Q23" s="223" t="str">
        <f>IF(P23="","",IF(A23="","",IF(OR(C23="UK",C23="JK",C23="SK",C23="K1",C23="K2",C23="K3",C23="K4",C23="K5",C23="K6",C23="K7",C23="K8",C23="K9",C23="K10"),IF(A23&gt;153.655,P23,IF(A23&lt;28,10^(0.783497476*LOG10(28/153.655)^2)*P23,10^(0.783497476*LOG10(A23/153.655)^2)*P23)),IF(A23&gt;175.508,P23,IF(A23&lt;32,10^(0.75194503*LOG10(32/175.508)^2)*P23,10^(0.75194503*LOG10(A23/175.508)^2)*P23)))))</f>
        <v/>
      </c>
      <c r="R23" s="224" t="str">
        <f>IF(OR(E23="",A23="",Z23="",Q23=""),"",IF(OR(C23="UM",C23="JM",C23="SM",C23="UK",C23="JK",C23="SK"),"",Q23*(IF(ABS(1900-YEAR((Z23+1)-E23))&lt;29,0,(VLOOKUP((YEAR(Z23)-YEAR(E23)),'Meltzer-Malone'!$A$3:$B$63,2))))))</f>
        <v/>
      </c>
      <c r="S23" s="174" t="str">
        <f>IF('K4'!G21="","",'K4'!G21)</f>
        <v/>
      </c>
      <c r="T23" s="174" t="str">
        <f>IF('K4'!K21="","",'K4'!K21)</f>
        <v/>
      </c>
      <c r="U23" s="174" t="str">
        <f>IF('K4'!N21="","",'K4'!N21)</f>
        <v/>
      </c>
      <c r="V23" s="163"/>
      <c r="W23" s="164"/>
      <c r="X23" s="175"/>
      <c r="Y23" s="176"/>
      <c r="Z23" s="225">
        <f>U5</f>
        <v>43358</v>
      </c>
    </row>
    <row r="24" spans="1:29" ht="18" customHeight="1">
      <c r="A24" s="165"/>
      <c r="B24" s="166"/>
      <c r="C24" s="167"/>
      <c r="D24" s="168"/>
      <c r="E24" s="169"/>
      <c r="F24" s="193"/>
      <c r="G24" s="170"/>
      <c r="H24" s="338"/>
      <c r="I24" s="339"/>
      <c r="J24" s="340"/>
      <c r="K24" s="341"/>
      <c r="L24" s="342"/>
      <c r="M24" s="343"/>
      <c r="N24" s="167"/>
      <c r="O24" s="171"/>
      <c r="P24" s="334" t="str">
        <f>IF(Q23="","",Q23*1.2)</f>
        <v/>
      </c>
      <c r="Q24" s="334"/>
      <c r="R24" s="222"/>
      <c r="S24" s="197" t="str">
        <f>IF(S23="","",S23*20)</f>
        <v/>
      </c>
      <c r="T24" s="172" t="str">
        <f>IF(T23="","",T23*11)</f>
        <v/>
      </c>
      <c r="U24" s="173" t="str">
        <f>IF(U23="","",IF((80+(8-ROUNDUP(U23,1))*40)&lt;0,0,80+(8-ROUNDUP(U23,1))*40))</f>
        <v/>
      </c>
      <c r="V24" s="237" t="str">
        <f>IF(SUM(S24,T24,U24)&gt;0,SUM(S24,T24,U24),"")</f>
        <v/>
      </c>
      <c r="W24" s="238" t="str">
        <f>IF(OR(P24="",S24="",T24="",U24=""),"",SUM(P24,S24,T24,U24))</f>
        <v/>
      </c>
      <c r="X24" s="239"/>
      <c r="Y24" s="240"/>
      <c r="Z24" s="225"/>
    </row>
    <row r="25" spans="1:29" ht="18" customHeight="1">
      <c r="A25" s="185"/>
      <c r="B25" s="186"/>
      <c r="C25" s="187"/>
      <c r="D25" s="206"/>
      <c r="E25" s="188"/>
      <c r="F25" s="189"/>
      <c r="G25" s="190"/>
      <c r="H25" s="191"/>
      <c r="I25" s="192"/>
      <c r="J25" s="192"/>
      <c r="K25" s="191"/>
      <c r="L25" s="192"/>
      <c r="M25" s="192"/>
      <c r="N25" s="209" t="str">
        <f>IF(MAX(H25:J25)&gt;0,IF(MAX(H25:J25)&lt;0,0,TRUNC(MAX(H25:J25)/1)*1),"")</f>
        <v/>
      </c>
      <c r="O25" s="210" t="str">
        <f>IF(MAX(K25:M25)&gt;0,IF(MAX(K25:M25)&lt;0,0,TRUNC(MAX(K25:M25)/1)*1),"")</f>
        <v/>
      </c>
      <c r="P25" s="211" t="str">
        <f>IF(N25="","",IF(O25="","",IF(SUM(N25:O25)=0,"",SUM(N25:O25))))</f>
        <v/>
      </c>
      <c r="Q25" s="223" t="str">
        <f>IF(P25="","",IF(A25="","",IF(OR(C25="UK",C25="JK",C25="SK",C25="K1",C25="K2",C25="K3",C25="K4",C25="K5",C25="K6",C25="K7",C25="K8",C25="K9",C25="K10"),IF(A25&gt;153.655,P25,IF(A25&lt;28,10^(0.783497476*LOG10(28/153.655)^2)*P25,10^(0.783497476*LOG10(A25/153.655)^2)*P25)),IF(A25&gt;175.508,P25,IF(A25&lt;32,10^(0.75194503*LOG10(32/175.508)^2)*P25,10^(0.75194503*LOG10(A25/175.508)^2)*P25)))))</f>
        <v/>
      </c>
      <c r="R25" s="224" t="str">
        <f>IF(OR(E25="",A25="",Z25="",Q25=""),"",IF(OR(C25="UM",C25="JM",C25="SM",C25="UK",C25="JK",C25="SK"),"",Q25*(IF(ABS(1900-YEAR((Z25+1)-E25))&lt;29,0,(VLOOKUP((YEAR(Z25)-YEAR(E25)),'Meltzer-Malone'!$A$3:$B$63,2))))))</f>
        <v/>
      </c>
      <c r="S25" s="174" t="str">
        <f>IF('K4'!G23="","",'K4'!G23)</f>
        <v/>
      </c>
      <c r="T25" s="174" t="str">
        <f>IF('K4'!K23="","",'K4'!K23)</f>
        <v/>
      </c>
      <c r="U25" s="174" t="str">
        <f>IF('K4'!N23="","",'K4'!N23)</f>
        <v/>
      </c>
      <c r="V25" s="163"/>
      <c r="W25" s="164"/>
      <c r="X25" s="175"/>
      <c r="Y25" s="176"/>
      <c r="Z25" s="225">
        <f>U5</f>
        <v>43358</v>
      </c>
    </row>
    <row r="26" spans="1:29" ht="18" customHeight="1">
      <c r="A26" s="165"/>
      <c r="B26" s="166"/>
      <c r="C26" s="167"/>
      <c r="D26" s="168"/>
      <c r="E26" s="169"/>
      <c r="F26" s="193"/>
      <c r="G26" s="170"/>
      <c r="H26" s="338"/>
      <c r="I26" s="339"/>
      <c r="J26" s="340"/>
      <c r="K26" s="341"/>
      <c r="L26" s="342"/>
      <c r="M26" s="343"/>
      <c r="N26" s="167"/>
      <c r="O26" s="171"/>
      <c r="P26" s="334" t="str">
        <f>IF(Q25="","",Q25*1.2)</f>
        <v/>
      </c>
      <c r="Q26" s="334"/>
      <c r="R26" s="222"/>
      <c r="S26" s="197" t="str">
        <f>IF(S25="","",S25*20)</f>
        <v/>
      </c>
      <c r="T26" s="172" t="str">
        <f>IF(T25="","",T25*11)</f>
        <v/>
      </c>
      <c r="U26" s="173" t="str">
        <f>IF(U25="","",IF((80+(8-ROUNDUP(U25,1))*40)&lt;0,0,80+(8-ROUNDUP(U25,1))*40))</f>
        <v/>
      </c>
      <c r="V26" s="237" t="str">
        <f>IF(SUM(S26,T26,U26)&gt;0,SUM(S26,T26,U26),"")</f>
        <v/>
      </c>
      <c r="W26" s="238" t="str">
        <f>IF(OR(P26="",S26="",T26="",U26=""),"",SUM(P26,S26,T26,U26))</f>
        <v/>
      </c>
      <c r="X26" s="239"/>
      <c r="Y26" s="240"/>
      <c r="Z26" s="225"/>
    </row>
    <row r="27" spans="1:29" ht="18" customHeight="1">
      <c r="A27" s="185"/>
      <c r="B27" s="186"/>
      <c r="C27" s="187"/>
      <c r="D27" s="186"/>
      <c r="E27" s="188"/>
      <c r="F27" s="189"/>
      <c r="G27" s="190"/>
      <c r="H27" s="207"/>
      <c r="I27" s="208"/>
      <c r="J27" s="208"/>
      <c r="K27" s="207"/>
      <c r="L27" s="208"/>
      <c r="M27" s="208"/>
      <c r="N27" s="209" t="str">
        <f>IF(MAX(H27:J27)&gt;0,IF(MAX(H27:J27)&lt;0,0,TRUNC(MAX(H27:J27)/1)*1),"")</f>
        <v/>
      </c>
      <c r="O27" s="210" t="str">
        <f>IF(MAX(K27:M27)&gt;0,IF(MAX(K27:M27)&lt;0,0,TRUNC(MAX(K27:M27)/1)*1),"")</f>
        <v/>
      </c>
      <c r="P27" s="211" t="str">
        <f>IF(N27="","",IF(O27="","",IF(SUM(N27:O27)=0,"",SUM(N27:O27))))</f>
        <v/>
      </c>
      <c r="Q27" s="223" t="str">
        <f>IF(P27="","",IF(A27="","",IF(OR(C27="UK",C27="JK",C27="SK",C27="K1",C27="K2",C27="K3",C27="K4",C27="K5",C27="K6",C27="K7",C27="K8",C27="K9",C27="K10"),IF(A27&gt;153.655,P27,IF(A27&lt;28,10^(0.783497476*LOG10(28/153.655)^2)*P27,10^(0.783497476*LOG10(A27/153.655)^2)*P27)),IF(A27&gt;175.508,P27,IF(A27&lt;32,10^(0.75194503*LOG10(32/175.508)^2)*P27,10^(0.75194503*LOG10(A27/175.508)^2)*P27)))))</f>
        <v/>
      </c>
      <c r="R27" s="224" t="str">
        <f>IF(OR(E27="",A27="",Z27="",Q27=""),"",IF(OR(C27="UM",C27="JM",C27="SM",C27="UK",C27="JK",C27="SK"),"",Q27*(IF(ABS(1900-YEAR((Z27+1)-E27))&lt;29,0,(VLOOKUP((YEAR(Z27)-YEAR(E27)),'Meltzer-Malone'!$A$3:$B$63,2))))))</f>
        <v/>
      </c>
      <c r="S27" s="174" t="str">
        <f>IF('K4'!G25="","",'K4'!G25)</f>
        <v/>
      </c>
      <c r="T27" s="174" t="str">
        <f>IF('K4'!K25="","",'K4'!K25)</f>
        <v/>
      </c>
      <c r="U27" s="174" t="str">
        <f>IF('K4'!N25="","",'K4'!N25)</f>
        <v/>
      </c>
      <c r="V27" s="163"/>
      <c r="W27" s="164"/>
      <c r="X27" s="175"/>
      <c r="Y27" s="176"/>
      <c r="Z27" s="225">
        <f>U5</f>
        <v>43358</v>
      </c>
    </row>
    <row r="28" spans="1:29" ht="18" customHeight="1">
      <c r="A28" s="165"/>
      <c r="B28" s="166"/>
      <c r="C28" s="167"/>
      <c r="D28" s="168"/>
      <c r="E28" s="169"/>
      <c r="F28" s="193"/>
      <c r="G28" s="170"/>
      <c r="H28" s="373"/>
      <c r="I28" s="374"/>
      <c r="J28" s="375"/>
      <c r="K28" s="364"/>
      <c r="L28" s="365"/>
      <c r="M28" s="366"/>
      <c r="N28" s="167"/>
      <c r="O28" s="171"/>
      <c r="P28" s="334" t="str">
        <f>IF(Q27="","",Q27*1.2)</f>
        <v/>
      </c>
      <c r="Q28" s="334"/>
      <c r="R28" s="222"/>
      <c r="S28" s="197" t="str">
        <f>IF(S27="","",S27*20)</f>
        <v/>
      </c>
      <c r="T28" s="172" t="str">
        <f>IF(T27="","",T27*11)</f>
        <v/>
      </c>
      <c r="U28" s="173" t="str">
        <f>IF(U27="","",IF((80+(8-ROUNDUP(U27,1))*40)&lt;0,0,80+(8-ROUNDUP(U27,1))*40))</f>
        <v/>
      </c>
      <c r="V28" s="237" t="str">
        <f>IF(SUM(S28,T28,U28)&gt;0,SUM(S28,T28,U28),"")</f>
        <v/>
      </c>
      <c r="W28" s="238" t="str">
        <f>IF(OR(P28="",S28="",T28="",U28=""),"",SUM(P28,S28,T28,U28))</f>
        <v/>
      </c>
      <c r="X28" s="239"/>
      <c r="Y28" s="240"/>
      <c r="Z28" s="226"/>
    </row>
    <row r="29" spans="1:29" ht="18" customHeight="1">
      <c r="A29" s="185"/>
      <c r="B29" s="186"/>
      <c r="C29" s="187"/>
      <c r="D29" s="186"/>
      <c r="E29" s="188"/>
      <c r="F29" s="189"/>
      <c r="G29" s="190"/>
      <c r="H29" s="207"/>
      <c r="I29" s="208"/>
      <c r="J29" s="208"/>
      <c r="K29" s="207"/>
      <c r="L29" s="208"/>
      <c r="M29" s="208"/>
      <c r="N29" s="209" t="str">
        <f>IF(MAX(H29:J29)&gt;0,IF(MAX(H29:J29)&lt;0,0,TRUNC(MAX(H29:J29)/1)*1),"")</f>
        <v/>
      </c>
      <c r="O29" s="210" t="str">
        <f>IF(MAX(K29:M29)&gt;0,IF(MAX(K29:M29)&lt;0,0,TRUNC(MAX(K29:M29)/1)*1),"")</f>
        <v/>
      </c>
      <c r="P29" s="211" t="str">
        <f>IF(N29="","",IF(O29="","",IF(SUM(N29:O29)=0,"",SUM(N29:O29))))</f>
        <v/>
      </c>
      <c r="Q29" s="223" t="str">
        <f>IF(P29="","",IF(A29="","",IF(OR(C29="UK",C29="JK",C29="SK",C29="K1",C29="K2",C29="K3",C29="K4",C29="K5",C29="K6",C29="K7",C29="K8",C29="K9",C29="K10"),IF(A29&gt;153.655,P29,IF(A29&lt;28,10^(0.783497476*LOG10(28/153.655)^2)*P29,10^(0.783497476*LOG10(A29/153.655)^2)*P29)),IF(A29&gt;175.508,P29,IF(A29&lt;32,10^(0.75194503*LOG10(32/175.508)^2)*P29,10^(0.75194503*LOG10(A29/175.508)^2)*P29)))))</f>
        <v/>
      </c>
      <c r="R29" s="224" t="str">
        <f>IF(OR(E29="",A29="",Z29="",Q29=""),"",IF(OR(C29="UM",C29="JM",C29="SM",C29="UK",C29="JK",C29="SK"),"",Q29*(IF(ABS(1900-YEAR((Z29+1)-E29))&lt;29,0,(VLOOKUP((YEAR(Z29)-YEAR(E29)),'Meltzer-Malone'!$A$3:$B$63,2))))))</f>
        <v/>
      </c>
      <c r="S29" s="174" t="str">
        <f>IF('K4'!G27="","",'K4'!G27)</f>
        <v/>
      </c>
      <c r="T29" s="174" t="str">
        <f>IF('K4'!K27="","",'K4'!K27)</f>
        <v/>
      </c>
      <c r="U29" s="174" t="str">
        <f>IF('K4'!N27="","",'K4'!N27)</f>
        <v/>
      </c>
      <c r="V29" s="163"/>
      <c r="W29" s="164"/>
      <c r="X29" s="175"/>
      <c r="Y29" s="176"/>
      <c r="Z29" s="225">
        <f>U5</f>
        <v>43358</v>
      </c>
    </row>
    <row r="30" spans="1:29" ht="18" customHeight="1">
      <c r="A30" s="165"/>
      <c r="B30" s="166"/>
      <c r="C30" s="167"/>
      <c r="D30" s="168"/>
      <c r="E30" s="169"/>
      <c r="F30" s="193"/>
      <c r="G30" s="170"/>
      <c r="H30" s="373"/>
      <c r="I30" s="374"/>
      <c r="J30" s="375"/>
      <c r="K30" s="364"/>
      <c r="L30" s="365"/>
      <c r="M30" s="366"/>
      <c r="N30" s="167"/>
      <c r="O30" s="171"/>
      <c r="P30" s="334" t="str">
        <f>IF(Q29="","",Q29*1.2)</f>
        <v/>
      </c>
      <c r="Q30" s="334"/>
      <c r="R30" s="222"/>
      <c r="S30" s="197" t="str">
        <f>IF(S29="","",S29*20)</f>
        <v/>
      </c>
      <c r="T30" s="172" t="str">
        <f>IF(T29="","",T29*11)</f>
        <v/>
      </c>
      <c r="U30" s="173" t="str">
        <f>IF(U29="","",IF((80+(8-ROUNDUP(U29,1))*40)&lt;0,0,80+(8-ROUNDUP(U29,1))*40))</f>
        <v/>
      </c>
      <c r="V30" s="237" t="str">
        <f>IF(SUM(S30,T30,U30)&gt;0,SUM(S30,T30,U30),"")</f>
        <v/>
      </c>
      <c r="W30" s="238" t="str">
        <f>IF(OR(P30="",S30="",T30="",U30=""),"",SUM(P30,S30,T30,U30))</f>
        <v/>
      </c>
      <c r="X30" s="239"/>
      <c r="Y30" s="240"/>
      <c r="Z30" s="225"/>
    </row>
    <row r="31" spans="1:29" ht="18" customHeight="1">
      <c r="A31" s="185"/>
      <c r="B31" s="186"/>
      <c r="C31" s="187"/>
      <c r="D31" s="186"/>
      <c r="E31" s="188"/>
      <c r="F31" s="189"/>
      <c r="G31" s="190"/>
      <c r="H31" s="207"/>
      <c r="I31" s="208"/>
      <c r="J31" s="208"/>
      <c r="K31" s="207"/>
      <c r="L31" s="208"/>
      <c r="M31" s="208"/>
      <c r="N31" s="209" t="str">
        <f>IF(MAX(H31:J31)&gt;0,IF(MAX(H31:J31)&lt;0,0,TRUNC(MAX(H31:J31)/1)*1),"")</f>
        <v/>
      </c>
      <c r="O31" s="210" t="str">
        <f>IF(MAX(K31:M31)&gt;0,IF(MAX(K31:M31)&lt;0,0,TRUNC(MAX(K31:M31)/1)*1),"")</f>
        <v/>
      </c>
      <c r="P31" s="211" t="str">
        <f>IF(N31="","",IF(O31="","",IF(SUM(N31:O31)=0,"",SUM(N31:O31))))</f>
        <v/>
      </c>
      <c r="Q31" s="223" t="str">
        <f>IF(P31="","",IF(A31="","",IF(OR(C31="UK",C31="JK",C31="SK",C31="K1",C31="K2",C31="K3",C31="K4",C31="K5",C31="K6",C31="K7",C31="K8",C31="K9",C31="K10"),IF(A31&gt;153.655,P31,IF(A31&lt;28,10^(0.783497476*LOG10(28/153.655)^2)*P31,10^(0.783497476*LOG10(A31/153.655)^2)*P31)),IF(A31&gt;175.508,P31,IF(A31&lt;32,10^(0.75194503*LOG10(32/175.508)^2)*P31,10^(0.75194503*LOG10(A31/175.508)^2)*P31)))))</f>
        <v/>
      </c>
      <c r="R31" s="224" t="str">
        <f>IF(OR(E31="",A31="",Z31="",Q31=""),"",IF(OR(C31="UM",C31="JM",C31="SM",C31="UK",C31="JK",C31="SK"),"",Q31*(IF(ABS(1900-YEAR((Z31+1)-E31))&lt;29,0,(VLOOKUP((YEAR(Z31)-YEAR(E31)),'Meltzer-Malone'!$A$3:$B$63,2))))))</f>
        <v/>
      </c>
      <c r="S31" s="174" t="str">
        <f>IF('K4'!G29="","",'K4'!G29)</f>
        <v/>
      </c>
      <c r="T31" s="174" t="str">
        <f>IF('K4'!K29="","",'K4'!K29)</f>
        <v/>
      </c>
      <c r="U31" s="174" t="str">
        <f>IF('K4'!N29="","",'K4'!N29)</f>
        <v/>
      </c>
      <c r="V31" s="163"/>
      <c r="W31" s="164"/>
      <c r="X31" s="175"/>
      <c r="Y31" s="176"/>
      <c r="Z31" s="225">
        <f>U5</f>
        <v>43358</v>
      </c>
    </row>
    <row r="32" spans="1:29" ht="18" customHeight="1" thickBot="1">
      <c r="A32" s="177"/>
      <c r="B32" s="178"/>
      <c r="C32" s="179"/>
      <c r="D32" s="180"/>
      <c r="E32" s="181"/>
      <c r="F32" s="220"/>
      <c r="G32" s="182"/>
      <c r="H32" s="367"/>
      <c r="I32" s="368"/>
      <c r="J32" s="369"/>
      <c r="K32" s="370"/>
      <c r="L32" s="371"/>
      <c r="M32" s="372"/>
      <c r="N32" s="307"/>
      <c r="O32" s="308"/>
      <c r="P32" s="331" t="str">
        <f>IF(Q31="","",Q31*1.2)</f>
        <v/>
      </c>
      <c r="Q32" s="331"/>
      <c r="R32" s="309"/>
      <c r="S32" s="183" t="str">
        <f>IF(S31="","",S31*20)</f>
        <v/>
      </c>
      <c r="T32" s="183" t="str">
        <f>IF(T31="","",T31*11)</f>
        <v/>
      </c>
      <c r="U32" s="184" t="str">
        <f>IF(U31="","",IF((80+(8-ROUNDUP(U31,1))*40)&lt;0,0,80+(8-ROUNDUP(U31,1))*40))</f>
        <v/>
      </c>
      <c r="V32" s="184" t="str">
        <f>IF(SUM(S32,T32,U32)&gt;0,SUM(S32,T32,U32),"")</f>
        <v/>
      </c>
      <c r="W32" s="257" t="str">
        <f>IF(OR(P32="",S32="",T32="",U32=""),"",SUM(P32,S32,T32,U32))</f>
        <v/>
      </c>
      <c r="X32" s="258"/>
      <c r="Y32" s="259"/>
      <c r="Z32" s="225"/>
    </row>
    <row r="33" spans="1:25" ht="14.1">
      <c r="A33" s="429"/>
      <c r="B33" s="429"/>
      <c r="C33" s="429"/>
      <c r="D33" s="430"/>
      <c r="E33" s="431"/>
      <c r="F33" s="431"/>
      <c r="G33" s="432"/>
      <c r="H33" s="433"/>
      <c r="I33" s="433"/>
      <c r="J33" s="433"/>
      <c r="K33" s="433"/>
      <c r="L33" s="433"/>
      <c r="M33" s="433"/>
      <c r="N33" s="429"/>
      <c r="O33" s="429"/>
      <c r="P33" s="429"/>
      <c r="Q33" s="429"/>
      <c r="R33" s="429"/>
      <c r="S33" s="433"/>
      <c r="T33" s="433"/>
      <c r="U33" s="434"/>
      <c r="V33" s="434"/>
      <c r="W33" s="435"/>
      <c r="X33" s="436"/>
      <c r="Y33" s="437"/>
    </row>
    <row r="34" spans="1:25" s="7" customFormat="1" ht="14.1">
      <c r="A34" s="7" t="s">
        <v>50</v>
      </c>
      <c r="B34"/>
      <c r="C34" s="317" t="s">
        <v>51</v>
      </c>
      <c r="D34" s="317"/>
      <c r="E34" s="317"/>
      <c r="F34" s="317"/>
      <c r="G34" s="317"/>
      <c r="H34" s="328" t="s">
        <v>115</v>
      </c>
      <c r="I34" s="328"/>
      <c r="J34" s="134">
        <v>1</v>
      </c>
      <c r="K34" s="317" t="s">
        <v>133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s="7" customFormat="1" ht="14.1">
      <c r="B35"/>
      <c r="C35" s="327"/>
      <c r="D35" s="327"/>
      <c r="E35" s="327"/>
      <c r="F35" s="327"/>
      <c r="G35" s="327"/>
      <c r="H35" s="328"/>
      <c r="I35" s="328"/>
      <c r="J35" s="134">
        <v>2</v>
      </c>
      <c r="K35" s="317" t="s">
        <v>150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s="7" customFormat="1" ht="14.1">
      <c r="A36" s="7" t="s">
        <v>55</v>
      </c>
      <c r="B36"/>
      <c r="C36" s="317"/>
      <c r="D36" s="317"/>
      <c r="E36" s="317"/>
      <c r="F36" s="317"/>
      <c r="G36" s="317"/>
      <c r="H36" s="329"/>
      <c r="I36" s="329"/>
      <c r="J36" s="134">
        <v>3</v>
      </c>
      <c r="K36" s="317" t="s">
        <v>134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s="5" customFormat="1" ht="14.1">
      <c r="A37" s="6"/>
      <c r="B37"/>
      <c r="C37" s="317"/>
      <c r="D37" s="317"/>
      <c r="E37" s="317"/>
      <c r="F37" s="317"/>
      <c r="G37" s="317"/>
      <c r="H37" s="32"/>
      <c r="I37" s="30"/>
      <c r="J37" s="135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s="5" customFormat="1" ht="14.1">
      <c r="A38" s="7"/>
      <c r="B38"/>
      <c r="C38" s="317"/>
      <c r="D38" s="317"/>
      <c r="E38" s="317"/>
      <c r="F38" s="317"/>
      <c r="G38" s="317"/>
      <c r="H38" s="136" t="s">
        <v>57</v>
      </c>
      <c r="I38" s="301"/>
      <c r="J38" s="43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s="5" customFormat="1" ht="14.1">
      <c r="A39" s="2"/>
      <c r="B39" s="2"/>
      <c r="C39" s="30"/>
      <c r="D39" s="31"/>
      <c r="E39" s="31"/>
      <c r="F39" s="31"/>
      <c r="G39" s="32"/>
      <c r="H39" s="136" t="s">
        <v>58</v>
      </c>
      <c r="I39" s="301"/>
      <c r="J39" s="47"/>
      <c r="K39" s="317" t="s">
        <v>135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s="5" customFormat="1" ht="14.1">
      <c r="A40" s="7" t="s">
        <v>60</v>
      </c>
      <c r="B40"/>
      <c r="C40" s="318" t="s">
        <v>61</v>
      </c>
      <c r="D40" s="318"/>
      <c r="E40" s="318"/>
      <c r="F40" s="318"/>
      <c r="G40" s="318"/>
      <c r="H40" s="136" t="s">
        <v>62</v>
      </c>
      <c r="I40" s="301"/>
      <c r="J40" s="137"/>
      <c r="K40" s="317" t="s">
        <v>64</v>
      </c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s="5" customFormat="1" ht="14.1">
      <c r="A41" s="2"/>
      <c r="B41" s="2"/>
      <c r="C41" s="326" t="s">
        <v>64</v>
      </c>
      <c r="D41" s="326"/>
      <c r="E41" s="326"/>
      <c r="F41" s="326"/>
      <c r="G41" s="326"/>
      <c r="H41" s="136"/>
      <c r="I41" s="311"/>
      <c r="J41" s="138"/>
      <c r="K41" s="2"/>
      <c r="L41" s="2"/>
      <c r="M41" s="2"/>
      <c r="N41" s="2"/>
      <c r="O41" s="2"/>
      <c r="P41" s="2"/>
      <c r="Q41" s="2"/>
      <c r="R41" s="2"/>
      <c r="S41" s="40"/>
      <c r="T41" s="40"/>
      <c r="U41" s="40"/>
      <c r="V41" s="40"/>
    </row>
    <row r="42" spans="1:25" s="5" customFormat="1" ht="14.1">
      <c r="A42" s="311" t="s">
        <v>65</v>
      </c>
      <c r="B42" s="139"/>
      <c r="C42" s="317" t="s">
        <v>151</v>
      </c>
      <c r="D42" s="317"/>
      <c r="E42" s="317"/>
      <c r="F42" s="317"/>
      <c r="G42" s="317"/>
      <c r="H42" s="136" t="s">
        <v>66</v>
      </c>
      <c r="I42" s="301"/>
      <c r="J42" s="43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s="5" customFormat="1" ht="14.1">
      <c r="A43" s="2"/>
      <c r="B43" s="2"/>
      <c r="C43" s="317"/>
      <c r="D43" s="317"/>
      <c r="E43" s="317"/>
      <c r="F43" s="317"/>
      <c r="G43" s="317"/>
      <c r="H43" s="136"/>
      <c r="I43" s="301"/>
      <c r="J43" s="138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s="5" customFormat="1" ht="14.1">
      <c r="A44" s="139" t="s">
        <v>68</v>
      </c>
      <c r="B44" s="139"/>
      <c r="C44" s="33" t="s">
        <v>69</v>
      </c>
      <c r="D44" s="34"/>
      <c r="E44" s="34"/>
      <c r="F44" s="34"/>
      <c r="G44" s="35"/>
      <c r="I44" s="301"/>
      <c r="J44" s="13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</row>
    <row r="45" spans="1:25" s="5" customFormat="1" ht="14.1">
      <c r="A45" s="140"/>
      <c r="B45" s="140"/>
      <c r="C45" s="33"/>
      <c r="D45" s="31"/>
      <c r="E45" s="31"/>
      <c r="F45" s="31"/>
      <c r="G45" s="32"/>
      <c r="I45" s="301"/>
      <c r="J45" s="13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</row>
    <row r="46" spans="1:25" s="5" customFormat="1" ht="14.1">
      <c r="A46" s="2"/>
      <c r="B46" s="2"/>
      <c r="C46" s="3"/>
      <c r="D46" s="4"/>
      <c r="E46" s="4"/>
      <c r="F46" s="4"/>
      <c r="I46" s="301"/>
      <c r="J46" s="13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</row>
    <row r="47" spans="1:25">
      <c r="A47" s="36"/>
      <c r="B47" s="36"/>
      <c r="C47" s="36"/>
      <c r="D47" s="36"/>
      <c r="E47" s="36"/>
      <c r="F47" s="36"/>
      <c r="H47" s="36"/>
      <c r="I47" s="36"/>
      <c r="J47" s="43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</sheetData>
  <mergeCells count="73">
    <mergeCell ref="H8:J8"/>
    <mergeCell ref="K8:M8"/>
    <mergeCell ref="G2:Q2"/>
    <mergeCell ref="G3:Q3"/>
    <mergeCell ref="H7:J7"/>
    <mergeCell ref="K7:M7"/>
    <mergeCell ref="H10:J10"/>
    <mergeCell ref="K10:M10"/>
    <mergeCell ref="H12:J12"/>
    <mergeCell ref="K12:M12"/>
    <mergeCell ref="C35:G35"/>
    <mergeCell ref="H35:I35"/>
    <mergeCell ref="H18:J18"/>
    <mergeCell ref="H14:J14"/>
    <mergeCell ref="K14:M14"/>
    <mergeCell ref="H16:J16"/>
    <mergeCell ref="K16:M16"/>
    <mergeCell ref="H20:J20"/>
    <mergeCell ref="K20:M20"/>
    <mergeCell ref="H24:J24"/>
    <mergeCell ref="H30:J30"/>
    <mergeCell ref="H28:J28"/>
    <mergeCell ref="A5:B5"/>
    <mergeCell ref="H5:I5"/>
    <mergeCell ref="C5:G5"/>
    <mergeCell ref="J5:N5"/>
    <mergeCell ref="P5:S5"/>
    <mergeCell ref="H26:J26"/>
    <mergeCell ref="K26:M26"/>
    <mergeCell ref="H36:I36"/>
    <mergeCell ref="H34:I34"/>
    <mergeCell ref="P12:Q12"/>
    <mergeCell ref="P22:Q22"/>
    <mergeCell ref="K30:M30"/>
    <mergeCell ref="H32:J32"/>
    <mergeCell ref="K32:M32"/>
    <mergeCell ref="P32:Q32"/>
    <mergeCell ref="P30:Q30"/>
    <mergeCell ref="H22:J22"/>
    <mergeCell ref="K22:M22"/>
    <mergeCell ref="K28:M28"/>
    <mergeCell ref="P28:Q28"/>
    <mergeCell ref="P26:Q26"/>
    <mergeCell ref="C42:G42"/>
    <mergeCell ref="C43:G43"/>
    <mergeCell ref="K34:Y34"/>
    <mergeCell ref="K35:Y35"/>
    <mergeCell ref="K36:Y36"/>
    <mergeCell ref="K37:Y37"/>
    <mergeCell ref="K38:Y38"/>
    <mergeCell ref="K39:Y39"/>
    <mergeCell ref="K40:Y40"/>
    <mergeCell ref="K42:Y42"/>
    <mergeCell ref="C34:G34"/>
    <mergeCell ref="C36:G36"/>
    <mergeCell ref="C37:G37"/>
    <mergeCell ref="C38:G38"/>
    <mergeCell ref="C40:G40"/>
    <mergeCell ref="C41:G41"/>
    <mergeCell ref="U5:V5"/>
    <mergeCell ref="K43:Y43"/>
    <mergeCell ref="K44:Y44"/>
    <mergeCell ref="K45:Y45"/>
    <mergeCell ref="K46:Y46"/>
    <mergeCell ref="K18:M18"/>
    <mergeCell ref="N7:Q7"/>
    <mergeCell ref="P10:Q10"/>
    <mergeCell ref="P20:Q20"/>
    <mergeCell ref="P18:Q18"/>
    <mergeCell ref="P16:Q16"/>
    <mergeCell ref="P14:Q14"/>
    <mergeCell ref="K24:M24"/>
    <mergeCell ref="P24:Q24"/>
  </mergeCells>
  <phoneticPr fontId="0" type="noConversion"/>
  <conditionalFormatting sqref="H31:M31">
    <cfRule type="cellIs" dxfId="197" priority="119" stopIfTrue="1" operator="between">
      <formula>1</formula>
      <formula>300</formula>
    </cfRule>
    <cfRule type="cellIs" dxfId="196" priority="120" stopIfTrue="1" operator="lessThanOrEqual">
      <formula>0</formula>
    </cfRule>
  </conditionalFormatting>
  <conditionalFormatting sqref="H27:M27">
    <cfRule type="cellIs" dxfId="195" priority="99" stopIfTrue="1" operator="between">
      <formula>1</formula>
      <formula>300</formula>
    </cfRule>
    <cfRule type="cellIs" dxfId="194" priority="100" stopIfTrue="1" operator="lessThanOrEqual">
      <formula>0</formula>
    </cfRule>
  </conditionalFormatting>
  <conditionalFormatting sqref="H29:M29">
    <cfRule type="cellIs" dxfId="193" priority="97" stopIfTrue="1" operator="between">
      <formula>1</formula>
      <formula>300</formula>
    </cfRule>
    <cfRule type="cellIs" dxfId="192" priority="98" stopIfTrue="1" operator="lessThanOrEqual">
      <formula>0</formula>
    </cfRule>
  </conditionalFormatting>
  <conditionalFormatting sqref="H25:M25">
    <cfRule type="cellIs" dxfId="191" priority="77" stopIfTrue="1" operator="between">
      <formula>1</formula>
      <formula>300</formula>
    </cfRule>
    <cfRule type="cellIs" dxfId="190" priority="78" stopIfTrue="1" operator="lessThanOrEqual">
      <formula>0</formula>
    </cfRule>
  </conditionalFormatting>
  <conditionalFormatting sqref="H23:M23">
    <cfRule type="cellIs" dxfId="189" priority="59" stopIfTrue="1" operator="between">
      <formula>1</formula>
      <formula>300</formula>
    </cfRule>
    <cfRule type="cellIs" dxfId="188" priority="60" stopIfTrue="1" operator="lessThanOrEqual">
      <formula>0</formula>
    </cfRule>
  </conditionalFormatting>
  <conditionalFormatting sqref="H9:M9">
    <cfRule type="cellIs" dxfId="187" priority="13" stopIfTrue="1" operator="between">
      <formula>1</formula>
      <formula>300</formula>
    </cfRule>
    <cfRule type="cellIs" dxfId="186" priority="14" stopIfTrue="1" operator="lessThanOrEqual">
      <formula>0</formula>
    </cfRule>
  </conditionalFormatting>
  <conditionalFormatting sqref="H15:K15 M15">
    <cfRule type="cellIs" dxfId="185" priority="11" stopIfTrue="1" operator="between">
      <formula>1</formula>
      <formula>300</formula>
    </cfRule>
    <cfRule type="cellIs" dxfId="184" priority="12" stopIfTrue="1" operator="lessThanOrEqual">
      <formula>0</formula>
    </cfRule>
  </conditionalFormatting>
  <conditionalFormatting sqref="H17:M17">
    <cfRule type="cellIs" dxfId="183" priority="9" stopIfTrue="1" operator="between">
      <formula>1</formula>
      <formula>300</formula>
    </cfRule>
    <cfRule type="cellIs" dxfId="182" priority="10" stopIfTrue="1" operator="lessThanOrEqual">
      <formula>0</formula>
    </cfRule>
  </conditionalFormatting>
  <conditionalFormatting sqref="H21:M21">
    <cfRule type="cellIs" dxfId="181" priority="7" stopIfTrue="1" operator="between">
      <formula>1</formula>
      <formula>300</formula>
    </cfRule>
    <cfRule type="cellIs" dxfId="180" priority="8" stopIfTrue="1" operator="lessThanOrEqual">
      <formula>0</formula>
    </cfRule>
  </conditionalFormatting>
  <conditionalFormatting sqref="H11:M11">
    <cfRule type="cellIs" dxfId="179" priority="5" stopIfTrue="1" operator="between">
      <formula>1</formula>
      <formula>300</formula>
    </cfRule>
    <cfRule type="cellIs" dxfId="178" priority="6" stopIfTrue="1" operator="lessThanOrEqual">
      <formula>0</formula>
    </cfRule>
  </conditionalFormatting>
  <conditionalFormatting sqref="H19:M19">
    <cfRule type="cellIs" dxfId="177" priority="3" stopIfTrue="1" operator="between">
      <formula>1</formula>
      <formula>300</formula>
    </cfRule>
    <cfRule type="cellIs" dxfId="176" priority="4" stopIfTrue="1" operator="lessThanOrEqual">
      <formula>0</formula>
    </cfRule>
  </conditionalFormatting>
  <conditionalFormatting sqref="L15">
    <cfRule type="cellIs" dxfId="175" priority="1" stopIfTrue="1" operator="between">
      <formula>1</formula>
      <formula>300</formula>
    </cfRule>
    <cfRule type="cellIs" dxfId="174" priority="2" stopIfTrue="1" operator="lessThanOrEqual">
      <formula>0</formula>
    </cfRule>
  </conditionalFormatting>
  <conditionalFormatting sqref="H13:M13">
    <cfRule type="cellIs" dxfId="173" priority="15" stopIfTrue="1" operator="between">
      <formula>1</formula>
      <formula>300</formula>
    </cfRule>
    <cfRule type="cellIs" dxfId="172" priority="16" stopIfTrue="1" operator="lessThanOrEqual">
      <formula>0</formula>
    </cfRule>
  </conditionalFormatting>
  <dataValidations count="3">
    <dataValidation type="list" allowBlank="1" showInputMessage="1" showErrorMessage="1" errorTitle="Feil_i_vektklasse" error="Feil verdi i vektklasse" sqref="B29 B31 B23 B25 B27 B9 B11 B13 B15 B17 B19 B21" xr:uid="{00000000-0002-0000-0300-000000000000}">
      <formula1>"44,48,53,58,63,69,+69,'+69,69+,75,+75,'+75,75,50,56,62,69,77,85,94,+94,'+94,94+,105,+105,'+105,105+"</formula1>
    </dataValidation>
    <dataValidation type="list" allowBlank="1" showInputMessage="1" showErrorMessage="1" errorTitle="Feil_i_kat.v.løft" error="Feil verdi i kategori vektløfting" sqref="C29 C31 C23 C25 C27 C9 C11 C13 C15 C17 C19 C21" xr:uid="{00000000-0002-0000-0300-000001000000}">
      <formula1>"UM,JM,SM,UK,JK,SK,M1,M2,M3,M4,M5,M6,M8,M9,M10,K1,K2,K3,K4,K5,K6,K7,K8,K9,K10+$S$23"</formula1>
    </dataValidation>
    <dataValidation type="list" allowBlank="1" showInputMessage="1" showErrorMessage="1" errorTitle="Feil_i_kat.5-kamp" error="Feil verdi i kategori 5-kamp" sqref="D29 D31 D23 D25 D27 D9 D11 D13 D15 D17 D19 D21" xr:uid="{00000000-0002-0000-0300-000002000000}">
      <formula1>"11-12,13-14,15-16,17-18,+18,'+18,18+"</formula1>
    </dataValidation>
  </dataValidations>
  <pageMargins left="0.27559055118110237" right="0.27559055118110237" top="0.27559055118110237" bottom="0.27559055118110237" header="0.51181102362204722" footer="0.51181102362204722"/>
  <pageSetup paperSize="9" scale="66" orientation="landscape" copies="2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C55"/>
  <sheetViews>
    <sheetView showGridLines="0" showRowColHeaders="0" showZeros="0" topLeftCell="A5" workbookViewId="0">
      <selection activeCell="H26" sqref="H26:J26"/>
    </sheetView>
  </sheetViews>
  <sheetFormatPr defaultColWidth="8.85546875" defaultRowHeight="12.95"/>
  <cols>
    <col min="1" max="1" width="7.85546875" customWidth="1"/>
    <col min="2" max="2" width="6.85546875" customWidth="1"/>
    <col min="3" max="3" width="5.5703125" customWidth="1"/>
    <col min="4" max="4" width="7.5703125" customWidth="1"/>
    <col min="5" max="5" width="10.42578125" customWidth="1"/>
    <col min="6" max="6" width="3.85546875" customWidth="1"/>
    <col min="7" max="7" width="27.5703125" customWidth="1"/>
    <col min="8" max="16" width="6.5703125" customWidth="1"/>
    <col min="17" max="18" width="8.85546875" customWidth="1"/>
    <col min="19" max="20" width="8.5703125" customWidth="1"/>
    <col min="21" max="21" width="9.85546875" customWidth="1"/>
    <col min="22" max="23" width="8.5703125" customWidth="1"/>
    <col min="24" max="24" width="4.42578125" customWidth="1"/>
    <col min="25" max="25" width="5.5703125" customWidth="1"/>
    <col min="26" max="26" width="0" hidden="1" customWidth="1"/>
  </cols>
  <sheetData>
    <row r="1" spans="1:26">
      <c r="A1" s="36"/>
      <c r="B1" s="36"/>
      <c r="C1" s="36"/>
      <c r="D1" s="36"/>
      <c r="E1" s="36"/>
      <c r="F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ht="72.75" customHeight="1">
      <c r="A2" s="36"/>
      <c r="B2" s="36"/>
      <c r="C2" s="36"/>
      <c r="D2" s="36"/>
      <c r="E2" s="36"/>
      <c r="F2" s="36"/>
      <c r="G2" s="346" t="s">
        <v>70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02"/>
      <c r="S2" s="36"/>
      <c r="T2" s="36"/>
      <c r="U2" s="36"/>
      <c r="V2" s="36"/>
      <c r="W2" s="36"/>
      <c r="X2" s="36"/>
      <c r="Y2" s="36"/>
    </row>
    <row r="3" spans="1:26" ht="27.95">
      <c r="A3" s="36"/>
      <c r="B3" s="36"/>
      <c r="C3" s="36"/>
      <c r="D3" s="36"/>
      <c r="E3" s="36"/>
      <c r="F3" s="36"/>
      <c r="G3" s="320" t="s">
        <v>1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00"/>
      <c r="S3" s="36"/>
      <c r="T3" s="36"/>
      <c r="U3" s="36"/>
      <c r="V3" s="36"/>
      <c r="W3" s="36"/>
      <c r="X3" s="36"/>
      <c r="Y3" s="36"/>
    </row>
    <row r="4" spans="1:26">
      <c r="A4" s="36"/>
      <c r="B4" s="36"/>
      <c r="C4" s="36"/>
      <c r="D4" s="36"/>
      <c r="E4" s="36"/>
      <c r="F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6" ht="15" customHeight="1">
      <c r="A5" s="344" t="s">
        <v>2</v>
      </c>
      <c r="B5" s="344"/>
      <c r="C5" s="321" t="s">
        <v>3</v>
      </c>
      <c r="D5" s="321"/>
      <c r="E5" s="321"/>
      <c r="F5" s="321"/>
      <c r="G5" s="321"/>
      <c r="H5" s="344" t="s">
        <v>4</v>
      </c>
      <c r="I5" s="344"/>
      <c r="J5" s="321" t="s">
        <v>5</v>
      </c>
      <c r="K5" s="321"/>
      <c r="L5" s="321"/>
      <c r="M5" s="321"/>
      <c r="N5" s="321"/>
      <c r="O5" s="306" t="s">
        <v>6</v>
      </c>
      <c r="P5" s="345" t="s">
        <v>7</v>
      </c>
      <c r="Q5" s="345"/>
      <c r="R5" s="345"/>
      <c r="S5" s="345"/>
      <c r="T5" s="306" t="s">
        <v>8</v>
      </c>
      <c r="U5" s="325">
        <v>43358</v>
      </c>
      <c r="V5" s="325"/>
      <c r="W5" s="52" t="s">
        <v>9</v>
      </c>
      <c r="X5" s="263" t="s">
        <v>152</v>
      </c>
      <c r="Y5" s="263"/>
    </row>
    <row r="6" spans="1:26" ht="13.5" thickBot="1">
      <c r="A6" s="53"/>
      <c r="B6" s="53"/>
      <c r="C6" s="53"/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5"/>
      <c r="X6" s="53"/>
      <c r="Y6" s="53"/>
    </row>
    <row r="7" spans="1:26">
      <c r="A7" s="56" t="s">
        <v>12</v>
      </c>
      <c r="B7" s="57" t="s">
        <v>11</v>
      </c>
      <c r="C7" s="314" t="s">
        <v>72</v>
      </c>
      <c r="D7" s="58" t="s">
        <v>72</v>
      </c>
      <c r="E7" s="313" t="s">
        <v>14</v>
      </c>
      <c r="F7" s="313" t="s">
        <v>73</v>
      </c>
      <c r="G7" s="313" t="s">
        <v>15</v>
      </c>
      <c r="H7" s="356" t="s">
        <v>17</v>
      </c>
      <c r="I7" s="357"/>
      <c r="J7" s="358"/>
      <c r="K7" s="356" t="s">
        <v>18</v>
      </c>
      <c r="L7" s="357"/>
      <c r="M7" s="358"/>
      <c r="N7" s="359" t="s">
        <v>74</v>
      </c>
      <c r="O7" s="360"/>
      <c r="P7" s="360"/>
      <c r="Q7" s="360"/>
      <c r="R7" s="227" t="s">
        <v>21</v>
      </c>
      <c r="S7" s="57" t="s">
        <v>75</v>
      </c>
      <c r="T7" s="57" t="s">
        <v>76</v>
      </c>
      <c r="U7" s="57" t="s">
        <v>77</v>
      </c>
      <c r="V7" s="313" t="s">
        <v>78</v>
      </c>
      <c r="W7" s="59" t="s">
        <v>79</v>
      </c>
      <c r="X7" s="59" t="s">
        <v>80</v>
      </c>
      <c r="Y7" s="60" t="s">
        <v>81</v>
      </c>
    </row>
    <row r="8" spans="1:26" ht="13.5" thickBot="1">
      <c r="A8" s="61" t="s">
        <v>26</v>
      </c>
      <c r="B8" s="62" t="s">
        <v>25</v>
      </c>
      <c r="C8" s="63" t="s">
        <v>82</v>
      </c>
      <c r="D8" s="64" t="s">
        <v>79</v>
      </c>
      <c r="E8" s="65" t="s">
        <v>83</v>
      </c>
      <c r="F8" s="65" t="s">
        <v>84</v>
      </c>
      <c r="G8" s="312" t="s">
        <v>85</v>
      </c>
      <c r="H8" s="361" t="s">
        <v>86</v>
      </c>
      <c r="I8" s="362"/>
      <c r="J8" s="363"/>
      <c r="K8" s="361" t="s">
        <v>86</v>
      </c>
      <c r="L8" s="362"/>
      <c r="M8" s="363"/>
      <c r="N8" s="66" t="s">
        <v>17</v>
      </c>
      <c r="O8" s="67" t="s">
        <v>18</v>
      </c>
      <c r="P8" s="62" t="s">
        <v>87</v>
      </c>
      <c r="Q8" s="63" t="s">
        <v>21</v>
      </c>
      <c r="R8" s="62" t="s">
        <v>31</v>
      </c>
      <c r="S8" s="68" t="s">
        <v>21</v>
      </c>
      <c r="T8" s="68" t="s">
        <v>21</v>
      </c>
      <c r="U8" s="68" t="s">
        <v>21</v>
      </c>
      <c r="V8" s="65" t="s">
        <v>88</v>
      </c>
      <c r="W8" s="69" t="s">
        <v>89</v>
      </c>
      <c r="X8" s="69"/>
      <c r="Y8" s="70"/>
    </row>
    <row r="9" spans="1:26" ht="18" customHeight="1">
      <c r="A9" s="185">
        <v>55.01</v>
      </c>
      <c r="B9" s="186" t="s">
        <v>99</v>
      </c>
      <c r="C9" s="187" t="s">
        <v>32</v>
      </c>
      <c r="D9" s="262" t="s">
        <v>137</v>
      </c>
      <c r="E9" s="187" t="s">
        <v>153</v>
      </c>
      <c r="F9" s="189"/>
      <c r="G9" s="212" t="s">
        <v>154</v>
      </c>
      <c r="H9" s="213">
        <v>-70</v>
      </c>
      <c r="I9" s="214">
        <v>71</v>
      </c>
      <c r="J9" s="214">
        <v>73</v>
      </c>
      <c r="K9" s="213">
        <v>88</v>
      </c>
      <c r="L9" s="214">
        <v>92</v>
      </c>
      <c r="M9" s="214">
        <v>95</v>
      </c>
      <c r="N9" s="209">
        <f>IF(MAX(H9:J9)&gt;0,IF(MAX(H9:J9)&lt;0,0,TRUNC(MAX(H9:J9)/1)*1),"")</f>
        <v>73</v>
      </c>
      <c r="O9" s="210">
        <f>IF(MAX(K9:M9)&gt;0,IF(MAX(K9:M9)&lt;0,0,TRUNC(MAX(K9:M9)/1)*1),"")</f>
        <v>95</v>
      </c>
      <c r="P9" s="211">
        <f>IF(N9="","",IF(O9="","",IF(SUM(N9:O9)=0,"",SUM(N9:O9))))</f>
        <v>168</v>
      </c>
      <c r="Q9" s="223">
        <f>IF(P9="","",IF(A9="","",IF(OR(C9="UK",C9="JK",C9="SK",C9="K1",C9="K2",C9="K3",C9="K4",C9="K5",C9="K6",C9="K7",C9="K8",C9="K9",C9="K10"),IF(A9&gt;153.655,P9,IF(A9&lt;28,10^(0.783497476*LOG10(28/153.655)^2)*P9,10^(0.783497476*LOG10(A9/153.655)^2)*P9)),IF(A9&gt;175.508,P9,IF(A9&lt;32,10^(0.75194503*LOG10(32/175.508)^2)*P9,10^(0.75194503*LOG10(A9/175.508)^2)*P9)))))</f>
        <v>240.56524997795771</v>
      </c>
      <c r="R9" s="162" t="str">
        <f>IF(OR(E9="",A9="",Z9="",Q9=""),"",IF(OR(C9="UM",C9="JM",C9="SM",C9="UK",C9="JK",C9="SK"),"",Q9*(IF(ABS(1900-YEAR((Z9+1)-E9))&lt;29,0,(VLOOKUP((YEAR(Z9)-YEAR(E9)),'Meltzer-Malone'!$A$3:$B$63,2))))))</f>
        <v/>
      </c>
      <c r="S9" s="163">
        <f>IF('K5'!G7="","",'K5'!G7)</f>
        <v>6.92</v>
      </c>
      <c r="T9" s="163">
        <f>IF('K5'!K7="","",'K5'!K7)</f>
        <v>10.56</v>
      </c>
      <c r="U9" s="163">
        <f>IF('K5'!N7="","",'K5'!N7)</f>
        <v>6.75</v>
      </c>
      <c r="V9" s="163"/>
      <c r="W9" s="164"/>
      <c r="X9" s="195"/>
      <c r="Y9" s="196" t="s">
        <v>42</v>
      </c>
      <c r="Z9" s="225">
        <f>U5</f>
        <v>43358</v>
      </c>
    </row>
    <row r="10" spans="1:26" ht="18" customHeight="1">
      <c r="A10" s="165"/>
      <c r="B10" s="166"/>
      <c r="C10" s="167"/>
      <c r="D10" s="168"/>
      <c r="E10" s="215"/>
      <c r="F10" s="193"/>
      <c r="G10" s="216" t="s">
        <v>5</v>
      </c>
      <c r="H10" s="338"/>
      <c r="I10" s="339"/>
      <c r="J10" s="340"/>
      <c r="K10" s="341"/>
      <c r="L10" s="342"/>
      <c r="M10" s="343"/>
      <c r="N10" s="167"/>
      <c r="O10" s="171"/>
      <c r="P10" s="334">
        <f>IF(Q9="","",Q9*1.2)</f>
        <v>288.67829997354926</v>
      </c>
      <c r="Q10" s="334"/>
      <c r="R10" s="222"/>
      <c r="S10" s="172">
        <f>IF(S9="","",S9*20)</f>
        <v>138.4</v>
      </c>
      <c r="T10" s="172">
        <f>IF(T9="","",T9*11)</f>
        <v>116.16000000000001</v>
      </c>
      <c r="U10" s="173">
        <f>IF(U9="","",IF((80+(8-ROUNDUP(U9,1))*40)&lt;0,0,80+(8-ROUNDUP(U9,1))*40))</f>
        <v>128</v>
      </c>
      <c r="V10" s="237">
        <f>IF(SUM(S10,T10,U10)&gt;0,SUM(S10,T10,U10),"")</f>
        <v>382.56</v>
      </c>
      <c r="W10" s="238">
        <f>IF(OR(P10="",S10="",T10="",U10=""),"",SUM(P10,S10,T10,U10))</f>
        <v>671.23829997354926</v>
      </c>
      <c r="X10" s="239">
        <v>4</v>
      </c>
      <c r="Y10" s="240"/>
      <c r="Z10" s="225"/>
    </row>
    <row r="11" spans="1:26" ht="18" customHeight="1">
      <c r="A11" s="185">
        <v>62.72</v>
      </c>
      <c r="B11" s="186" t="s">
        <v>109</v>
      </c>
      <c r="C11" s="187" t="s">
        <v>32</v>
      </c>
      <c r="D11" s="206" t="s">
        <v>137</v>
      </c>
      <c r="E11" s="188">
        <v>33103</v>
      </c>
      <c r="F11" s="189"/>
      <c r="G11" s="190" t="s">
        <v>155</v>
      </c>
      <c r="H11" s="191">
        <v>-59</v>
      </c>
      <c r="I11" s="192">
        <v>59</v>
      </c>
      <c r="J11" s="192">
        <v>-62</v>
      </c>
      <c r="K11" s="191">
        <v>72</v>
      </c>
      <c r="L11" s="192">
        <v>76</v>
      </c>
      <c r="M11" s="192">
        <v>-80</v>
      </c>
      <c r="N11" s="209">
        <f>IF(MAX(H11:J11)&gt;0,IF(MAX(H11:J11)&lt;0,0,TRUNC(MAX(H11:J11)/1)*1),"")</f>
        <v>59</v>
      </c>
      <c r="O11" s="210">
        <f>IF(MAX(K11:M11)&gt;0,IF(MAX(K11:M11)&lt;0,0,TRUNC(MAX(K11:M11)/1)*1),"")</f>
        <v>76</v>
      </c>
      <c r="P11" s="211">
        <f>IF(N11="","",IF(O11="","",IF(SUM(N11:O11)=0,"",SUM(N11:O11))))</f>
        <v>135</v>
      </c>
      <c r="Q11" s="223">
        <f>IF(P11="","",IF(A11="","",IF(OR(C11="UK",C11="JK",C11="SK",C11="K1",C11="K2",C11="K3",C11="K4",C11="K5",C11="K6",C11="K7",C11="K8",C11="K9",C11="K10"),IF(A11&gt;153.655,P11,IF(A11&lt;28,10^(0.783497476*LOG10(28/153.655)^2)*P11,10^(0.783497476*LOG10(A11/153.655)^2)*P11)),IF(A11&gt;175.508,P11,IF(A11&lt;32,10^(0.75194503*LOG10(32/175.508)^2)*P11,10^(0.75194503*LOG10(A11/175.508)^2)*P11)))))</f>
        <v>177.41042597219936</v>
      </c>
      <c r="R11" s="224" t="str">
        <f>IF(OR(E11="",A11="",Z11="",Q11=""),"",IF(OR(C11="UM",C11="JM",C11="SM",C11="UK",C11="JK",C11="SK"),"",Q11*(IF(ABS(1900-YEAR((Z11+1)-E11))&lt;29,0,(VLOOKUP((YEAR(Z11)-YEAR(E11)),'Meltzer-Malone'!$A$3:$B$63,2))))))</f>
        <v/>
      </c>
      <c r="S11" s="174">
        <f>IF('K5'!G9="","",'K5'!G9)</f>
        <v>6.42</v>
      </c>
      <c r="T11" s="174">
        <f>IF('K5'!K9="","",'K5'!K9)</f>
        <v>10.82</v>
      </c>
      <c r="U11" s="174">
        <f>IF('K5'!N9="","",'K5'!N9)</f>
        <v>7.23</v>
      </c>
      <c r="V11" s="163"/>
      <c r="W11" s="164"/>
      <c r="X11" s="175"/>
      <c r="Y11" s="176"/>
      <c r="Z11" s="225">
        <f>U5</f>
        <v>43358</v>
      </c>
    </row>
    <row r="12" spans="1:26" ht="18" customHeight="1">
      <c r="A12" s="165"/>
      <c r="B12" s="166"/>
      <c r="C12" s="167"/>
      <c r="D12" s="168"/>
      <c r="E12" s="169"/>
      <c r="F12" s="193"/>
      <c r="G12" s="170" t="s">
        <v>94</v>
      </c>
      <c r="H12" s="338"/>
      <c r="I12" s="339"/>
      <c r="J12" s="340"/>
      <c r="K12" s="341"/>
      <c r="L12" s="342"/>
      <c r="M12" s="343"/>
      <c r="N12" s="167"/>
      <c r="O12" s="171"/>
      <c r="P12" s="334">
        <f>IF(Q11="","",Q11*1.2)</f>
        <v>212.89251116663922</v>
      </c>
      <c r="Q12" s="334"/>
      <c r="R12" s="222"/>
      <c r="S12" s="197">
        <f>IF(S11="","",S11*20)</f>
        <v>128.4</v>
      </c>
      <c r="T12" s="172">
        <f>IF(T11="","",T11*11)</f>
        <v>119.02000000000001</v>
      </c>
      <c r="U12" s="173">
        <f>IF(U11="","",IF((80+(8-ROUNDUP(U11,1))*40)&lt;0,0,80+(8-ROUNDUP(U11,1))*40))</f>
        <v>108</v>
      </c>
      <c r="V12" s="237">
        <f>IF(SUM(S12,T12,U12)&gt;0,SUM(S12,T12,U12),"")</f>
        <v>355.42</v>
      </c>
      <c r="W12" s="238">
        <f>IF(OR(P12="",S12="",T12="",U12=""),"",SUM(P12,S12,T12,U12))</f>
        <v>568.31251116663918</v>
      </c>
      <c r="X12" s="239">
        <v>14</v>
      </c>
      <c r="Y12" s="240"/>
      <c r="Z12" s="225"/>
    </row>
    <row r="13" spans="1:26" ht="18" customHeight="1">
      <c r="A13" s="185">
        <v>58.79</v>
      </c>
      <c r="B13" s="186" t="s">
        <v>109</v>
      </c>
      <c r="C13" s="187" t="s">
        <v>32</v>
      </c>
      <c r="D13" s="206" t="s">
        <v>137</v>
      </c>
      <c r="E13" s="188">
        <v>35232</v>
      </c>
      <c r="F13" s="189"/>
      <c r="G13" s="190" t="s">
        <v>156</v>
      </c>
      <c r="H13" s="191">
        <v>-69</v>
      </c>
      <c r="I13" s="192">
        <v>-69</v>
      </c>
      <c r="J13" s="192">
        <v>-70</v>
      </c>
      <c r="K13" s="191"/>
      <c r="L13" s="192"/>
      <c r="M13" s="192"/>
      <c r="N13" s="209" t="str">
        <f>IF(MAX(H13:J13)&gt;0,IF(MAX(H13:J13)&lt;0,0,TRUNC(MAX(H13:J13)/1)*1),"")</f>
        <v/>
      </c>
      <c r="O13" s="210" t="str">
        <f>IF(MAX(K13:M13)&gt;0,IF(MAX(K13:M13)&lt;0,0,TRUNC(MAX(K13:M13)/1)*1),"")</f>
        <v/>
      </c>
      <c r="P13" s="211" t="str">
        <f>IF(N13="","",IF(O13="","",IF(SUM(N13:O13)=0,"",SUM(N13:O13))))</f>
        <v/>
      </c>
      <c r="Q13" s="223" t="str">
        <f>IF(P13="","",IF(A13="","",IF(OR(C13="UK",C13="JK",C13="SK",C13="K1",C13="K2",C13="K3",C13="K4",C13="K5",C13="K6",C13="K7",C13="K8",C13="K9",C13="K10"),IF(A13&gt;153.655,P13,IF(A13&lt;28,10^(0.783497476*LOG10(28/153.655)^2)*P13,10^(0.783497476*LOG10(A13/153.655)^2)*P13)),IF(A13&gt;175.508,P13,IF(A13&lt;32,10^(0.75194503*LOG10(32/175.508)^2)*P13,10^(0.75194503*LOG10(A13/175.508)^2)*P13)))))</f>
        <v/>
      </c>
      <c r="R13" s="224" t="str">
        <f>IF(OR(E13="",A13="",Z13="",Q13=""),"",IF(OR(C13="UM",C13="JM",C13="SM",C13="UK",C13="JK",C13="SK"),"",Q13*(IF(ABS(1900-YEAR((Z13+1)-E13))&lt;29,0,(VLOOKUP((YEAR(Z13)-YEAR(E13)),'Meltzer-Malone'!$A$3:$B$63,2))))))</f>
        <v/>
      </c>
      <c r="S13" s="174" t="str">
        <f>IF('K5'!G11="","",'K5'!G11)</f>
        <v/>
      </c>
      <c r="T13" s="174" t="str">
        <f>IF('K5'!K11="","",'K5'!K11)</f>
        <v/>
      </c>
      <c r="U13" s="174" t="str">
        <f>IF('K5'!N11="","",'K5'!N11)</f>
        <v/>
      </c>
      <c r="V13" s="163"/>
      <c r="W13" s="164"/>
      <c r="X13" s="175"/>
      <c r="Y13" s="176"/>
      <c r="Z13" s="225">
        <f>U5</f>
        <v>43358</v>
      </c>
    </row>
    <row r="14" spans="1:26" ht="18" customHeight="1">
      <c r="A14" s="165"/>
      <c r="B14" s="166"/>
      <c r="C14" s="167"/>
      <c r="D14" s="168"/>
      <c r="E14" s="169"/>
      <c r="F14" s="193"/>
      <c r="G14" s="170" t="s">
        <v>127</v>
      </c>
      <c r="H14" s="338"/>
      <c r="I14" s="339"/>
      <c r="J14" s="340"/>
      <c r="K14" s="341"/>
      <c r="L14" s="342"/>
      <c r="M14" s="343"/>
      <c r="N14" s="167"/>
      <c r="O14" s="171"/>
      <c r="P14" s="334" t="str">
        <f>IF(Q13="","",Q13*1.2)</f>
        <v/>
      </c>
      <c r="Q14" s="334"/>
      <c r="R14" s="222"/>
      <c r="S14" s="197" t="str">
        <f>IF(S13="","",S13*20)</f>
        <v/>
      </c>
      <c r="T14" s="172" t="str">
        <f>IF(T13="","",T13*11)</f>
        <v/>
      </c>
      <c r="U14" s="173" t="str">
        <f>IF(U13="","",IF((80+(8-ROUNDUP(U13,1))*40)&lt;0,0,80+(8-ROUNDUP(U13,1))*40))</f>
        <v/>
      </c>
      <c r="V14" s="237" t="str">
        <f>IF(SUM(S14,T14,U14)&gt;0,SUM(S14,T14,U14),"")</f>
        <v/>
      </c>
      <c r="W14" s="238" t="str">
        <f>IF(OR(P14="",S14="",T14="",U14=""),"",SUM(P14,S14,T14,U14))</f>
        <v/>
      </c>
      <c r="X14" s="239"/>
      <c r="Y14" s="240"/>
      <c r="Z14" s="225"/>
    </row>
    <row r="15" spans="1:26" ht="18" customHeight="1">
      <c r="A15" s="185">
        <v>63.51</v>
      </c>
      <c r="B15" s="186" t="s">
        <v>128</v>
      </c>
      <c r="C15" s="187" t="s">
        <v>32</v>
      </c>
      <c r="D15" s="206" t="s">
        <v>137</v>
      </c>
      <c r="E15" s="188">
        <v>35388</v>
      </c>
      <c r="F15" s="189"/>
      <c r="G15" s="190" t="s">
        <v>157</v>
      </c>
      <c r="H15" s="191">
        <v>63</v>
      </c>
      <c r="I15" s="192">
        <v>66</v>
      </c>
      <c r="J15" s="192">
        <v>-70</v>
      </c>
      <c r="K15" s="191">
        <v>81</v>
      </c>
      <c r="L15" s="192">
        <v>-85</v>
      </c>
      <c r="M15" s="192"/>
      <c r="N15" s="209">
        <f>IF(MAX(H15:J15)&gt;0,IF(MAX(H15:J15)&lt;0,0,TRUNC(MAX(H15:J15)/1)*1),"")</f>
        <v>66</v>
      </c>
      <c r="O15" s="210">
        <f>IF(MAX(K15:M15)&gt;0,IF(MAX(K15:M15)&lt;0,0,TRUNC(MAX(K15:M15)/1)*1),"")</f>
        <v>81</v>
      </c>
      <c r="P15" s="211">
        <f>IF(N15="","",IF(O15="","",IF(SUM(N15:O15)=0,"",SUM(N15:O15))))</f>
        <v>147</v>
      </c>
      <c r="Q15" s="223">
        <f>IF(P15="","",IF(A15="","",IF(OR(C15="UK",C15="JK",C15="SK",C15="K1",C15="K2",C15="K3",C15="K4",C15="K5",C15="K6",C15="K7",C15="K8",C15="K9",C15="K10"),IF(A15&gt;153.655,P15,IF(A15&lt;28,10^(0.783497476*LOG10(28/153.655)^2)*P15,10^(0.783497476*LOG10(A15/153.655)^2)*P15)),IF(A15&gt;175.508,P15,IF(A15&lt;32,10^(0.75194503*LOG10(32/175.508)^2)*P15,10^(0.75194503*LOG10(A15/175.508)^2)*P15)))))</f>
        <v>191.72160126104208</v>
      </c>
      <c r="R15" s="224" t="str">
        <f>IF(OR(E15="",A15="",Z15="",Q15=""),"",IF(OR(C15="UM",C15="JM",C15="SM",C15="UK",C15="JK",C15="SK"),"",Q15*(IF(ABS(1900-YEAR((Z15+1)-E15))&lt;29,0,(VLOOKUP((YEAR(Z15)-YEAR(E15)),'Meltzer-Malone'!$A$3:$B$63,2))))))</f>
        <v/>
      </c>
      <c r="S15" s="174">
        <f>IF('K5'!G13="","",'K5'!G13)</f>
        <v>7.44</v>
      </c>
      <c r="T15" s="174">
        <f>IF('K5'!K13="","",'K5'!K13)</f>
        <v>13.25</v>
      </c>
      <c r="U15" s="174">
        <f>IF('K5'!N13="","",'K5'!N13)</f>
        <v>6.81</v>
      </c>
      <c r="V15" s="163"/>
      <c r="W15" s="164"/>
      <c r="X15" s="175"/>
      <c r="Y15" s="176"/>
      <c r="Z15" s="225">
        <f>U5</f>
        <v>43358</v>
      </c>
    </row>
    <row r="16" spans="1:26" ht="18" customHeight="1">
      <c r="A16" s="165"/>
      <c r="B16" s="166"/>
      <c r="C16" s="167"/>
      <c r="D16" s="168"/>
      <c r="E16" s="169"/>
      <c r="F16" s="193"/>
      <c r="G16" s="170" t="s">
        <v>41</v>
      </c>
      <c r="H16" s="338"/>
      <c r="I16" s="339"/>
      <c r="J16" s="340"/>
      <c r="K16" s="341"/>
      <c r="L16" s="342"/>
      <c r="M16" s="343"/>
      <c r="N16" s="167"/>
      <c r="O16" s="171"/>
      <c r="P16" s="334">
        <f>IF(Q15="","",Q15*1.2)</f>
        <v>230.06592151325049</v>
      </c>
      <c r="Q16" s="334"/>
      <c r="R16" s="222"/>
      <c r="S16" s="197">
        <f>IF(S15="","",S15*20)</f>
        <v>148.80000000000001</v>
      </c>
      <c r="T16" s="172">
        <f>IF(T15="","",T15*11)</f>
        <v>145.75</v>
      </c>
      <c r="U16" s="173">
        <f>IF(U15="","",IF((80+(8-ROUNDUP(U15,1))*40)&lt;0,0,80+(8-ROUNDUP(U15,1))*40))</f>
        <v>124.00000000000003</v>
      </c>
      <c r="V16" s="237">
        <f>IF(SUM(S16,T16,U16)&gt;0,SUM(S16,T16,U16),"")</f>
        <v>418.55000000000007</v>
      </c>
      <c r="W16" s="238">
        <f>IF(OR(P16="",S16="",T16="",U16=""),"",SUM(P16,S16,T16,U16))</f>
        <v>648.61592151325044</v>
      </c>
      <c r="X16" s="239">
        <v>8</v>
      </c>
      <c r="Y16" s="240"/>
      <c r="Z16" s="225"/>
    </row>
    <row r="17" spans="1:29" ht="18" customHeight="1">
      <c r="A17" s="185">
        <v>67.98</v>
      </c>
      <c r="B17" s="186" t="s">
        <v>128</v>
      </c>
      <c r="C17" s="187" t="s">
        <v>32</v>
      </c>
      <c r="D17" s="206" t="s">
        <v>137</v>
      </c>
      <c r="E17" s="188">
        <v>33491</v>
      </c>
      <c r="F17" s="189"/>
      <c r="G17" s="190" t="s">
        <v>158</v>
      </c>
      <c r="H17" s="191">
        <v>-65</v>
      </c>
      <c r="I17" s="192">
        <v>67</v>
      </c>
      <c r="J17" s="192">
        <v>-70</v>
      </c>
      <c r="K17" s="191">
        <v>81</v>
      </c>
      <c r="L17" s="192">
        <v>85</v>
      </c>
      <c r="M17" s="192">
        <v>87</v>
      </c>
      <c r="N17" s="209">
        <f>IF(MAX(H17:J17)&gt;0,IF(MAX(H17:J17)&lt;0,0,TRUNC(MAX(H17:J17)/1)*1),"")</f>
        <v>67</v>
      </c>
      <c r="O17" s="210">
        <f>IF(MAX(K17:M17)&gt;0,IF(MAX(K17:M17)&lt;0,0,TRUNC(MAX(K17:M17)/1)*1),"")</f>
        <v>87</v>
      </c>
      <c r="P17" s="211">
        <f>IF(N17="","",IF(O17="","",IF(SUM(N17:O17)=0,"",SUM(N17:O17))))</f>
        <v>154</v>
      </c>
      <c r="Q17" s="223">
        <f>IF(P17="","",IF(A17="","",IF(OR(C17="UK",C17="JK",C17="SK",C17="K1",C17="K2",C17="K3",C17="K4",C17="K5",C17="K6",C17="K7",C17="K8",C17="K9",C17="K10"),IF(A17&gt;153.655,P17,IF(A17&lt;28,10^(0.783497476*LOG10(28/153.655)^2)*P17,10^(0.783497476*LOG10(A17/153.655)^2)*P17)),IF(A17&gt;175.508,P17,IF(A17&lt;32,10^(0.75194503*LOG10(32/175.508)^2)*P17,10^(0.75194503*LOG10(A17/175.508)^2)*P17)))))</f>
        <v>193.10669806501227</v>
      </c>
      <c r="R17" s="224" t="str">
        <f>IF(OR(E17="",A17="",Z17="",Q17=""),"",IF(OR(C17="UM",C17="JM",C17="SM",C17="UK",C17="JK",C17="SK"),"",Q17*(IF(ABS(1900-YEAR((Z17+1)-E17))&lt;29,0,(VLOOKUP((YEAR(Z17)-YEAR(E17)),'Meltzer-Malone'!$A$3:$B$63,2))))))</f>
        <v/>
      </c>
      <c r="S17" s="174">
        <f>IF('K5'!G15="","",'K5'!G15)</f>
        <v>6.47</v>
      </c>
      <c r="T17" s="174">
        <f>IF('K5'!K15="","",'K5'!K15)</f>
        <v>12.17</v>
      </c>
      <c r="U17" s="174">
        <f>IF('K5'!N15="","",'K5'!N15)</f>
        <v>7.37</v>
      </c>
      <c r="V17" s="163"/>
      <c r="W17" s="164"/>
      <c r="X17" s="175"/>
      <c r="Y17" s="176"/>
      <c r="Z17" s="225">
        <f>U5</f>
        <v>43358</v>
      </c>
    </row>
    <row r="18" spans="1:29" ht="18" customHeight="1">
      <c r="A18" s="165"/>
      <c r="B18" s="166"/>
      <c r="C18" s="167"/>
      <c r="D18" s="168"/>
      <c r="E18" s="169"/>
      <c r="F18" s="193"/>
      <c r="G18" s="170" t="s">
        <v>124</v>
      </c>
      <c r="H18" s="338"/>
      <c r="I18" s="339"/>
      <c r="J18" s="340"/>
      <c r="K18" s="341"/>
      <c r="L18" s="342"/>
      <c r="M18" s="343"/>
      <c r="N18" s="167"/>
      <c r="O18" s="171"/>
      <c r="P18" s="334">
        <f>IF(Q17="","",Q17*1.2)</f>
        <v>231.72803767801472</v>
      </c>
      <c r="Q18" s="334"/>
      <c r="R18" s="222"/>
      <c r="S18" s="197">
        <f>IF(S17="","",S17*20)</f>
        <v>129.4</v>
      </c>
      <c r="T18" s="172">
        <f>IF(T17="","",T17*11)</f>
        <v>133.87</v>
      </c>
      <c r="U18" s="173">
        <f>IF(U17="","",IF((80+(8-ROUNDUP(U17,1))*40)&lt;0,0,80+(8-ROUNDUP(U17,1))*40))</f>
        <v>104.00000000000003</v>
      </c>
      <c r="V18" s="237">
        <f>IF(SUM(S18,T18,U18)&gt;0,SUM(S18,T18,U18),"")</f>
        <v>367.27</v>
      </c>
      <c r="W18" s="238">
        <f>IF(OR(P18="",S18="",T18="",U18=""),"",SUM(P18,S18,T18,U18))</f>
        <v>598.99803767801473</v>
      </c>
      <c r="X18" s="239">
        <v>11</v>
      </c>
      <c r="Y18" s="240"/>
      <c r="Z18" s="225"/>
      <c r="AC18" t="s">
        <v>42</v>
      </c>
    </row>
    <row r="19" spans="1:29" ht="18" customHeight="1">
      <c r="A19" s="185">
        <v>63.33</v>
      </c>
      <c r="B19" s="186" t="s">
        <v>128</v>
      </c>
      <c r="C19" s="187" t="s">
        <v>32</v>
      </c>
      <c r="D19" s="206" t="s">
        <v>137</v>
      </c>
      <c r="E19" s="188">
        <v>35431</v>
      </c>
      <c r="F19" s="189"/>
      <c r="G19" s="190" t="s">
        <v>159</v>
      </c>
      <c r="H19" s="191">
        <v>73</v>
      </c>
      <c r="I19" s="192">
        <v>76</v>
      </c>
      <c r="J19" s="192">
        <v>-80</v>
      </c>
      <c r="K19" s="191">
        <v>86</v>
      </c>
      <c r="L19" s="192">
        <v>90</v>
      </c>
      <c r="M19" s="192">
        <v>-93</v>
      </c>
      <c r="N19" s="209">
        <f>IF(MAX(H19:J19)&gt;0,IF(MAX(H19:J19)&lt;0,0,TRUNC(MAX(H19:J19)/1)*1),"")</f>
        <v>76</v>
      </c>
      <c r="O19" s="210">
        <f>IF(MAX(K19:M19)&gt;0,IF(MAX(K19:M19)&lt;0,0,TRUNC(MAX(K19:M19)/1)*1),"")</f>
        <v>90</v>
      </c>
      <c r="P19" s="211">
        <f>IF(N19="","",IF(O19="","",IF(SUM(N19:O19)=0,"",SUM(N19:O19))))</f>
        <v>166</v>
      </c>
      <c r="Q19" s="223">
        <f>IF(P19="","",IF(A19="","",IF(OR(C19="UK",C19="JK",C19="SK",C19="K1",C19="K2",C19="K3",C19="K4",C19="K5",C19="K6",C19="K7",C19="K8",C19="K9",C19="K10"),IF(A19&gt;153.655,P19,IF(A19&lt;28,10^(0.783497476*LOG10(28/153.655)^2)*P19,10^(0.783497476*LOG10(A19/153.655)^2)*P19)),IF(A19&gt;175.508,P19,IF(A19&lt;32,10^(0.75194503*LOG10(32/175.508)^2)*P19,10^(0.75194503*LOG10(A19/175.508)^2)*P19)))))</f>
        <v>216.87231885953526</v>
      </c>
      <c r="R19" s="224" t="str">
        <f>IF(OR(E19="",A19="",Z19="",Q19=""),"",IF(OR(C19="UM",C19="JM",C19="SM",C19="UK",C19="JK",C19="SK"),"",Q19*(IF(ABS(1900-YEAR((Z19+1)-E19))&lt;29,0,(VLOOKUP((YEAR(Z19)-YEAR(E19)),'Meltzer-Malone'!$A$3:$B$63,2))))))</f>
        <v/>
      </c>
      <c r="S19" s="174">
        <f>IF('K5'!G17="","",'K5'!G17)</f>
        <v>7.06</v>
      </c>
      <c r="T19" s="174">
        <f>IF('K5'!K17="","",'K5'!K17)</f>
        <v>13.49</v>
      </c>
      <c r="U19" s="174">
        <f>IF('K5'!N17="","",'K5'!N17)</f>
        <v>7.2</v>
      </c>
      <c r="V19" s="163"/>
      <c r="W19" s="164"/>
      <c r="X19" s="175"/>
      <c r="Y19" s="176"/>
      <c r="Z19" s="225">
        <f>U5</f>
        <v>43358</v>
      </c>
    </row>
    <row r="20" spans="1:29" ht="18" customHeight="1">
      <c r="A20" s="165"/>
      <c r="B20" s="166"/>
      <c r="C20" s="167"/>
      <c r="D20" s="168"/>
      <c r="E20" s="169"/>
      <c r="F20" s="193"/>
      <c r="G20" s="170" t="s">
        <v>124</v>
      </c>
      <c r="H20" s="338"/>
      <c r="I20" s="339"/>
      <c r="J20" s="340"/>
      <c r="K20" s="341"/>
      <c r="L20" s="342"/>
      <c r="M20" s="343"/>
      <c r="N20" s="167"/>
      <c r="O20" s="171"/>
      <c r="P20" s="334">
        <f>IF(Q19="","",Q19*1.2)</f>
        <v>260.24678263144227</v>
      </c>
      <c r="Q20" s="334"/>
      <c r="R20" s="222"/>
      <c r="S20" s="197">
        <f>IF(S19="","",S19*20)</f>
        <v>141.19999999999999</v>
      </c>
      <c r="T20" s="172">
        <f>IF(T19="","",T19*11)</f>
        <v>148.39000000000001</v>
      </c>
      <c r="U20" s="173">
        <f>IF(U19="","",IF((80+(8-ROUNDUP(U19,1))*40)&lt;0,0,80+(8-ROUNDUP(U19,1))*40))</f>
        <v>112</v>
      </c>
      <c r="V20" s="237">
        <f>IF(SUM(S20,T20,U20)&gt;0,SUM(S20,T20,U20),"")</f>
        <v>401.59000000000003</v>
      </c>
      <c r="W20" s="238">
        <f>IF(OR(P20="",S20="",T20="",U20=""),"",SUM(P20,S20,T20,U20))</f>
        <v>661.83678263144225</v>
      </c>
      <c r="X20" s="239">
        <v>6</v>
      </c>
      <c r="Y20" s="240"/>
      <c r="Z20" s="225"/>
    </row>
    <row r="21" spans="1:29" ht="18" customHeight="1" thickBot="1">
      <c r="A21" s="185">
        <v>76.319999999999993</v>
      </c>
      <c r="B21" s="299">
        <v>90</v>
      </c>
      <c r="C21" s="187" t="s">
        <v>32</v>
      </c>
      <c r="D21" s="206" t="s">
        <v>137</v>
      </c>
      <c r="E21" s="188">
        <v>31888</v>
      </c>
      <c r="F21" s="189"/>
      <c r="G21" s="190" t="s">
        <v>160</v>
      </c>
      <c r="H21" s="191">
        <v>66</v>
      </c>
      <c r="I21" s="192">
        <v>68</v>
      </c>
      <c r="J21" s="192">
        <v>70</v>
      </c>
      <c r="K21" s="191">
        <v>84</v>
      </c>
      <c r="L21" s="192">
        <v>86</v>
      </c>
      <c r="M21" s="192">
        <v>88</v>
      </c>
      <c r="N21" s="209">
        <f>IF(MAX(H21:J21)&gt;0,IF(MAX(H21:J21)&lt;0,0,TRUNC(MAX(H21:J21)/1)*1),"")</f>
        <v>70</v>
      </c>
      <c r="O21" s="210">
        <f>IF(MAX(K21:M21)&gt;0,IF(MAX(K21:M21)&lt;0,0,TRUNC(MAX(K21:M21)/1)*1),"")</f>
        <v>88</v>
      </c>
      <c r="P21" s="211">
        <f>IF(N21="","",IF(O21="","",IF(SUM(N21:O21)=0,"",SUM(N21:O21))))</f>
        <v>158</v>
      </c>
      <c r="Q21" s="223">
        <f>IF(P21="","",IF(A21="","",IF(OR(C21="UK",C21="JK",C21="SK",C21="K1",C21="K2",C21="K3",C21="K4",C21="K5",C21="K6",C21="K7",C21="K8",C21="K9",C21="K10"),IF(A21&gt;153.655,P21,IF(A21&lt;28,10^(0.783497476*LOG10(28/153.655)^2)*P21,10^(0.783497476*LOG10(A21/153.655)^2)*P21)),IF(A21&gt;175.508,P21,IF(A21&lt;32,10^(0.75194503*LOG10(32/175.508)^2)*P21,10^(0.75194503*LOG10(A21/175.508)^2)*P21)))))</f>
        <v>186.64705003366046</v>
      </c>
      <c r="R21" s="224" t="str">
        <f>IF(OR(E21="",A21="",Z21="",Q21=""),"",IF(OR(C21="UM",C21="JM",C21="SM",C21="UK",C21="JK",C21="SK"),"",Q21*(IF(ABS(1900-YEAR((Z21+1)-E21))&lt;29,0,(VLOOKUP((YEAR(Z21)-YEAR(E21)),'Meltzer-Malone'!$A$3:$B$63,2))))))</f>
        <v/>
      </c>
      <c r="S21" s="174">
        <f>IF('K5'!G19="","",'K5'!G19)</f>
        <v>6.31</v>
      </c>
      <c r="T21" s="174">
        <f>IF('K5'!K19="","",'K5'!K19)</f>
        <v>13.37</v>
      </c>
      <c r="U21" s="174">
        <f>IF('K5'!N19="","",'K5'!N19)</f>
        <v>7.29</v>
      </c>
      <c r="V21" s="163"/>
      <c r="W21" s="164"/>
      <c r="X21" s="175"/>
      <c r="Y21" s="176"/>
      <c r="Z21" s="225">
        <f>U5</f>
        <v>43358</v>
      </c>
    </row>
    <row r="22" spans="1:29" ht="18" customHeight="1">
      <c r="A22" s="165"/>
      <c r="B22" s="166"/>
      <c r="C22" s="167"/>
      <c r="D22" s="168"/>
      <c r="E22" s="169"/>
      <c r="F22" s="193"/>
      <c r="G22" s="170" t="s">
        <v>131</v>
      </c>
      <c r="H22" s="338"/>
      <c r="I22" s="339"/>
      <c r="J22" s="340"/>
      <c r="K22" s="341"/>
      <c r="L22" s="342"/>
      <c r="M22" s="343"/>
      <c r="N22" s="167"/>
      <c r="O22" s="171"/>
      <c r="P22" s="334">
        <f>IF(Q21="","",Q21*1.2)</f>
        <v>223.97646004039254</v>
      </c>
      <c r="Q22" s="334"/>
      <c r="R22" s="222"/>
      <c r="S22" s="197">
        <f>IF(S21="","",S21*20)</f>
        <v>126.19999999999999</v>
      </c>
      <c r="T22" s="172">
        <f>IF(T21="","",T21*11)</f>
        <v>147.07</v>
      </c>
      <c r="U22" s="173">
        <f>IF(U21="","",IF((80+(8-ROUNDUP(U21,1))*40)&lt;0,0,80+(8-ROUNDUP(U21,1))*40))</f>
        <v>108</v>
      </c>
      <c r="V22" s="237">
        <f>IF(SUM(S22,T22,U22)&gt;0,SUM(S22,T22,U22),"")</f>
        <v>381.27</v>
      </c>
      <c r="W22" s="238">
        <f>IF(OR(P22="",S22="",T22="",U22=""),"",SUM(P22,S22,T22,U22))</f>
        <v>605.24646004039255</v>
      </c>
      <c r="X22" s="239">
        <v>10</v>
      </c>
      <c r="Y22" s="240"/>
      <c r="Z22" s="225"/>
    </row>
    <row r="23" spans="1:29" ht="18" customHeight="1">
      <c r="A23" s="185"/>
      <c r="B23" s="186"/>
      <c r="C23" s="187"/>
      <c r="D23" s="206"/>
      <c r="E23" s="188"/>
      <c r="F23" s="189"/>
      <c r="G23" s="190"/>
      <c r="H23" s="191"/>
      <c r="I23" s="192"/>
      <c r="J23" s="192"/>
      <c r="K23" s="191"/>
      <c r="L23" s="192"/>
      <c r="M23" s="192"/>
      <c r="N23" s="209" t="str">
        <f>IF(MAX(H23:J23)&gt;0,IF(MAX(H23:J23)&lt;0,0,TRUNC(MAX(H23:J23)/1)*1),"")</f>
        <v/>
      </c>
      <c r="O23" s="210" t="str">
        <f>IF(MAX(K23:M23)&gt;0,IF(MAX(K23:M23)&lt;0,0,TRUNC(MAX(K23:M23)/1)*1),"")</f>
        <v/>
      </c>
      <c r="P23" s="211" t="str">
        <f>IF(N23="","",IF(O23="","",IF(SUM(N23:O23)=0,"",SUM(N23:O23))))</f>
        <v/>
      </c>
      <c r="Q23" s="223" t="str">
        <f>IF(P23="","",IF(A23="","",IF(OR(C23="UK",C23="JK",C23="SK",C23="K1",C23="K2",C23="K3",C23="K4",C23="K5",C23="K6",C23="K7",C23="K8",C23="K9",C23="K10"),IF(A23&gt;153.655,P23,IF(A23&lt;28,10^(0.783497476*LOG10(28/153.655)^2)*P23,10^(0.783497476*LOG10(A23/153.655)^2)*P23)),IF(A23&gt;175.508,P23,IF(A23&lt;32,10^(0.75194503*LOG10(32/175.508)^2)*P23,10^(0.75194503*LOG10(A23/175.508)^2)*P23)))))</f>
        <v/>
      </c>
      <c r="R23" s="224" t="str">
        <f>IF(OR(E23="",A23="",Z23="",Q23=""),"",IF(OR(C23="UM",C23="JM",C23="SM",C23="UK",C23="JK",C23="SK"),"",Q23*(IF(ABS(1900-YEAR((Z23+1)-E23))&lt;29,0,(VLOOKUP((YEAR(Z23)-YEAR(E23)),'Meltzer-Malone'!$A$3:$B$63,2))))))</f>
        <v/>
      </c>
      <c r="S23" s="174" t="str">
        <f>IF('K5'!G21="","",'K5'!G21)</f>
        <v/>
      </c>
      <c r="T23" s="174" t="str">
        <f>IF('K5'!K21="","",'K5'!K21)</f>
        <v/>
      </c>
      <c r="U23" s="174" t="str">
        <f>IF('K5'!N21="","",'K5'!N21)</f>
        <v/>
      </c>
      <c r="V23" s="163"/>
      <c r="W23" s="164"/>
      <c r="X23" s="175"/>
      <c r="Y23" s="176"/>
      <c r="Z23" s="225">
        <f>U5</f>
        <v>43358</v>
      </c>
    </row>
    <row r="24" spans="1:29" ht="18" customHeight="1">
      <c r="A24" s="165"/>
      <c r="B24" s="166"/>
      <c r="C24" s="167"/>
      <c r="D24" s="168"/>
      <c r="E24" s="169"/>
      <c r="F24" s="193"/>
      <c r="G24" s="170"/>
      <c r="H24" s="338"/>
      <c r="I24" s="339"/>
      <c r="J24" s="340"/>
      <c r="K24" s="341"/>
      <c r="L24" s="342"/>
      <c r="M24" s="343"/>
      <c r="N24" s="167"/>
      <c r="O24" s="171"/>
      <c r="P24" s="334" t="str">
        <f>IF(Q23="","",Q23*1.2)</f>
        <v/>
      </c>
      <c r="Q24" s="334"/>
      <c r="R24" s="222"/>
      <c r="S24" s="197" t="str">
        <f>IF(S23="","",S23*20)</f>
        <v/>
      </c>
      <c r="T24" s="172" t="str">
        <f>IF(T23="","",T23*11)</f>
        <v/>
      </c>
      <c r="U24" s="173" t="str">
        <f>IF(U23="","",IF((80+(8-ROUNDUP(U23,1))*40)&lt;0,0,80+(8-ROUNDUP(U23,1))*40))</f>
        <v/>
      </c>
      <c r="V24" s="237" t="str">
        <f>IF(SUM(S24,T24,U24)&gt;0,SUM(S24,T24,U24),"")</f>
        <v/>
      </c>
      <c r="W24" s="238" t="str">
        <f>IF(OR(P24="",S24="",T24="",U24=""),"",SUM(P24,S24,T24,U24))</f>
        <v/>
      </c>
      <c r="X24" s="239"/>
      <c r="Y24" s="240"/>
      <c r="Z24" s="225"/>
    </row>
    <row r="25" spans="1:29" ht="18" customHeight="1">
      <c r="A25" s="185"/>
      <c r="B25" s="186"/>
      <c r="C25" s="187"/>
      <c r="D25" s="206"/>
      <c r="E25" s="188"/>
      <c r="F25" s="189"/>
      <c r="G25" s="190"/>
      <c r="H25" s="191"/>
      <c r="I25" s="192"/>
      <c r="J25" s="192"/>
      <c r="K25" s="191"/>
      <c r="L25" s="192"/>
      <c r="M25" s="192"/>
      <c r="N25" s="209" t="str">
        <f>IF(MAX(H25:J25)&gt;0,IF(MAX(H25:J25)&lt;0,0,TRUNC(MAX(H25:J25)/1)*1),"")</f>
        <v/>
      </c>
      <c r="O25" s="210" t="str">
        <f>IF(MAX(K25:M25)&gt;0,IF(MAX(K25:M25)&lt;0,0,TRUNC(MAX(K25:M25)/1)*1),"")</f>
        <v/>
      </c>
      <c r="P25" s="211" t="str">
        <f>IF(N25="","",IF(O25="","",IF(SUM(N25:O25)=0,"",SUM(N25:O25))))</f>
        <v/>
      </c>
      <c r="Q25" s="223" t="str">
        <f>IF(P25="","",IF(A25="","",IF(OR(C25="UK",C25="JK",C25="SK",C25="K1",C25="K2",C25="K3",C25="K4",C25="K5",C25="K6",C25="K7",C25="K8",C25="K9",C25="K10"),IF(A25&gt;153.655,P25,IF(A25&lt;28,10^(0.783497476*LOG10(28/153.655)^2)*P25,10^(0.783497476*LOG10(A25/153.655)^2)*P25)),IF(A25&gt;175.508,P25,IF(A25&lt;32,10^(0.75194503*LOG10(32/175.508)^2)*P25,10^(0.75194503*LOG10(A25/175.508)^2)*P25)))))</f>
        <v/>
      </c>
      <c r="R25" s="224" t="str">
        <f>IF(OR(E25="",A25="",Z25="",Q25=""),"",IF(OR(C25="UM",C25="JM",C25="SM",C25="UK",C25="JK",C25="SK"),"",Q25*(IF(ABS(1900-YEAR((Z25+1)-E25))&lt;29,0,(VLOOKUP((YEAR(Z25)-YEAR(E25)),'Meltzer-Malone'!$A$3:$B$63,2))))))</f>
        <v/>
      </c>
      <c r="S25" s="174" t="str">
        <f>IF('K5'!G23="","",'K5'!G23)</f>
        <v/>
      </c>
      <c r="T25" s="174" t="str">
        <f>IF('K5'!K23="","",'K5'!K23)</f>
        <v/>
      </c>
      <c r="U25" s="174" t="str">
        <f>IF('K5'!N23="","",'K5'!N23)</f>
        <v/>
      </c>
      <c r="V25" s="163"/>
      <c r="W25" s="164"/>
      <c r="X25" s="175"/>
      <c r="Y25" s="176"/>
      <c r="Z25" s="225">
        <f>U5</f>
        <v>43358</v>
      </c>
    </row>
    <row r="26" spans="1:29" ht="18" customHeight="1">
      <c r="A26" s="165"/>
      <c r="B26" s="166"/>
      <c r="C26" s="167"/>
      <c r="D26" s="168"/>
      <c r="E26" s="169"/>
      <c r="F26" s="193"/>
      <c r="G26" s="170"/>
      <c r="H26" s="338"/>
      <c r="I26" s="339"/>
      <c r="J26" s="340"/>
      <c r="K26" s="341"/>
      <c r="L26" s="342"/>
      <c r="M26" s="343"/>
      <c r="N26" s="167"/>
      <c r="O26" s="171"/>
      <c r="P26" s="334" t="str">
        <f>IF(Q25="","",Q25*1.2)</f>
        <v/>
      </c>
      <c r="Q26" s="334"/>
      <c r="R26" s="222"/>
      <c r="S26" s="197" t="str">
        <f>IF(S25="","",S25*20)</f>
        <v/>
      </c>
      <c r="T26" s="172" t="str">
        <f>IF(T25="","",T25*11)</f>
        <v/>
      </c>
      <c r="U26" s="173" t="str">
        <f>IF(U25="","",IF((80+(8-ROUNDUP(U25,1))*40)&lt;0,0,80+(8-ROUNDUP(U25,1))*40))</f>
        <v/>
      </c>
      <c r="V26" s="237" t="str">
        <f>IF(SUM(S26,T26,U26)&gt;0,SUM(S26,T26,U26),"")</f>
        <v/>
      </c>
      <c r="W26" s="238" t="str">
        <f>IF(OR(P26="",S26="",T26="",U26=""),"",SUM(P26,S26,T26,U26))</f>
        <v/>
      </c>
      <c r="X26" s="239"/>
      <c r="Y26" s="240"/>
      <c r="Z26" s="225"/>
    </row>
    <row r="27" spans="1:29" ht="18" customHeight="1">
      <c r="A27" s="185"/>
      <c r="B27" s="186"/>
      <c r="C27" s="187"/>
      <c r="D27" s="206"/>
      <c r="E27" s="188"/>
      <c r="F27" s="189"/>
      <c r="G27" s="190"/>
      <c r="H27" s="191"/>
      <c r="I27" s="192"/>
      <c r="J27" s="192"/>
      <c r="K27" s="191"/>
      <c r="L27" s="192"/>
      <c r="M27" s="192"/>
      <c r="N27" s="209" t="str">
        <f>IF(MAX(H27:J27)&gt;0,IF(MAX(H27:J27)&lt;0,0,TRUNC(MAX(H27:J27)/1)*1),"")</f>
        <v/>
      </c>
      <c r="O27" s="210" t="str">
        <f>IF(MAX(K27:M27)&gt;0,IF(MAX(K27:M27)&lt;0,0,TRUNC(MAX(K27:M27)/1)*1),"")</f>
        <v/>
      </c>
      <c r="P27" s="211" t="str">
        <f>IF(N27="","",IF(O27="","",IF(SUM(N27:O27)=0,"",SUM(N27:O27))))</f>
        <v/>
      </c>
      <c r="Q27" s="223" t="str">
        <f>IF(P27="","",IF(A27="","",IF(OR(C27="UK",C27="JK",C27="SK",C27="K1",C27="K2",C27="K3",C27="K4",C27="K5",C27="K6",C27="K7",C27="K8",C27="K9",C27="K10"),IF(A27&gt;153.655,P27,IF(A27&lt;28,10^(0.783497476*LOG10(28/153.655)^2)*P27,10^(0.783497476*LOG10(A27/153.655)^2)*P27)),IF(A27&gt;175.508,P27,IF(A27&lt;32,10^(0.75194503*LOG10(32/175.508)^2)*P27,10^(0.75194503*LOG10(A27/175.508)^2)*P27)))))</f>
        <v/>
      </c>
      <c r="R27" s="224" t="str">
        <f>IF(OR(E27="",A27="",Z27="",Q27=""),"",IF(OR(C27="UM",C27="JM",C27="SM",C27="UK",C27="JK",C27="SK"),"",Q27*(IF(ABS(1900-YEAR((Z27+1)-E27))&lt;29,0,(VLOOKUP((YEAR(Z27)-YEAR(E27)),'Meltzer-Malone'!$A$3:$B$63,2))))))</f>
        <v/>
      </c>
      <c r="S27" s="174" t="str">
        <f>IF('K5'!G25="","",'K5'!G25)</f>
        <v/>
      </c>
      <c r="T27" s="174" t="str">
        <f>IF('K5'!K25="","",'K5'!K25)</f>
        <v/>
      </c>
      <c r="U27" s="174" t="str">
        <f>IF('K5'!N25="","",'K5'!N25)</f>
        <v/>
      </c>
      <c r="V27" s="163"/>
      <c r="W27" s="164"/>
      <c r="X27" s="175"/>
      <c r="Y27" s="176"/>
      <c r="Z27" s="225">
        <f>U5</f>
        <v>43358</v>
      </c>
    </row>
    <row r="28" spans="1:29" ht="18" customHeight="1">
      <c r="A28" s="165"/>
      <c r="B28" s="166"/>
      <c r="C28" s="167"/>
      <c r="D28" s="168"/>
      <c r="E28" s="169"/>
      <c r="F28" s="193"/>
      <c r="G28" s="170"/>
      <c r="H28" s="338"/>
      <c r="I28" s="339"/>
      <c r="J28" s="340"/>
      <c r="K28" s="341"/>
      <c r="L28" s="342"/>
      <c r="M28" s="343"/>
      <c r="N28" s="167"/>
      <c r="O28" s="171"/>
      <c r="P28" s="334" t="str">
        <f>IF(Q27="","",Q27*1.2)</f>
        <v/>
      </c>
      <c r="Q28" s="334"/>
      <c r="R28" s="224" t="str">
        <f>IF(OR(E28="",A28="",Z28="",Q28=""),"",IF(OR(C28="UM",C28="JM",C28="SM",C28="UK",C28="JK",C28="SK"),"",Q28*(IF(ABS(1900-YEAR((Z28+1)-E28))&lt;29,0,(VLOOKUP((YEAR(Z28)-YEAR(E28)),'Meltzer-Malone'!$A$3:$B$63,2))))))</f>
        <v/>
      </c>
      <c r="S28" s="197" t="str">
        <f>IF(S27="","",S27*20)</f>
        <v/>
      </c>
      <c r="T28" s="172" t="str">
        <f>IF(T27="","",T27*11)</f>
        <v/>
      </c>
      <c r="U28" s="173" t="str">
        <f>IF(U27="","",IF((80+(8-ROUNDUP(U27,1))*40)&lt;0,0,80+(8-ROUNDUP(U27,1))*40))</f>
        <v/>
      </c>
      <c r="V28" s="237" t="str">
        <f>IF(SUM(S28,T28,U28)&gt;0,SUM(S28,T28,U28),"")</f>
        <v/>
      </c>
      <c r="W28" s="238" t="str">
        <f>IF(OR(P28="",S28="",T28="",U28=""),"",SUM(P28,S28,T28,U28))</f>
        <v/>
      </c>
      <c r="X28" s="239"/>
      <c r="Y28" s="240"/>
      <c r="Z28" s="226"/>
    </row>
    <row r="29" spans="1:29" ht="18" customHeight="1">
      <c r="A29" s="158"/>
      <c r="B29" s="186"/>
      <c r="C29" s="187"/>
      <c r="D29" s="186"/>
      <c r="E29" s="159"/>
      <c r="F29" s="159"/>
      <c r="G29" s="160"/>
      <c r="H29" s="161"/>
      <c r="I29" s="161"/>
      <c r="J29" s="161"/>
      <c r="K29" s="161"/>
      <c r="L29" s="161"/>
      <c r="M29" s="161"/>
      <c r="N29" s="209" t="str">
        <f>IF(MAX(H29:J29)&gt;0,IF(MAX(H29:J29)&lt;0,0,TRUNC(MAX(H29:J29)/1)*1),"")</f>
        <v/>
      </c>
      <c r="O29" s="210" t="str">
        <f>IF(MAX(K29:M29)&gt;0,IF(MAX(K29:M29)&lt;0,0,TRUNC(MAX(K29:M29)/1)*1),"")</f>
        <v/>
      </c>
      <c r="P29" s="211" t="str">
        <f>IF(N29="","",IF(O29="","",IF(SUM(N29:O29)=0,"",SUM(N29:O29))))</f>
        <v/>
      </c>
      <c r="Q29" s="223" t="str">
        <f>IF(P29="","",IF(A29="","",IF(OR(C29="UK",C29="JK",C29="SK",C29="K1",C29="K2",C29="K3",C29="K4",C29="K5",C29="K6",C29="K7",C29="K8",C29="K9",C29="K10"),IF(A29&gt;153.655,P29,IF(A29&lt;28,10^(0.783497476*LOG10(28/153.655)^2)*P29,10^(0.783497476*LOG10(A29/153.655)^2)*P29)),IF(A29&gt;175.508,P29,IF(A29&lt;32,10^(0.75194503*LOG10(32/175.508)^2)*P29,10^(0.75194503*LOG10(A29/175.508)^2)*P29)))))</f>
        <v/>
      </c>
      <c r="R29" s="224" t="str">
        <f>IF(OR(E29="",A29="",Z29=""),"",IF(OR(C29="UM",C29="JM",C29="SM",C29="UK",C29="JK",C29="SK"),"",Q29*(IF(ABS(1900-YEAR((Z29+1)-E29))&lt;29,0,(VLOOKUP((YEAR(Z29)-YEAR(E29)),'Meltzer-Malone'!$A$3:$B$63,2))))))</f>
        <v/>
      </c>
      <c r="S29" s="174" t="str">
        <f>IF('K5'!G27="","",'K5'!G27)</f>
        <v/>
      </c>
      <c r="T29" s="174" t="str">
        <f>IF('K5'!K27="","",'K5'!K27)</f>
        <v/>
      </c>
      <c r="U29" s="174" t="str">
        <f>IF('K5'!N27="","",'K5'!N27)</f>
        <v/>
      </c>
      <c r="V29" s="163"/>
      <c r="W29" s="164"/>
      <c r="X29" s="175"/>
      <c r="Y29" s="176"/>
      <c r="Z29" s="225">
        <f>U5</f>
        <v>43358</v>
      </c>
    </row>
    <row r="30" spans="1:29" ht="18" customHeight="1">
      <c r="A30" s="165"/>
      <c r="B30" s="166"/>
      <c r="C30" s="167"/>
      <c r="D30" s="168"/>
      <c r="E30" s="169"/>
      <c r="F30" s="169"/>
      <c r="G30" s="170"/>
      <c r="H30" s="333"/>
      <c r="I30" s="334"/>
      <c r="J30" s="335"/>
      <c r="K30" s="333"/>
      <c r="L30" s="334"/>
      <c r="M30" s="335"/>
      <c r="N30" s="167"/>
      <c r="O30" s="171"/>
      <c r="P30" s="334" t="str">
        <f>IF(Q29="","",Q29*1.2)</f>
        <v/>
      </c>
      <c r="Q30" s="334"/>
      <c r="R30" s="224" t="str">
        <f>IF(OR(E30="",A30="",Z30="",Q30=""),"",IF(OR(C30="UM",C30="JM",C30="SM",C30="UK",C30="JK",C30="SK"),"",Q30*(IF(ABS(1900-YEAR((Z30+1)-E30))&lt;29,0,(VLOOKUP((YEAR(Z30)-YEAR(E30)),'Meltzer-Malone'!$A$3:$B$63,2))))))</f>
        <v/>
      </c>
      <c r="S30" s="197" t="str">
        <f>IF(S29="","",S29*20)</f>
        <v/>
      </c>
      <c r="T30" s="172" t="str">
        <f>IF(T29="","",T29*11)</f>
        <v/>
      </c>
      <c r="U30" s="173" t="str">
        <f>IF(U29="","",IF((80+(8-ROUNDUP(U29,1))*40)&lt;0,0,80+(8-ROUNDUP(U29,1))*40))</f>
        <v/>
      </c>
      <c r="V30" s="237" t="str">
        <f>IF(SUM(S30,T30,U30)&gt;0,SUM(S30,T30,U30),"")</f>
        <v/>
      </c>
      <c r="W30" s="238" t="str">
        <f>IF(OR(P30="",S30="",T30="",U30=""),"",SUM(P30,S30,T30,U30))</f>
        <v/>
      </c>
      <c r="X30" s="239"/>
      <c r="Y30" s="240"/>
      <c r="Z30" s="225"/>
    </row>
    <row r="31" spans="1:29" ht="18" customHeight="1">
      <c r="A31" s="158"/>
      <c r="B31" s="186"/>
      <c r="C31" s="187"/>
      <c r="D31" s="186"/>
      <c r="E31" s="159"/>
      <c r="F31" s="159"/>
      <c r="G31" s="160"/>
      <c r="H31" s="161"/>
      <c r="I31" s="161"/>
      <c r="J31" s="161"/>
      <c r="K31" s="161"/>
      <c r="L31" s="161"/>
      <c r="M31" s="161"/>
      <c r="N31" s="209" t="str">
        <f>IF(MAX(H31:J31)&gt;0,IF(MAX(H31:J31)&lt;0,0,TRUNC(MAX(H31:J31)/1)*1),"")</f>
        <v/>
      </c>
      <c r="O31" s="210" t="str">
        <f>IF(MAX(K31:M31)&gt;0,IF(MAX(K31:M31)&lt;0,0,TRUNC(MAX(K31:M31)/1)*1),"")</f>
        <v/>
      </c>
      <c r="P31" s="211" t="str">
        <f>IF(N31="","",IF(O31="","",IF(SUM(N31:O31)=0,"",SUM(N31:O31))))</f>
        <v/>
      </c>
      <c r="Q31" s="223" t="str">
        <f>IF(P31="","",IF(A31="","",IF(OR(C31="UK",C31="JK",C31="SK",C31="K1",C31="K2",C31="K3",C31="K4",C31="K5",C31="K6",C31="K7",C31="K8",C31="K9",C31="K10"),IF(A31&gt;153.655,P31,IF(A31&lt;28,10^(0.783497476*LOG10(28/153.655)^2)*P31,10^(0.783497476*LOG10(A31/153.655)^2)*P31)),IF(A31&gt;175.508,P31,IF(A31&lt;32,10^(0.75194503*LOG10(32/175.508)^2)*P31,10^(0.75194503*LOG10(A31/175.508)^2)*P31)))))</f>
        <v/>
      </c>
      <c r="R31" s="224" t="str">
        <f>IF(OR(E31="",A31="",Z31="",Q31=""),"",IF(OR(C31="UM",C31="JM",C31="SM",C31="UK",C31="JK",C31="SK"),"",Q31*(IF(ABS(1900-YEAR((Z31+1)-E31))&lt;29,0,(VLOOKUP((YEAR(Z31)-YEAR(E31)),'Meltzer-Malone'!$A$3:$B$63,2))))))</f>
        <v/>
      </c>
      <c r="S31" s="174" t="str">
        <f>IF('K5'!G29="","",'K5'!G29)</f>
        <v/>
      </c>
      <c r="T31" s="174" t="str">
        <f>IF('K5'!K29="","",'K5'!K29)</f>
        <v/>
      </c>
      <c r="U31" s="174" t="str">
        <f>IF('K5'!N29="","",'K5'!N29)</f>
        <v/>
      </c>
      <c r="V31" s="163"/>
      <c r="W31" s="164"/>
      <c r="X31" s="175"/>
      <c r="Y31" s="176"/>
      <c r="Z31" s="225">
        <f>U5</f>
        <v>43358</v>
      </c>
    </row>
    <row r="32" spans="1:29" ht="18" customHeight="1" thickBot="1">
      <c r="A32" s="177"/>
      <c r="B32" s="178"/>
      <c r="C32" s="179"/>
      <c r="D32" s="180"/>
      <c r="E32" s="181"/>
      <c r="F32" s="181"/>
      <c r="G32" s="182"/>
      <c r="H32" s="330"/>
      <c r="I32" s="331"/>
      <c r="J32" s="332"/>
      <c r="K32" s="330"/>
      <c r="L32" s="331"/>
      <c r="M32" s="332"/>
      <c r="N32" s="307"/>
      <c r="O32" s="308"/>
      <c r="P32" s="331" t="str">
        <f>IF(Q31="","",Q31*1.2)</f>
        <v/>
      </c>
      <c r="Q32" s="331"/>
      <c r="R32" s="309"/>
      <c r="S32" s="183" t="str">
        <f>IF(S31="","",S31*20)</f>
        <v/>
      </c>
      <c r="T32" s="183" t="str">
        <f>IF(T31="","",T31*11)</f>
        <v/>
      </c>
      <c r="U32" s="184" t="str">
        <f>IF(U31="","",IF((80+(8-ROUNDUP(U31,1))*40)&lt;0,0,80+(8-ROUNDUP(U31,1))*40))</f>
        <v/>
      </c>
      <c r="V32" s="184" t="str">
        <f>IF(SUM(S32,T32,U32)&gt;0,SUM(S32,T32,U32),"")</f>
        <v/>
      </c>
      <c r="W32" s="257" t="str">
        <f>IF(OR(P32="",S32="",T32="",U32=""),"",SUM(P32,S32,T32,U32))</f>
        <v/>
      </c>
      <c r="X32" s="258"/>
      <c r="Y32" s="259"/>
      <c r="Z32" s="225"/>
    </row>
    <row r="33" spans="1:25" ht="14.1">
      <c r="A33" s="429"/>
      <c r="B33" s="429"/>
      <c r="C33" s="429"/>
      <c r="D33" s="430"/>
      <c r="E33" s="431"/>
      <c r="F33" s="431"/>
      <c r="G33" s="432"/>
      <c r="H33" s="433"/>
      <c r="I33" s="433"/>
      <c r="J33" s="433"/>
      <c r="K33" s="433"/>
      <c r="L33" s="433"/>
      <c r="M33" s="433"/>
      <c r="N33" s="429"/>
      <c r="O33" s="429"/>
      <c r="P33" s="429"/>
      <c r="Q33" s="429"/>
      <c r="R33" s="429"/>
      <c r="S33" s="433"/>
      <c r="T33" s="433"/>
      <c r="U33" s="434"/>
      <c r="V33" s="434"/>
      <c r="W33" s="435"/>
      <c r="X33" s="436"/>
      <c r="Y33" s="437"/>
    </row>
    <row r="34" spans="1:25" s="7" customFormat="1" ht="14.1">
      <c r="A34" s="7" t="s">
        <v>50</v>
      </c>
      <c r="B34"/>
      <c r="C34" s="317" t="s">
        <v>51</v>
      </c>
      <c r="D34" s="317"/>
      <c r="E34" s="317"/>
      <c r="F34" s="317"/>
      <c r="G34" s="317"/>
      <c r="H34" s="328" t="s">
        <v>115</v>
      </c>
      <c r="I34" s="328"/>
      <c r="J34" s="134">
        <v>1</v>
      </c>
      <c r="K34" s="317" t="s">
        <v>134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s="7" customFormat="1" ht="14.1">
      <c r="B35"/>
      <c r="C35" s="327"/>
      <c r="D35" s="327"/>
      <c r="E35" s="327"/>
      <c r="F35" s="327"/>
      <c r="G35" s="327"/>
      <c r="H35" s="328"/>
      <c r="I35" s="328"/>
      <c r="J35" s="134">
        <v>2</v>
      </c>
      <c r="K35" s="317" t="s">
        <v>161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s="7" customFormat="1" ht="14.1">
      <c r="A36" s="7" t="s">
        <v>55</v>
      </c>
      <c r="B36"/>
      <c r="C36" s="317"/>
      <c r="D36" s="317"/>
      <c r="E36" s="317"/>
      <c r="F36" s="317"/>
      <c r="G36" s="317"/>
      <c r="H36" s="329"/>
      <c r="I36" s="329"/>
      <c r="J36" s="134">
        <v>3</v>
      </c>
      <c r="K36" s="317" t="s">
        <v>118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s="5" customFormat="1" ht="14.1">
      <c r="A37" s="6"/>
      <c r="B37"/>
      <c r="C37" s="317"/>
      <c r="D37" s="317"/>
      <c r="E37" s="317"/>
      <c r="F37" s="317"/>
      <c r="G37" s="317"/>
      <c r="H37" s="32"/>
      <c r="I37" s="30"/>
      <c r="J37" s="135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s="5" customFormat="1" ht="14.1">
      <c r="A38" s="7"/>
      <c r="B38"/>
      <c r="C38" s="317"/>
      <c r="D38" s="317"/>
      <c r="E38" s="317"/>
      <c r="F38" s="317"/>
      <c r="G38" s="317"/>
      <c r="H38" s="136" t="s">
        <v>57</v>
      </c>
      <c r="I38" s="301"/>
      <c r="J38" s="43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s="5" customFormat="1" ht="14.1">
      <c r="A39" s="2"/>
      <c r="B39" s="2"/>
      <c r="C39" s="30"/>
      <c r="D39" s="31"/>
      <c r="E39" s="31"/>
      <c r="F39" s="31"/>
      <c r="G39" s="32"/>
      <c r="H39" s="136" t="s">
        <v>58</v>
      </c>
      <c r="I39" s="301"/>
      <c r="J39" s="47"/>
      <c r="K39" s="317" t="s">
        <v>162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s="5" customFormat="1" ht="14.1">
      <c r="A40" s="7" t="s">
        <v>60</v>
      </c>
      <c r="B40"/>
      <c r="C40" s="318" t="s">
        <v>61</v>
      </c>
      <c r="D40" s="318"/>
      <c r="E40" s="318"/>
      <c r="F40" s="318"/>
      <c r="G40" s="318"/>
      <c r="H40" s="136" t="s">
        <v>62</v>
      </c>
      <c r="I40" s="301"/>
      <c r="J40" s="137"/>
      <c r="K40" s="317" t="s">
        <v>63</v>
      </c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s="5" customFormat="1" ht="14.1">
      <c r="A41" s="2"/>
      <c r="B41" s="2"/>
      <c r="C41" s="326" t="s">
        <v>64</v>
      </c>
      <c r="D41" s="326"/>
      <c r="E41" s="326"/>
      <c r="F41" s="326"/>
      <c r="G41" s="326"/>
      <c r="H41" s="136"/>
      <c r="I41" s="311"/>
      <c r="J41" s="138"/>
      <c r="K41" s="2"/>
      <c r="L41" s="2"/>
      <c r="M41" s="2"/>
      <c r="N41" s="2"/>
      <c r="O41" s="2"/>
      <c r="P41" s="2"/>
      <c r="Q41" s="2"/>
      <c r="R41" s="2"/>
      <c r="S41" s="40"/>
      <c r="T41" s="40"/>
      <c r="U41" s="40"/>
      <c r="V41" s="40"/>
    </row>
    <row r="42" spans="1:25" s="5" customFormat="1" ht="14.1">
      <c r="A42" s="311" t="s">
        <v>65</v>
      </c>
      <c r="B42" s="139"/>
      <c r="C42" s="317" t="s">
        <v>63</v>
      </c>
      <c r="D42" s="317"/>
      <c r="E42" s="317"/>
      <c r="F42" s="317"/>
      <c r="G42" s="317"/>
      <c r="H42" s="136" t="s">
        <v>66</v>
      </c>
      <c r="I42" s="301"/>
      <c r="J42" s="43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s="5" customFormat="1" ht="14.1">
      <c r="A43" s="2"/>
      <c r="B43" s="2"/>
      <c r="C43" s="317"/>
      <c r="D43" s="317"/>
      <c r="E43" s="317"/>
      <c r="F43" s="317"/>
      <c r="G43" s="317"/>
      <c r="H43" s="136"/>
      <c r="I43" s="301"/>
      <c r="J43" s="138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s="5" customFormat="1" ht="14.1">
      <c r="A44" s="139" t="s">
        <v>68</v>
      </c>
      <c r="B44" s="139"/>
      <c r="C44" s="33" t="s">
        <v>69</v>
      </c>
      <c r="D44" s="34"/>
      <c r="E44" s="34"/>
      <c r="F44" s="34"/>
      <c r="G44" s="35"/>
      <c r="I44" s="301"/>
      <c r="J44" s="13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</row>
    <row r="45" spans="1:25" s="5" customFormat="1" ht="14.1">
      <c r="A45" s="140"/>
      <c r="B45" s="140"/>
      <c r="C45" s="33"/>
      <c r="D45" s="31"/>
      <c r="E45" s="31"/>
      <c r="F45" s="31"/>
      <c r="G45" s="32"/>
      <c r="I45" s="301"/>
      <c r="J45" s="13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</row>
    <row r="46" spans="1:25" s="5" customFormat="1" ht="14.1">
      <c r="A46" s="2"/>
      <c r="B46" s="2"/>
      <c r="C46" s="3"/>
      <c r="D46" s="4"/>
      <c r="E46" s="4"/>
      <c r="F46" s="4"/>
      <c r="I46" s="301"/>
      <c r="J46" s="13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</row>
    <row r="47" spans="1:25">
      <c r="A47" s="36"/>
      <c r="B47" s="36"/>
      <c r="C47" s="36"/>
      <c r="D47" s="36"/>
      <c r="E47" s="36"/>
      <c r="F47" s="36"/>
      <c r="H47" s="36"/>
      <c r="I47" s="36"/>
      <c r="J47" s="43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</sheetData>
  <mergeCells count="73">
    <mergeCell ref="H32:J32"/>
    <mergeCell ref="K32:M32"/>
    <mergeCell ref="H22:J22"/>
    <mergeCell ref="K22:M22"/>
    <mergeCell ref="H24:J24"/>
    <mergeCell ref="K24:M24"/>
    <mergeCell ref="H26:J26"/>
    <mergeCell ref="K26:M26"/>
    <mergeCell ref="H30:J30"/>
    <mergeCell ref="K30:M30"/>
    <mergeCell ref="H16:J16"/>
    <mergeCell ref="K16:M16"/>
    <mergeCell ref="H18:J18"/>
    <mergeCell ref="K18:M18"/>
    <mergeCell ref="H20:J20"/>
    <mergeCell ref="K20:M20"/>
    <mergeCell ref="H12:J12"/>
    <mergeCell ref="H14:J14"/>
    <mergeCell ref="K14:M14"/>
    <mergeCell ref="K12:M12"/>
    <mergeCell ref="A5:B5"/>
    <mergeCell ref="H5:I5"/>
    <mergeCell ref="K8:M8"/>
    <mergeCell ref="H10:J10"/>
    <mergeCell ref="K10:M10"/>
    <mergeCell ref="C5:G5"/>
    <mergeCell ref="H8:J8"/>
    <mergeCell ref="J5:N5"/>
    <mergeCell ref="G2:Q2"/>
    <mergeCell ref="G3:Q3"/>
    <mergeCell ref="H7:J7"/>
    <mergeCell ref="K7:M7"/>
    <mergeCell ref="N7:Q7"/>
    <mergeCell ref="P5:S5"/>
    <mergeCell ref="H36:I36"/>
    <mergeCell ref="C35:G35"/>
    <mergeCell ref="P16:Q16"/>
    <mergeCell ref="P14:Q14"/>
    <mergeCell ref="P12:Q12"/>
    <mergeCell ref="H34:I34"/>
    <mergeCell ref="H35:I35"/>
    <mergeCell ref="H28:J28"/>
    <mergeCell ref="K28:M28"/>
    <mergeCell ref="P24:Q24"/>
    <mergeCell ref="P22:Q22"/>
    <mergeCell ref="P20:Q20"/>
    <mergeCell ref="P18:Q18"/>
    <mergeCell ref="P32:Q32"/>
    <mergeCell ref="P30:Q30"/>
    <mergeCell ref="P28:Q28"/>
    <mergeCell ref="C42:G42"/>
    <mergeCell ref="C43:G43"/>
    <mergeCell ref="K34:Y34"/>
    <mergeCell ref="K35:Y35"/>
    <mergeCell ref="K36:Y36"/>
    <mergeCell ref="K37:Y37"/>
    <mergeCell ref="K38:Y38"/>
    <mergeCell ref="K39:Y39"/>
    <mergeCell ref="K40:Y40"/>
    <mergeCell ref="K42:Y42"/>
    <mergeCell ref="C34:G34"/>
    <mergeCell ref="C36:G36"/>
    <mergeCell ref="C37:G37"/>
    <mergeCell ref="C38:G38"/>
    <mergeCell ref="C40:G40"/>
    <mergeCell ref="C41:G41"/>
    <mergeCell ref="U5:V5"/>
    <mergeCell ref="K43:Y43"/>
    <mergeCell ref="K44:Y44"/>
    <mergeCell ref="K45:Y45"/>
    <mergeCell ref="K46:Y46"/>
    <mergeCell ref="P10:Q10"/>
    <mergeCell ref="P26:Q26"/>
  </mergeCells>
  <phoneticPr fontId="0" type="noConversion"/>
  <conditionalFormatting sqref="H31:M31 H29:M29">
    <cfRule type="cellIs" dxfId="171" priority="127" stopIfTrue="1" operator="between">
      <formula>1</formula>
      <formula>300</formula>
    </cfRule>
    <cfRule type="cellIs" dxfId="170" priority="128" stopIfTrue="1" operator="lessThanOrEqual">
      <formula>0</formula>
    </cfRule>
  </conditionalFormatting>
  <conditionalFormatting sqref="H27:M27">
    <cfRule type="cellIs" dxfId="169" priority="71" stopIfTrue="1" operator="between">
      <formula>1</formula>
      <formula>300</formula>
    </cfRule>
    <cfRule type="cellIs" dxfId="168" priority="72" stopIfTrue="1" operator="lessThanOrEqual">
      <formula>0</formula>
    </cfRule>
  </conditionalFormatting>
  <conditionalFormatting sqref="H13:M13">
    <cfRule type="cellIs" dxfId="167" priority="7" stopIfTrue="1" operator="between">
      <formula>1</formula>
      <formula>300</formula>
    </cfRule>
    <cfRule type="cellIs" dxfId="166" priority="8" stopIfTrue="1" operator="lessThanOrEqual">
      <formula>0</formula>
    </cfRule>
  </conditionalFormatting>
  <conditionalFormatting sqref="H11:M11">
    <cfRule type="cellIs" dxfId="165" priority="5" stopIfTrue="1" operator="between">
      <formula>1</formula>
      <formula>300</formula>
    </cfRule>
    <cfRule type="cellIs" dxfId="164" priority="6" stopIfTrue="1" operator="lessThanOrEqual">
      <formula>0</formula>
    </cfRule>
  </conditionalFormatting>
  <conditionalFormatting sqref="H17:M17">
    <cfRule type="cellIs" dxfId="163" priority="3" stopIfTrue="1" operator="between">
      <formula>1</formula>
      <formula>300</formula>
    </cfRule>
    <cfRule type="cellIs" dxfId="162" priority="4" stopIfTrue="1" operator="lessThanOrEqual">
      <formula>0</formula>
    </cfRule>
  </conditionalFormatting>
  <conditionalFormatting sqref="H9:M9">
    <cfRule type="cellIs" dxfId="161" priority="1" stopIfTrue="1" operator="between">
      <formula>1</formula>
      <formula>300</formula>
    </cfRule>
    <cfRule type="cellIs" dxfId="160" priority="2" stopIfTrue="1" operator="lessThanOrEqual">
      <formula>0</formula>
    </cfRule>
  </conditionalFormatting>
  <conditionalFormatting sqref="H23:M23">
    <cfRule type="cellIs" dxfId="159" priority="55" stopIfTrue="1" operator="between">
      <formula>1</formula>
      <formula>300</formula>
    </cfRule>
    <cfRule type="cellIs" dxfId="158" priority="56" stopIfTrue="1" operator="lessThanOrEqual">
      <formula>0</formula>
    </cfRule>
  </conditionalFormatting>
  <conditionalFormatting sqref="H15:M15">
    <cfRule type="cellIs" dxfId="157" priority="9" stopIfTrue="1" operator="between">
      <formula>1</formula>
      <formula>300</formula>
    </cfRule>
    <cfRule type="cellIs" dxfId="156" priority="10" stopIfTrue="1" operator="lessThanOrEqual">
      <formula>0</formula>
    </cfRule>
  </conditionalFormatting>
  <conditionalFormatting sqref="H25:M25">
    <cfRule type="cellIs" dxfId="155" priority="53" stopIfTrue="1" operator="between">
      <formula>1</formula>
      <formula>300</formula>
    </cfRule>
    <cfRule type="cellIs" dxfId="154" priority="54" stopIfTrue="1" operator="lessThanOrEqual">
      <formula>0</formula>
    </cfRule>
  </conditionalFormatting>
  <conditionalFormatting sqref="H19:M19">
    <cfRule type="cellIs" dxfId="153" priority="13" stopIfTrue="1" operator="between">
      <formula>1</formula>
      <formula>300</formula>
    </cfRule>
    <cfRule type="cellIs" dxfId="152" priority="14" stopIfTrue="1" operator="lessThanOrEqual">
      <formula>0</formula>
    </cfRule>
  </conditionalFormatting>
  <conditionalFormatting sqref="H21:M21">
    <cfRule type="cellIs" dxfId="151" priority="11" stopIfTrue="1" operator="between">
      <formula>1</formula>
      <formula>300</formula>
    </cfRule>
    <cfRule type="cellIs" dxfId="150" priority="12" stopIfTrue="1" operator="lessThanOrEqual">
      <formula>0</formula>
    </cfRule>
  </conditionalFormatting>
  <dataValidations count="3">
    <dataValidation type="list" allowBlank="1" showInputMessage="1" showErrorMessage="1" errorTitle="Feil_i_vektklasse" error="Feil verdi i vektklasse" sqref="B29 B31 B23 B25 B27 B9 B11 B13 B15 B17 B19" xr:uid="{00000000-0002-0000-0400-000000000000}">
      <formula1>"44,48,53,58,63,69,+69,'+69,69+,75,+75,'+75,75,50,56,62,69,77,85,94,+94,'+94,94+,105,+105,'+105,105+"</formula1>
    </dataValidation>
    <dataValidation type="list" allowBlank="1" showInputMessage="1" showErrorMessage="1" errorTitle="Feil_i_kat.v.løft" error="Feil verdi i kategori vektløfting" sqref="C29 C31 C23 C25 C27 C9 C11 C13 C15 C17 C19 C21" xr:uid="{00000000-0002-0000-0400-000001000000}">
      <formula1>"UM,JM,SM,UK,JK,SK,M1,M2,M3,M4,M5,M6,M8,M9,M10,K1,K2,K3,K4,K5,K6,K7,K8,K9,K10"</formula1>
    </dataValidation>
    <dataValidation type="list" allowBlank="1" showInputMessage="1" showErrorMessage="1" errorTitle="Feil_i_kat.5-kamp" error="Feil verdi i kategori 5-kamp" sqref="D29 D31 D23 D25 D27 D9 D11 D13 D15 D17 D19 D21" xr:uid="{00000000-0002-0000-0400-000002000000}">
      <formula1>"11-12,13-14,15-16,17-18,+18,'+18,18+"</formula1>
    </dataValidation>
  </dataValidations>
  <pageMargins left="0.27559055118110237" right="0.27559055118110237" top="0.27559055118110237" bottom="0.27559055118110237" header="0.51181102362204722" footer="0.51181102362204722"/>
  <pageSetup paperSize="9" scale="66" orientation="landscape" horizontalDpi="300" verticalDpi="300" copies="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pageSetUpPr fitToPage="1"/>
  </sheetPr>
  <dimension ref="A1:AC55"/>
  <sheetViews>
    <sheetView showGridLines="0" showRowColHeaders="0" showZeros="0" workbookViewId="0">
      <selection activeCell="AA23" sqref="AA23"/>
    </sheetView>
  </sheetViews>
  <sheetFormatPr defaultColWidth="8.85546875" defaultRowHeight="12.95"/>
  <cols>
    <col min="1" max="1" width="7.85546875" customWidth="1"/>
    <col min="2" max="2" width="6.85546875" customWidth="1"/>
    <col min="3" max="3" width="5.5703125" customWidth="1"/>
    <col min="4" max="4" width="7.5703125" customWidth="1"/>
    <col min="5" max="5" width="10.42578125" customWidth="1"/>
    <col min="6" max="6" width="3.85546875" customWidth="1"/>
    <col min="7" max="7" width="27.5703125" customWidth="1"/>
    <col min="8" max="16" width="6.5703125" customWidth="1"/>
    <col min="17" max="18" width="8.85546875" customWidth="1"/>
    <col min="19" max="20" width="8.5703125" customWidth="1"/>
    <col min="21" max="21" width="9.85546875" customWidth="1"/>
    <col min="22" max="23" width="8.5703125" customWidth="1"/>
    <col min="24" max="24" width="4.42578125" customWidth="1"/>
    <col min="25" max="25" width="5.5703125" customWidth="1"/>
    <col min="26" max="26" width="0" hidden="1" customWidth="1"/>
  </cols>
  <sheetData>
    <row r="1" spans="1:29">
      <c r="A1" s="36"/>
      <c r="B1" s="36"/>
      <c r="C1" s="36"/>
      <c r="D1" s="36"/>
      <c r="E1" s="36"/>
      <c r="F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9" ht="72.75" customHeight="1">
      <c r="A2" s="36"/>
      <c r="B2" s="36"/>
      <c r="C2" s="36"/>
      <c r="D2" s="36"/>
      <c r="E2" s="36"/>
      <c r="F2" s="36"/>
      <c r="G2" s="346" t="s">
        <v>70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02"/>
      <c r="S2" s="36"/>
      <c r="T2" s="36"/>
      <c r="U2" s="36"/>
      <c r="V2" s="36"/>
      <c r="W2" s="36"/>
      <c r="X2" s="36"/>
      <c r="Y2" s="36"/>
    </row>
    <row r="3" spans="1:29" ht="27.95">
      <c r="A3" s="36"/>
      <c r="B3" s="36"/>
      <c r="C3" s="36"/>
      <c r="D3" s="36"/>
      <c r="E3" s="36"/>
      <c r="F3" s="36"/>
      <c r="G3" s="320" t="s">
        <v>1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00"/>
      <c r="S3" s="36"/>
      <c r="T3" s="36"/>
      <c r="U3" s="36"/>
      <c r="V3" s="36"/>
      <c r="W3" s="36"/>
      <c r="X3" s="36"/>
      <c r="Y3" s="36"/>
    </row>
    <row r="4" spans="1:29">
      <c r="A4" s="36"/>
      <c r="B4" s="36"/>
      <c r="C4" s="36"/>
      <c r="D4" s="36"/>
      <c r="E4" s="36"/>
      <c r="F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9" ht="15" customHeight="1">
      <c r="A5" s="344" t="s">
        <v>2</v>
      </c>
      <c r="B5" s="344"/>
      <c r="C5" s="321" t="s">
        <v>3</v>
      </c>
      <c r="D5" s="321"/>
      <c r="E5" s="321"/>
      <c r="F5" s="321"/>
      <c r="G5" s="321"/>
      <c r="H5" s="344" t="s">
        <v>4</v>
      </c>
      <c r="I5" s="344"/>
      <c r="J5" s="321" t="s">
        <v>5</v>
      </c>
      <c r="K5" s="321"/>
      <c r="L5" s="321"/>
      <c r="M5" s="321"/>
      <c r="N5" s="321"/>
      <c r="O5" s="306" t="s">
        <v>6</v>
      </c>
      <c r="P5" s="345" t="s">
        <v>7</v>
      </c>
      <c r="Q5" s="345"/>
      <c r="R5" s="345"/>
      <c r="S5" s="345"/>
      <c r="T5" s="306" t="s">
        <v>8</v>
      </c>
      <c r="U5" s="325">
        <v>43358</v>
      </c>
      <c r="V5" s="325"/>
      <c r="W5" s="52" t="s">
        <v>9</v>
      </c>
      <c r="X5" s="263" t="s">
        <v>163</v>
      </c>
      <c r="Y5" s="263"/>
    </row>
    <row r="6" spans="1:29" ht="13.5" thickBot="1">
      <c r="A6" s="53"/>
      <c r="B6" s="53"/>
      <c r="C6" s="53"/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5"/>
      <c r="X6" s="53"/>
      <c r="Y6" s="53"/>
    </row>
    <row r="7" spans="1:29">
      <c r="A7" s="56" t="s">
        <v>12</v>
      </c>
      <c r="B7" s="57" t="s">
        <v>11</v>
      </c>
      <c r="C7" s="314" t="s">
        <v>72</v>
      </c>
      <c r="D7" s="58" t="s">
        <v>72</v>
      </c>
      <c r="E7" s="313" t="s">
        <v>14</v>
      </c>
      <c r="F7" s="313" t="s">
        <v>73</v>
      </c>
      <c r="G7" s="313" t="s">
        <v>15</v>
      </c>
      <c r="H7" s="356" t="s">
        <v>17</v>
      </c>
      <c r="I7" s="357"/>
      <c r="J7" s="358"/>
      <c r="K7" s="356" t="s">
        <v>18</v>
      </c>
      <c r="L7" s="357"/>
      <c r="M7" s="358"/>
      <c r="N7" s="359" t="s">
        <v>74</v>
      </c>
      <c r="O7" s="360"/>
      <c r="P7" s="360"/>
      <c r="Q7" s="360"/>
      <c r="R7" s="227" t="s">
        <v>21</v>
      </c>
      <c r="S7" s="57" t="s">
        <v>75</v>
      </c>
      <c r="T7" s="57" t="s">
        <v>76</v>
      </c>
      <c r="U7" s="57" t="s">
        <v>77</v>
      </c>
      <c r="V7" s="313" t="s">
        <v>78</v>
      </c>
      <c r="W7" s="59" t="s">
        <v>79</v>
      </c>
      <c r="X7" s="59" t="s">
        <v>80</v>
      </c>
      <c r="Y7" s="60" t="s">
        <v>81</v>
      </c>
    </row>
    <row r="8" spans="1:29" ht="13.5" thickBot="1">
      <c r="A8" s="61" t="s">
        <v>26</v>
      </c>
      <c r="B8" s="62" t="s">
        <v>25</v>
      </c>
      <c r="C8" s="63" t="s">
        <v>82</v>
      </c>
      <c r="D8" s="64" t="s">
        <v>79</v>
      </c>
      <c r="E8" s="65" t="s">
        <v>83</v>
      </c>
      <c r="F8" s="65" t="s">
        <v>84</v>
      </c>
      <c r="G8" s="312" t="s">
        <v>85</v>
      </c>
      <c r="H8" s="361" t="s">
        <v>86</v>
      </c>
      <c r="I8" s="362"/>
      <c r="J8" s="363"/>
      <c r="K8" s="361" t="s">
        <v>86</v>
      </c>
      <c r="L8" s="362"/>
      <c r="M8" s="363"/>
      <c r="N8" s="66" t="s">
        <v>17</v>
      </c>
      <c r="O8" s="67" t="s">
        <v>18</v>
      </c>
      <c r="P8" s="62" t="s">
        <v>87</v>
      </c>
      <c r="Q8" s="63" t="s">
        <v>21</v>
      </c>
      <c r="R8" s="62" t="s">
        <v>31</v>
      </c>
      <c r="S8" s="68" t="s">
        <v>21</v>
      </c>
      <c r="T8" s="68" t="s">
        <v>21</v>
      </c>
      <c r="U8" s="68" t="s">
        <v>21</v>
      </c>
      <c r="V8" s="65" t="s">
        <v>88</v>
      </c>
      <c r="W8" s="69" t="s">
        <v>89</v>
      </c>
      <c r="X8" s="69"/>
      <c r="Y8" s="70"/>
    </row>
    <row r="9" spans="1:29" ht="18" customHeight="1">
      <c r="A9" s="185">
        <v>52.66</v>
      </c>
      <c r="B9" s="186" t="s">
        <v>95</v>
      </c>
      <c r="C9" s="187" t="s">
        <v>32</v>
      </c>
      <c r="D9" s="206" t="s">
        <v>137</v>
      </c>
      <c r="E9" s="188">
        <v>34413</v>
      </c>
      <c r="F9" s="189"/>
      <c r="G9" s="190" t="s">
        <v>164</v>
      </c>
      <c r="H9" s="191">
        <v>73</v>
      </c>
      <c r="I9" s="192">
        <v>-76</v>
      </c>
      <c r="J9" s="192">
        <v>-76</v>
      </c>
      <c r="K9" s="191">
        <v>93</v>
      </c>
      <c r="L9" s="192">
        <v>96</v>
      </c>
      <c r="M9" s="192">
        <v>98</v>
      </c>
      <c r="N9" s="209">
        <f>IF(MAX(H9:J9)&gt;0,IF(MAX(H9:J9)&lt;0,0,TRUNC(MAX(H9:J9)/1)*1),"")</f>
        <v>73</v>
      </c>
      <c r="O9" s="210">
        <f>IF(MAX(K9:M9)&gt;0,IF(MAX(K9:M9)&lt;0,0,TRUNC(MAX(K9:M9)/1)*1),"")</f>
        <v>98</v>
      </c>
      <c r="P9" s="211">
        <f>IF(N9="","",IF(O9="","",IF(SUM(N9:O9)=0,"",SUM(N9:O9))))</f>
        <v>171</v>
      </c>
      <c r="Q9" s="223">
        <f>IF(P9="","",IF(A9="","",IF(OR(C9="UK",C9="JK",C9="SK",C9="K1",C9="K2",C9="K3",C9="K4",C9="K5",C9="K6",C9="K7",C9="K8",C9="K9",C9="K10"),IF(A9&gt;153.655,P9,IF(A9&lt;28,10^(0.783497476*LOG10(28/153.655)^2)*P9,10^(0.783497476*LOG10(A9/153.655)^2)*P9)),IF(A9&gt;175.508,P9,IF(A9&lt;32,10^(0.75194503*LOG10(32/175.508)^2)*P9,10^(0.75194503*LOG10(A9/175.508)^2)*P9)))))</f>
        <v>252.61307858806134</v>
      </c>
      <c r="R9" s="162" t="str">
        <f>IF(OR(E9="",A9="",Z9="",Q9=""),"",IF(OR(C9="UM",C9="JM",C9="SM",C9="UK",C9="JK",C9="SK"),"",Q9*(IF(ABS(1900-YEAR((Z9+1)-E9))&lt;29,0,(VLOOKUP((YEAR(Z9)-YEAR(E9)),'Meltzer-Malone'!$A$3:$B$63,2))))))</f>
        <v/>
      </c>
      <c r="S9" s="163">
        <f>IF('K6'!G7="","",'K6'!G7)</f>
        <v>7.68</v>
      </c>
      <c r="T9" s="163">
        <f>IF('K6'!K7="","",'K6'!K7)</f>
        <v>15.55</v>
      </c>
      <c r="U9" s="163">
        <f>IF('K6'!N7="","",'K6'!N7)</f>
        <v>6.63</v>
      </c>
      <c r="V9" s="163"/>
      <c r="W9" s="164"/>
      <c r="X9" s="195"/>
      <c r="Y9" s="196" t="s">
        <v>42</v>
      </c>
      <c r="Z9" s="225">
        <f>U5</f>
        <v>43358</v>
      </c>
    </row>
    <row r="10" spans="1:29" ht="18" customHeight="1">
      <c r="A10" s="165"/>
      <c r="B10" s="166"/>
      <c r="C10" s="167"/>
      <c r="D10" s="168"/>
      <c r="E10" s="169"/>
      <c r="F10" s="193"/>
      <c r="G10" s="170" t="s">
        <v>124</v>
      </c>
      <c r="H10" s="338"/>
      <c r="I10" s="339"/>
      <c r="J10" s="340"/>
      <c r="K10" s="341"/>
      <c r="L10" s="342"/>
      <c r="M10" s="343"/>
      <c r="N10" s="167"/>
      <c r="O10" s="171"/>
      <c r="P10" s="334">
        <f>IF(Q9="","",Q9*1.2)</f>
        <v>303.13569430567361</v>
      </c>
      <c r="Q10" s="334"/>
      <c r="R10" s="222"/>
      <c r="S10" s="172">
        <f>IF(S9="","",S9*20)</f>
        <v>153.6</v>
      </c>
      <c r="T10" s="172">
        <f>IF(T9="","",T9*11)</f>
        <v>171.05</v>
      </c>
      <c r="U10" s="173">
        <f>IF(U9="","",IF((80+(8-ROUNDUP(U9,1))*40)&lt;0,0,80+(8-ROUNDUP(U9,1))*40))</f>
        <v>132.00000000000003</v>
      </c>
      <c r="V10" s="237">
        <f>IF(SUM(S10,T10,U10)&gt;0,SUM(S10,T10,U10),"")</f>
        <v>456.65</v>
      </c>
      <c r="W10" s="238">
        <f>IF(OR(P10="",S10="",T10="",U10=""),"",SUM(P10,S10,T10,U10))</f>
        <v>759.78569430567359</v>
      </c>
      <c r="X10" s="239">
        <v>1</v>
      </c>
      <c r="Y10" s="240"/>
      <c r="Z10" s="225"/>
    </row>
    <row r="11" spans="1:29" ht="18" customHeight="1">
      <c r="A11" s="185">
        <v>57.6</v>
      </c>
      <c r="B11" s="186" t="s">
        <v>99</v>
      </c>
      <c r="C11" s="187" t="s">
        <v>32</v>
      </c>
      <c r="D11" s="206" t="s">
        <v>137</v>
      </c>
      <c r="E11" s="188">
        <v>33830</v>
      </c>
      <c r="F11" s="189"/>
      <c r="G11" s="190" t="s">
        <v>165</v>
      </c>
      <c r="H11" s="191">
        <v>80</v>
      </c>
      <c r="I11" s="192">
        <v>83</v>
      </c>
      <c r="J11" s="192">
        <v>-85</v>
      </c>
      <c r="K11" s="191">
        <v>100</v>
      </c>
      <c r="L11" s="192">
        <v>-104</v>
      </c>
      <c r="M11" s="192">
        <v>-104</v>
      </c>
      <c r="N11" s="209">
        <f>IF(MAX(H11:J11)&gt;0,IF(MAX(H11:J11)&lt;0,0,TRUNC(MAX(H11:J11)/1)*1),"")</f>
        <v>83</v>
      </c>
      <c r="O11" s="210">
        <f>IF(MAX(K11:M11)&gt;0,IF(MAX(K11:M11)&lt;0,0,TRUNC(MAX(K11:M11)/1)*1),"")</f>
        <v>100</v>
      </c>
      <c r="P11" s="211">
        <f>IF(N11="","",IF(O11="","",IF(SUM(N11:O11)=0,"",SUM(N11:O11))))</f>
        <v>183</v>
      </c>
      <c r="Q11" s="223">
        <f>IF(P11="","",IF(A11="","",IF(OR(C11="UK",C11="JK",C11="SK",C11="K1",C11="K2",C11="K3",C11="K4",C11="K5",C11="K6",C11="K7",C11="K8",C11="K9",C11="K10"),IF(A11&gt;153.655,P11,IF(A11&lt;28,10^(0.783497476*LOG10(28/153.655)^2)*P11,10^(0.783497476*LOG10(A11/153.655)^2)*P11)),IF(A11&gt;175.508,P11,IF(A11&lt;32,10^(0.75194503*LOG10(32/175.508)^2)*P11,10^(0.75194503*LOG10(A11/175.508)^2)*P11)))))</f>
        <v>253.93350503073123</v>
      </c>
      <c r="R11" s="224" t="str">
        <f>IF(OR(E11="",A11="",Z11="",Q11=""),"",IF(OR(C11="UM",C11="JM",C11="SM",C11="UK",C11="JK",C11="SK"),"",Q11*(IF(ABS(1900-YEAR((Z11+1)-E11))&lt;29,0,(VLOOKUP((YEAR(Z11)-YEAR(E11)),'Meltzer-Malone'!$A$3:$B$63,2))))))</f>
        <v/>
      </c>
      <c r="S11" s="174" t="str">
        <f>IF('K6'!G9="","",'K6'!G9)</f>
        <v/>
      </c>
      <c r="T11" s="174" t="str">
        <f>IF('K6'!K9="","",'K6'!K9)</f>
        <v/>
      </c>
      <c r="U11" s="174" t="str">
        <f>IF('K6'!N9="","",'K6'!N9)</f>
        <v/>
      </c>
      <c r="V11" s="163"/>
      <c r="W11" s="164"/>
      <c r="X11" s="175"/>
      <c r="Y11" s="176"/>
      <c r="Z11" s="225">
        <f>U5</f>
        <v>43358</v>
      </c>
      <c r="AC11" t="s">
        <v>42</v>
      </c>
    </row>
    <row r="12" spans="1:29" ht="18" customHeight="1">
      <c r="A12" s="165"/>
      <c r="B12" s="166"/>
      <c r="C12" s="167"/>
      <c r="D12" s="168"/>
      <c r="E12" s="169"/>
      <c r="F12" s="193"/>
      <c r="G12" s="170" t="s">
        <v>131</v>
      </c>
      <c r="H12" s="338"/>
      <c r="I12" s="339"/>
      <c r="J12" s="340"/>
      <c r="K12" s="341"/>
      <c r="L12" s="342"/>
      <c r="M12" s="343"/>
      <c r="N12" s="167"/>
      <c r="O12" s="171"/>
      <c r="P12" s="334">
        <f>IF(Q11="","",Q11*1.2)</f>
        <v>304.72020603687747</v>
      </c>
      <c r="Q12" s="334"/>
      <c r="R12" s="222"/>
      <c r="S12" s="172" t="str">
        <f>IF(S11="","",S11*20)</f>
        <v/>
      </c>
      <c r="T12" s="172" t="str">
        <f>IF(T11="","",T11*11)</f>
        <v/>
      </c>
      <c r="U12" s="173" t="str">
        <f>IF(U11="","",IF((80+(8-ROUNDUP(U11,1))*40)&lt;0,0,80+(8-ROUNDUP(U11,1))*40))</f>
        <v/>
      </c>
      <c r="V12" s="237" t="str">
        <f>IF(SUM(S12,T12,U12)&gt;0,SUM(S12,T12,U12),"")</f>
        <v/>
      </c>
      <c r="W12" s="238" t="str">
        <f>IF(OR(P12="",S12="",T12="",U12=""),"",SUM(P12,S12,T12,U12))</f>
        <v/>
      </c>
      <c r="X12" s="239"/>
      <c r="Y12" s="240"/>
      <c r="Z12" s="225"/>
    </row>
    <row r="13" spans="1:29" ht="18" customHeight="1">
      <c r="A13" s="185">
        <v>62.64</v>
      </c>
      <c r="B13" s="186" t="s">
        <v>109</v>
      </c>
      <c r="C13" s="187" t="s">
        <v>32</v>
      </c>
      <c r="D13" s="206" t="s">
        <v>137</v>
      </c>
      <c r="E13" s="188">
        <v>32986</v>
      </c>
      <c r="F13" s="189"/>
      <c r="G13" s="190" t="s">
        <v>166</v>
      </c>
      <c r="H13" s="191">
        <v>-85</v>
      </c>
      <c r="I13" s="192">
        <v>85</v>
      </c>
      <c r="J13" s="192">
        <v>-88</v>
      </c>
      <c r="K13" s="191">
        <v>-105</v>
      </c>
      <c r="L13" s="192">
        <v>-105</v>
      </c>
      <c r="M13" s="192" t="s">
        <v>48</v>
      </c>
      <c r="N13" s="209">
        <f>IF(MAX(H13:J13)&gt;0,IF(MAX(H13:J13)&lt;0,0,TRUNC(MAX(H13:J13)/1)*1),"")</f>
        <v>85</v>
      </c>
      <c r="O13" s="210" t="str">
        <f>IF(MAX(K13:M13)&gt;0,IF(MAX(K13:M13)&lt;0,0,TRUNC(MAX(K13:M13)/1)*1),"")</f>
        <v/>
      </c>
      <c r="P13" s="211" t="str">
        <f>IF(N13="","",IF(O13="","",IF(SUM(N13:O13)=0,"",SUM(N13:O13))))</f>
        <v/>
      </c>
      <c r="Q13" s="223" t="str">
        <f>IF(P13="","",IF(A13="","",IF(OR(C13="UK",C13="JK",C13="SK",C13="K1",C13="K2",C13="K3",C13="K4",C13="K5",C13="K6",C13="K7",C13="K8",C13="K9",C13="K10"),IF(A13&gt;153.655,P13,IF(A13&lt;28,10^(0.783497476*LOG10(28/153.655)^2)*P13,10^(0.783497476*LOG10(A13/153.655)^2)*P13)),IF(A13&gt;175.508,P13,IF(A13&lt;32,10^(0.75194503*LOG10(32/175.508)^2)*P13,10^(0.75194503*LOG10(A13/175.508)^2)*P13)))))</f>
        <v/>
      </c>
      <c r="R13" s="224" t="str">
        <f>IF(OR(E13="",A13="",Z13="",Q13=""),"",IF(OR(C13="UM",C13="JM",C13="SM",C13="UK",C13="JK",C13="SK"),"",Q13*(IF(ABS(1900-YEAR((Z13+1)-E13))&lt;29,0,(VLOOKUP((YEAR(Z13)-YEAR(E13)),'Meltzer-Malone'!$A$3:$B$63,2))))))</f>
        <v/>
      </c>
      <c r="S13" s="174" t="str">
        <f>IF('K6'!G11="","",'K6'!G11)</f>
        <v/>
      </c>
      <c r="T13" s="174" t="str">
        <f>IF('K6'!K11="","",'K6'!K11)</f>
        <v/>
      </c>
      <c r="U13" s="174" t="str">
        <f>IF('K6'!N11="","",'K6'!N11)</f>
        <v/>
      </c>
      <c r="V13" s="163"/>
      <c r="W13" s="164"/>
      <c r="X13" s="175"/>
      <c r="Y13" s="176"/>
      <c r="Z13" s="225">
        <f>U5</f>
        <v>43358</v>
      </c>
    </row>
    <row r="14" spans="1:29" ht="18" customHeight="1">
      <c r="A14" s="165"/>
      <c r="B14" s="166"/>
      <c r="C14" s="167"/>
      <c r="D14" s="168"/>
      <c r="E14" s="169"/>
      <c r="F14" s="193"/>
      <c r="G14" s="170" t="s">
        <v>127</v>
      </c>
      <c r="H14" s="338"/>
      <c r="I14" s="339"/>
      <c r="J14" s="340"/>
      <c r="K14" s="341"/>
      <c r="L14" s="342"/>
      <c r="M14" s="343"/>
      <c r="N14" s="167"/>
      <c r="O14" s="171"/>
      <c r="P14" s="334" t="str">
        <f>IF(Q13="","",Q13*1.2)</f>
        <v/>
      </c>
      <c r="Q14" s="334"/>
      <c r="R14" s="222"/>
      <c r="S14" s="172" t="str">
        <f>IF(S13="","",S13*20)</f>
        <v/>
      </c>
      <c r="T14" s="172" t="str">
        <f>IF(T13="","",T13*11)</f>
        <v/>
      </c>
      <c r="U14" s="173" t="str">
        <f>IF(U13="","",IF((80+(8-ROUNDUP(U13,1))*40)&lt;0,0,80+(8-ROUNDUP(U13,1))*40))</f>
        <v/>
      </c>
      <c r="V14" s="237" t="str">
        <f>IF(SUM(S14,T14,U14)&gt;0,SUM(S14,T14,U14),"")</f>
        <v/>
      </c>
      <c r="W14" s="238" t="str">
        <f>IF(OR(P14="",S14="",T14="",U14=""),"",SUM(P14,S14,T14,U14))</f>
        <v/>
      </c>
      <c r="X14" s="239"/>
      <c r="Y14" s="240"/>
      <c r="Z14" s="225"/>
    </row>
    <row r="15" spans="1:29" ht="18" customHeight="1">
      <c r="A15" s="185">
        <v>64.42</v>
      </c>
      <c r="B15" s="186" t="s">
        <v>128</v>
      </c>
      <c r="C15" s="187" t="s">
        <v>32</v>
      </c>
      <c r="D15" s="262" t="s">
        <v>137</v>
      </c>
      <c r="E15" s="187" t="s">
        <v>167</v>
      </c>
      <c r="F15" s="189"/>
      <c r="G15" s="212" t="s">
        <v>168</v>
      </c>
      <c r="H15" s="213">
        <v>71</v>
      </c>
      <c r="I15" s="214">
        <v>76</v>
      </c>
      <c r="J15" s="214">
        <v>80</v>
      </c>
      <c r="K15" s="213">
        <v>92</v>
      </c>
      <c r="L15" s="214">
        <v>96</v>
      </c>
      <c r="M15" s="214">
        <v>100</v>
      </c>
      <c r="N15" s="209">
        <f>IF(MAX(H15:J15)&gt;0,IF(MAX(H15:J15)&lt;0,0,TRUNC(MAX(H15:J15)/1)*1),"")</f>
        <v>80</v>
      </c>
      <c r="O15" s="210">
        <f>IF(MAX(K15:M15)&gt;0,IF(MAX(K15:M15)&lt;0,0,TRUNC(MAX(K15:M15)/1)*1),"")</f>
        <v>100</v>
      </c>
      <c r="P15" s="211">
        <f>IF(N15="","",IF(O15="","",IF(SUM(N15:O15)=0,"",SUM(N15:O15))))</f>
        <v>180</v>
      </c>
      <c r="Q15" s="223">
        <f>IF(P15="","",IF(A15="","",IF(OR(C15="UK",C15="JK",C15="SK",C15="K1",C15="K2",C15="K3",C15="K4",C15="K5",C15="K6",C15="K7",C15="K8",C15="K9",C15="K10"),IF(A15&gt;153.655,P15,IF(A15&lt;28,10^(0.783497476*LOG10(28/153.655)^2)*P15,10^(0.783497476*LOG10(A15/153.655)^2)*P15)),IF(A15&gt;175.508,P15,IF(A15&lt;32,10^(0.75194503*LOG10(32/175.508)^2)*P15,10^(0.75194503*LOG10(A15/175.508)^2)*P15)))))</f>
        <v>232.77758540751529</v>
      </c>
      <c r="R15" s="224" t="str">
        <f>IF(OR(E15="",A15="",Z15="",Q15=""),"",IF(OR(C15="UM",C15="JM",C15="SM",C15="UK",C15="JK",C15="SK"),"",Q15*(IF(ABS(1900-YEAR((Z15+1)-E15))&lt;29,0,(VLOOKUP((YEAR(Z15)-YEAR(E15)),'Meltzer-Malone'!$A$3:$B$63,2))))))</f>
        <v/>
      </c>
      <c r="S15" s="174">
        <f>IF('K6'!G13="","",'K6'!G13)</f>
        <v>7.46</v>
      </c>
      <c r="T15" s="174">
        <f>IF('K6'!K13="","",'K6'!K13)</f>
        <v>12.33</v>
      </c>
      <c r="U15" s="174">
        <f>IF('K6'!N13="","",'K6'!N13)</f>
        <v>6.58</v>
      </c>
      <c r="V15" s="163"/>
      <c r="W15" s="164"/>
      <c r="X15" s="175"/>
      <c r="Y15" s="176" t="s">
        <v>42</v>
      </c>
      <c r="Z15" s="225">
        <f>U5</f>
        <v>43358</v>
      </c>
    </row>
    <row r="16" spans="1:29" ht="18" customHeight="1">
      <c r="A16" s="165"/>
      <c r="B16" s="166"/>
      <c r="C16" s="167"/>
      <c r="D16" s="168"/>
      <c r="E16" s="215"/>
      <c r="F16" s="193"/>
      <c r="G16" s="216" t="s">
        <v>34</v>
      </c>
      <c r="H16" s="338"/>
      <c r="I16" s="339"/>
      <c r="J16" s="340"/>
      <c r="K16" s="341"/>
      <c r="L16" s="342"/>
      <c r="M16" s="343"/>
      <c r="N16" s="167"/>
      <c r="O16" s="171"/>
      <c r="P16" s="334">
        <f>IF(Q15="","",Q15*1.2)</f>
        <v>279.33310248901836</v>
      </c>
      <c r="Q16" s="334"/>
      <c r="R16" s="222"/>
      <c r="S16" s="172">
        <f>IF(S15="","",S15*20)</f>
        <v>149.19999999999999</v>
      </c>
      <c r="T16" s="172">
        <f>IF(T15="","",T15*11)</f>
        <v>135.63</v>
      </c>
      <c r="U16" s="173">
        <f>IF(U15="","",IF((80+(8-ROUNDUP(U15,1))*40)&lt;0,0,80+(8-ROUNDUP(U15,1))*40))</f>
        <v>136</v>
      </c>
      <c r="V16" s="237">
        <f>IF(SUM(S16,T16,U16)&gt;0,SUM(S16,T16,U16),"")</f>
        <v>420.83</v>
      </c>
      <c r="W16" s="238">
        <f>IF(OR(P16="",S16="",T16="",U16=""),"",SUM(P16,S16,T16,U16))</f>
        <v>700.16310248901834</v>
      </c>
      <c r="X16" s="239">
        <v>3</v>
      </c>
      <c r="Y16" s="240"/>
      <c r="Z16" s="225"/>
    </row>
    <row r="17" spans="1:29" ht="18" customHeight="1">
      <c r="A17" s="185">
        <v>64.81</v>
      </c>
      <c r="B17" s="186" t="s">
        <v>128</v>
      </c>
      <c r="C17" s="187" t="s">
        <v>32</v>
      </c>
      <c r="D17" s="206" t="s">
        <v>137</v>
      </c>
      <c r="E17" s="188">
        <v>33735</v>
      </c>
      <c r="F17" s="189"/>
      <c r="G17" s="190" t="s">
        <v>169</v>
      </c>
      <c r="H17" s="191">
        <v>87</v>
      </c>
      <c r="I17" s="192">
        <v>-91</v>
      </c>
      <c r="J17" s="192">
        <v>-91</v>
      </c>
      <c r="K17" s="191">
        <v>102</v>
      </c>
      <c r="L17" s="192">
        <v>-107</v>
      </c>
      <c r="M17" s="192">
        <v>-110</v>
      </c>
      <c r="N17" s="209">
        <f>IF(MAX(H17:J17)&gt;0,IF(MAX(H17:J17)&lt;0,0,TRUNC(MAX(H17:J17)/1)*1),"")</f>
        <v>87</v>
      </c>
      <c r="O17" s="210">
        <f>IF(MAX(K17:M17)&gt;0,IF(MAX(K17:M17)&lt;0,0,TRUNC(MAX(K17:M17)/1)*1),"")</f>
        <v>102</v>
      </c>
      <c r="P17" s="211">
        <f>IF(N17="","",IF(O17="","",IF(SUM(N17:O17)=0,"",SUM(N17:O17))))</f>
        <v>189</v>
      </c>
      <c r="Q17" s="223">
        <f>IF(P17="","",IF(A17="","",IF(OR(C17="UK",C17="JK",C17="SK",C17="K1",C17="K2",C17="K3",C17="K4",C17="K5",C17="K6",C17="K7",C17="K8",C17="K9",C17="K10"),IF(A17&gt;153.655,P17,IF(A17&lt;28,10^(0.783497476*LOG10(28/153.655)^2)*P17,10^(0.783497476*LOG10(A17/153.655)^2)*P17)),IF(A17&gt;175.508,P17,IF(A17&lt;32,10^(0.75194503*LOG10(32/175.508)^2)*P17,10^(0.75194503*LOG10(A17/175.508)^2)*P17)))))</f>
        <v>243.54831485617498</v>
      </c>
      <c r="R17" s="224" t="str">
        <f>IF(OR(E17="",A17="",Z17="",Q17=""),"",IF(OR(C17="UM",C17="JM",C17="SM",C17="UK",C17="JK",C17="SK"),"",Q17*(IF(ABS(1900-YEAR((Z17+1)-E17))&lt;29,0,(VLOOKUP((YEAR(Z17)-YEAR(E17)),'Meltzer-Malone'!$A$3:$B$63,2))))))</f>
        <v/>
      </c>
      <c r="S17" s="174">
        <f>IF('K6'!G15="","",'K6'!G15)</f>
        <v>7.63</v>
      </c>
      <c r="T17" s="174">
        <f>IF('K6'!K15="","",'K6'!K15)</f>
        <v>15.37</v>
      </c>
      <c r="U17" s="174">
        <f>IF('K6'!N15="","",'K6'!N15)</f>
        <v>6.73</v>
      </c>
      <c r="V17" s="163"/>
      <c r="W17" s="164"/>
      <c r="X17" s="175"/>
      <c r="Y17" s="176"/>
      <c r="Z17" s="225">
        <f>U5</f>
        <v>43358</v>
      </c>
    </row>
    <row r="18" spans="1:29" ht="18" customHeight="1">
      <c r="A18" s="165"/>
      <c r="B18" s="166"/>
      <c r="C18" s="167"/>
      <c r="D18" s="168"/>
      <c r="E18" s="169"/>
      <c r="F18" s="193"/>
      <c r="G18" s="170" t="s">
        <v>103</v>
      </c>
      <c r="H18" s="338"/>
      <c r="I18" s="339"/>
      <c r="J18" s="340"/>
      <c r="K18" s="341"/>
      <c r="L18" s="342"/>
      <c r="M18" s="343"/>
      <c r="N18" s="167"/>
      <c r="O18" s="171"/>
      <c r="P18" s="334">
        <f>IF(Q17="","",Q17*1.2)</f>
        <v>292.25797782740995</v>
      </c>
      <c r="Q18" s="334"/>
      <c r="R18" s="222"/>
      <c r="S18" s="172">
        <f>IF(S17="","",S17*20)</f>
        <v>152.6</v>
      </c>
      <c r="T18" s="172">
        <f>IF(T17="","",T17*11)</f>
        <v>169.07</v>
      </c>
      <c r="U18" s="173">
        <f>IF(U17="","",IF((80+(8-ROUNDUP(U17,1))*40)&lt;0,0,80+(8-ROUNDUP(U17,1))*40))</f>
        <v>128</v>
      </c>
      <c r="V18" s="237">
        <f>IF(SUM(S18,T18,U18)&gt;0,SUM(S18,T18,U18),"")</f>
        <v>449.66999999999996</v>
      </c>
      <c r="W18" s="238">
        <f>IF(OR(P18="",S18="",T18="",U18=""),"",SUM(P18,S18,T18,U18))</f>
        <v>741.9279778274099</v>
      </c>
      <c r="X18" s="239">
        <v>2</v>
      </c>
      <c r="Y18" s="240"/>
      <c r="Z18" s="225"/>
      <c r="AC18" t="s">
        <v>42</v>
      </c>
    </row>
    <row r="19" spans="1:29" ht="18" customHeight="1">
      <c r="A19" s="185">
        <v>74.510000000000005</v>
      </c>
      <c r="B19" s="186" t="s">
        <v>112</v>
      </c>
      <c r="C19" s="187" t="s">
        <v>32</v>
      </c>
      <c r="D19" s="262" t="s">
        <v>137</v>
      </c>
      <c r="E19" s="187" t="s">
        <v>170</v>
      </c>
      <c r="F19" s="189"/>
      <c r="G19" s="212" t="s">
        <v>171</v>
      </c>
      <c r="H19" s="213">
        <v>73</v>
      </c>
      <c r="I19" s="214">
        <v>77</v>
      </c>
      <c r="J19" s="214">
        <v>-80</v>
      </c>
      <c r="K19" s="213">
        <v>93</v>
      </c>
      <c r="L19" s="214">
        <v>97</v>
      </c>
      <c r="M19" s="214">
        <v>-100</v>
      </c>
      <c r="N19" s="209">
        <f>IF(MAX(H19:J19)&gt;0,IF(MAX(H19:J19)&lt;0,0,TRUNC(MAX(H19:J19)/1)*1),"")</f>
        <v>77</v>
      </c>
      <c r="O19" s="210">
        <f>IF(MAX(K19:M19)&gt;0,IF(MAX(K19:M19)&lt;0,0,TRUNC(MAX(K19:M19)/1)*1),"")</f>
        <v>97</v>
      </c>
      <c r="P19" s="211">
        <f>IF(N19="","",IF(O19="","",IF(SUM(N19:O19)=0,"",SUM(N19:O19))))</f>
        <v>174</v>
      </c>
      <c r="Q19" s="223">
        <f>IF(P19="","",IF(A19="","",IF(OR(C19="UK",C19="JK",C19="SK",C19="K1",C19="K2",C19="K3",C19="K4",C19="K5",C19="K6",C19="K7",C19="K8",C19="K9",C19="K10"),IF(A19&gt;153.655,P19,IF(A19&lt;28,10^(0.783497476*LOG10(28/153.655)^2)*P19,10^(0.783497476*LOG10(A19/153.655)^2)*P19)),IF(A19&gt;175.508,P19,IF(A19&lt;32,10^(0.75194503*LOG10(32/175.508)^2)*P19,10^(0.75194503*LOG10(A19/175.508)^2)*P19)))))</f>
        <v>207.95169932839147</v>
      </c>
      <c r="R19" s="224" t="str">
        <f>IF(OR(E19="",A19="",Z19="",Q19=""),"",IF(OR(C19="UM",C19="JM",C19="SM",C19="UK",C19="JK",C19="SK"),"",Q19*(IF(ABS(1900-YEAR((Z19+1)-E19))&lt;29,0,(VLOOKUP((YEAR(Z19)-YEAR(E19)),'Meltzer-Malone'!$A$3:$B$63,2))))))</f>
        <v/>
      </c>
      <c r="S19" s="174">
        <f>IF('K6'!G17="","",'K6'!G17)</f>
        <v>6.82</v>
      </c>
      <c r="T19" s="174">
        <f>IF('K6'!K17="","",'K6'!K17)</f>
        <v>14.35</v>
      </c>
      <c r="U19" s="174">
        <f>IF('K6'!N17="","",'K6'!N17)</f>
        <v>7.12</v>
      </c>
      <c r="V19" s="163"/>
      <c r="W19" s="164"/>
      <c r="X19" s="175"/>
      <c r="Y19" s="176"/>
      <c r="Z19" s="225">
        <f>U5</f>
        <v>43358</v>
      </c>
    </row>
    <row r="20" spans="1:29" ht="18" customHeight="1">
      <c r="A20" s="165"/>
      <c r="B20" s="166"/>
      <c r="C20" s="167"/>
      <c r="D20" s="168"/>
      <c r="E20" s="215"/>
      <c r="F20" s="193"/>
      <c r="G20" s="216" t="s">
        <v>124</v>
      </c>
      <c r="H20" s="338"/>
      <c r="I20" s="339"/>
      <c r="J20" s="340"/>
      <c r="K20" s="341"/>
      <c r="L20" s="342"/>
      <c r="M20" s="343"/>
      <c r="N20" s="167"/>
      <c r="O20" s="171"/>
      <c r="P20" s="334">
        <f>IF(Q19="","",Q19*1.2)</f>
        <v>249.54203919406976</v>
      </c>
      <c r="Q20" s="334"/>
      <c r="R20" s="222"/>
      <c r="S20" s="172">
        <f>IF(S19="","",S19*20)</f>
        <v>136.4</v>
      </c>
      <c r="T20" s="172">
        <f>IF(T19="","",T19*11)</f>
        <v>157.85</v>
      </c>
      <c r="U20" s="173">
        <f>IF(U19="","",IF((80+(8-ROUNDUP(U19,1))*40)&lt;0,0,80+(8-ROUNDUP(U19,1))*40))</f>
        <v>112.00000000000003</v>
      </c>
      <c r="V20" s="237">
        <f>IF(SUM(S20,T20,U20)&gt;0,SUM(S20,T20,U20),"")</f>
        <v>406.25</v>
      </c>
      <c r="W20" s="238">
        <f>IF(OR(P20="",S20="",T20="",U20=""),"",SUM(P20,S20,T20,U20))</f>
        <v>655.79203919406973</v>
      </c>
      <c r="X20" s="239">
        <v>7</v>
      </c>
      <c r="Y20" s="240"/>
      <c r="Z20" s="225"/>
    </row>
    <row r="21" spans="1:29" ht="18" customHeight="1">
      <c r="A21" s="185">
        <v>70.89</v>
      </c>
      <c r="B21" s="186" t="s">
        <v>112</v>
      </c>
      <c r="C21" s="187" t="s">
        <v>121</v>
      </c>
      <c r="D21" s="206" t="s">
        <v>137</v>
      </c>
      <c r="E21" s="188">
        <v>36232</v>
      </c>
      <c r="F21" s="189"/>
      <c r="G21" s="190" t="s">
        <v>172</v>
      </c>
      <c r="H21" s="191">
        <v>74</v>
      </c>
      <c r="I21" s="192">
        <v>77</v>
      </c>
      <c r="J21" s="192">
        <v>-80</v>
      </c>
      <c r="K21" s="191">
        <v>85</v>
      </c>
      <c r="L21" s="192">
        <v>-90</v>
      </c>
      <c r="M21" s="192">
        <v>90</v>
      </c>
      <c r="N21" s="209">
        <f>IF(MAX(H21:J21)&gt;0,IF(MAX(H21:J21)&lt;0,0,TRUNC(MAX(H21:J21)/1)*1),"")</f>
        <v>77</v>
      </c>
      <c r="O21" s="210">
        <f>IF(MAX(K21:M21)&gt;0,IF(MAX(K21:M21)&lt;0,0,TRUNC(MAX(K21:M21)/1)*1),"")</f>
        <v>90</v>
      </c>
      <c r="P21" s="211">
        <f>IF(N21="","",IF(O21="","",IF(SUM(N21:O21)=0,"",SUM(N21:O21))))</f>
        <v>167</v>
      </c>
      <c r="Q21" s="223">
        <f>IF(P21="","",IF(A21="","",IF(OR(C21="UK",C21="JK",C21="SK",C21="K1",C21="K2",C21="K3",C21="K4",C21="K5",C21="K6",C21="K7",C21="K8",C21="K9",C21="K10"),IF(A21&gt;153.655,P21,IF(A21&lt;28,10^(0.783497476*LOG10(28/153.655)^2)*P21,10^(0.783497476*LOG10(A21/153.655)^2)*P21)),IF(A21&gt;175.508,P21,IF(A21&lt;32,10^(0.75194503*LOG10(32/175.508)^2)*P21,10^(0.75194503*LOG10(A21/175.508)^2)*P21)))))</f>
        <v>204.7151805994188</v>
      </c>
      <c r="R21" s="224" t="str">
        <f>IF(OR(E21="",A21="",Z21="",Q21=""),"",IF(OR(C21="UM",C21="JM",C21="SM",C21="UK",C21="JK",C21="SK"),"",Q21*(IF(ABS(1900-YEAR((Z21+1)-E21))&lt;29,0,(VLOOKUP((YEAR(Z21)-YEAR(E21)),'Meltzer-Malone'!$A$3:$B$63,2))))))</f>
        <v/>
      </c>
      <c r="S21" s="174" t="str">
        <f>IF('K6'!G19="","",'K6'!G19)</f>
        <v/>
      </c>
      <c r="T21" s="174" t="str">
        <f>IF('K6'!K19="","",'K6'!K19)</f>
        <v/>
      </c>
      <c r="U21" s="174" t="str">
        <f>IF('K6'!N19="","",'K6'!N19)</f>
        <v/>
      </c>
      <c r="V21" s="163"/>
      <c r="W21" s="164"/>
      <c r="X21" s="175"/>
      <c r="Y21" s="176"/>
      <c r="Z21" s="225">
        <f>U5</f>
        <v>43358</v>
      </c>
    </row>
    <row r="22" spans="1:29" ht="18" customHeight="1">
      <c r="A22" s="165"/>
      <c r="B22" s="166"/>
      <c r="C22" s="167"/>
      <c r="D22" s="168"/>
      <c r="E22" s="169"/>
      <c r="F22" s="193"/>
      <c r="G22" s="170" t="s">
        <v>94</v>
      </c>
      <c r="H22" s="338"/>
      <c r="I22" s="339"/>
      <c r="J22" s="340"/>
      <c r="K22" s="341"/>
      <c r="L22" s="342"/>
      <c r="M22" s="343"/>
      <c r="N22" s="167"/>
      <c r="O22" s="171"/>
      <c r="P22" s="334">
        <f>IF(Q21="","",Q21*1.2)</f>
        <v>245.65821671930254</v>
      </c>
      <c r="Q22" s="334"/>
      <c r="R22" s="222"/>
      <c r="S22" s="172" t="str">
        <f>IF(S21="","",S21*20)</f>
        <v/>
      </c>
      <c r="T22" s="172" t="str">
        <f>IF(T21="","",T21*11)</f>
        <v/>
      </c>
      <c r="U22" s="173" t="str">
        <f>IF(U21="","",IF((80+(8-ROUNDUP(U21,1))*40)&lt;0,0,80+(8-ROUNDUP(U21,1))*40))</f>
        <v/>
      </c>
      <c r="V22" s="237" t="str">
        <f>IF(SUM(S22,T22,U22)&gt;0,SUM(S22,T22,U22),"")</f>
        <v/>
      </c>
      <c r="W22" s="238" t="str">
        <f>IF(OR(P22="",S22="",T22="",U22=""),"",SUM(P22,S22,T22,U22))</f>
        <v/>
      </c>
      <c r="X22" s="239"/>
      <c r="Y22" s="240"/>
      <c r="Z22" s="225"/>
    </row>
    <row r="23" spans="1:29" ht="18" customHeight="1">
      <c r="A23" s="185">
        <v>86.88</v>
      </c>
      <c r="B23" s="186" t="s">
        <v>147</v>
      </c>
      <c r="C23" s="187" t="s">
        <v>32</v>
      </c>
      <c r="D23" s="262" t="s">
        <v>137</v>
      </c>
      <c r="E23" s="187" t="s">
        <v>173</v>
      </c>
      <c r="F23" s="189"/>
      <c r="G23" s="212" t="s">
        <v>174</v>
      </c>
      <c r="H23" s="213">
        <v>-72</v>
      </c>
      <c r="I23" s="214">
        <v>-73</v>
      </c>
      <c r="J23" s="214">
        <v>73</v>
      </c>
      <c r="K23" s="213">
        <v>98</v>
      </c>
      <c r="L23" s="214">
        <v>102</v>
      </c>
      <c r="M23" s="214">
        <v>-104</v>
      </c>
      <c r="N23" s="209">
        <f>IF(MAX(H23:J23)&gt;0,IF(MAX(H23:J23)&lt;0,0,TRUNC(MAX(H23:J23)/1)*1),"")</f>
        <v>73</v>
      </c>
      <c r="O23" s="210">
        <f>IF(MAX(K23:M23)&gt;0,IF(MAX(K23:M23)&lt;0,0,TRUNC(MAX(K23:M23)/1)*1),"")</f>
        <v>102</v>
      </c>
      <c r="P23" s="211">
        <f>IF(N23="","",IF(O23="","",IF(SUM(N23:O23)=0,"",SUM(N23:O23))))</f>
        <v>175</v>
      </c>
      <c r="Q23" s="223">
        <f>IF(P23="","",IF(A23="","",IF(OR(C23="UK",C23="JK",C23="SK",C23="K1",C23="K2",C23="K3",C23="K4",C23="K5",C23="K6",C23="K7",C23="K8",C23="K9",C23="K10"),IF(A23&gt;153.655,P23,IF(A23&lt;28,10^(0.783497476*LOG10(28/153.655)^2)*P23,10^(0.783497476*LOG10(A23/153.655)^2)*P23)),IF(A23&gt;175.508,P23,IF(A23&lt;32,10^(0.75194503*LOG10(32/175.508)^2)*P23,10^(0.75194503*LOG10(A23/175.508)^2)*P23)))))</f>
        <v>195.47057406605495</v>
      </c>
      <c r="R23" s="224" t="str">
        <f>IF(OR(E23="",A23="",Z23="",Q23=""),"",IF(OR(C23="UM",C23="JM",C23="SM",C23="UK",C23="JK",C23="SK"),"",Q23*(IF(ABS(1900-YEAR((Z23+1)-E23))&lt;29,0,(VLOOKUP((YEAR(Z23)-YEAR(E23)),'Meltzer-Malone'!$A$3:$B$63,2))))))</f>
        <v/>
      </c>
      <c r="S23" s="174">
        <f>IF('K6'!G21="","",'K6'!G21)</f>
        <v>6.74</v>
      </c>
      <c r="T23" s="174">
        <f>IF('K6'!K21="","",'K6'!K21)</f>
        <v>13.79</v>
      </c>
      <c r="U23" s="174">
        <f>IF('K6'!N21="","",'K6'!N21)</f>
        <v>7.62</v>
      </c>
      <c r="V23" s="163"/>
      <c r="W23" s="164"/>
      <c r="X23" s="175"/>
      <c r="Y23" s="176"/>
      <c r="Z23" s="225">
        <f>U5</f>
        <v>43358</v>
      </c>
    </row>
    <row r="24" spans="1:29" ht="18" customHeight="1">
      <c r="A24" s="276"/>
      <c r="B24" s="166"/>
      <c r="C24" s="167"/>
      <c r="D24" s="168"/>
      <c r="E24" s="215"/>
      <c r="F24" s="193"/>
      <c r="G24" s="216" t="s">
        <v>103</v>
      </c>
      <c r="H24" s="338"/>
      <c r="I24" s="339"/>
      <c r="J24" s="340"/>
      <c r="K24" s="341"/>
      <c r="L24" s="342"/>
      <c r="M24" s="343"/>
      <c r="N24" s="167"/>
      <c r="O24" s="171"/>
      <c r="P24" s="334">
        <f>IF(Q23="","",Q23*1.2)</f>
        <v>234.56468887926593</v>
      </c>
      <c r="Q24" s="334"/>
      <c r="R24" s="222"/>
      <c r="S24" s="172">
        <f>IF(S23="","",S23*20)</f>
        <v>134.80000000000001</v>
      </c>
      <c r="T24" s="172">
        <f>IF(T23="","",T23*11)</f>
        <v>151.69</v>
      </c>
      <c r="U24" s="173">
        <f>IF(U23="","",IF((80+(8-ROUNDUP(U23,1))*40)&lt;0,0,80+(8-ROUNDUP(U23,1))*40))</f>
        <v>92.000000000000028</v>
      </c>
      <c r="V24" s="237">
        <f>IF(SUM(S24,T24,U24)&gt;0,SUM(S24,T24,U24),"")</f>
        <v>378.49</v>
      </c>
      <c r="W24" s="238">
        <f>IF(OR(P24="",S24="",T24="",U24=""),"",SUM(P24,S24,T24,U24))</f>
        <v>613.054688879266</v>
      </c>
      <c r="X24" s="239">
        <v>9</v>
      </c>
      <c r="Y24" s="240"/>
      <c r="Z24" s="225"/>
    </row>
    <row r="25" spans="1:29" ht="18" customHeight="1">
      <c r="A25" s="185"/>
      <c r="B25" s="186"/>
      <c r="C25" s="187"/>
      <c r="D25" s="262"/>
      <c r="E25" s="187"/>
      <c r="F25" s="189"/>
      <c r="G25" s="212"/>
      <c r="H25" s="213"/>
      <c r="I25" s="214"/>
      <c r="J25" s="214"/>
      <c r="K25" s="213"/>
      <c r="L25" s="214"/>
      <c r="M25" s="214"/>
      <c r="N25" s="209" t="str">
        <f>IF(MAX(H25:J25)&gt;0,IF(MAX(H25:J25)&lt;0,0,TRUNC(MAX(H25:J25)/1)*1),"")</f>
        <v/>
      </c>
      <c r="O25" s="210" t="str">
        <f>IF(MAX(K25:M25)&gt;0,IF(MAX(K25:M25)&lt;0,0,TRUNC(MAX(K25:M25)/1)*1),"")</f>
        <v/>
      </c>
      <c r="P25" s="211" t="str">
        <f>IF(N25="","",IF(O25="","",IF(SUM(N25:O25)=0,"",SUM(N25:O25))))</f>
        <v/>
      </c>
      <c r="Q25" s="223" t="str">
        <f>IF(P25="","",IF(A25="","",IF(OR(C25="UK",C25="JK",C25="SK",C25="K1",C25="K2",C25="K3",C25="K4",C25="K5",C25="K6",C25="K7",C25="K8",C25="K9",C25="K10"),IF(A25&gt;153.655,P25,IF(A25&lt;28,10^(0.783497476*LOG10(28/153.655)^2)*P25,10^(0.783497476*LOG10(A25/153.655)^2)*P25)),IF(A25&gt;175.508,P25,IF(A25&lt;32,10^(0.75194503*LOG10(32/175.508)^2)*P25,10^(0.75194503*LOG10(A25/175.508)^2)*P25)))))</f>
        <v/>
      </c>
      <c r="R25" s="224" t="str">
        <f>IF(OR(E25="",A25="",Z25="",Q25=""),"",IF(OR(C25="UM",C25="JM",C25="SM",C25="UK",C25="JK",C25="SK"),"",Q25*(IF(ABS(1900-YEAR((Z25+1)-E25))&lt;29,0,(VLOOKUP((YEAR(Z25)-YEAR(E25)),'Meltzer-Malone'!$A$3:$B$63,2))))))</f>
        <v/>
      </c>
      <c r="S25" s="174" t="str">
        <f>IF('K6'!G23="","",'K6'!G23)</f>
        <v/>
      </c>
      <c r="T25" s="174" t="str">
        <f>IF('K6'!K23="","",'K6'!K23)</f>
        <v/>
      </c>
      <c r="U25" s="174" t="str">
        <f>IF('K6'!N23="","",'K6'!N23)</f>
        <v/>
      </c>
      <c r="V25" s="163"/>
      <c r="W25" s="164"/>
      <c r="X25" s="175"/>
      <c r="Y25" s="176"/>
      <c r="Z25" s="225">
        <f>U5</f>
        <v>43358</v>
      </c>
    </row>
    <row r="26" spans="1:29" ht="18" customHeight="1">
      <c r="A26" s="276"/>
      <c r="B26" s="166"/>
      <c r="C26" s="167"/>
      <c r="D26" s="168"/>
      <c r="E26" s="215"/>
      <c r="F26" s="193"/>
      <c r="G26" s="216"/>
      <c r="H26" s="338"/>
      <c r="I26" s="339"/>
      <c r="J26" s="340"/>
      <c r="K26" s="341"/>
      <c r="L26" s="342"/>
      <c r="M26" s="343"/>
      <c r="N26" s="167"/>
      <c r="O26" s="171"/>
      <c r="P26" s="334" t="str">
        <f>IF(Q25="","",Q25*1.2)</f>
        <v/>
      </c>
      <c r="Q26" s="334"/>
      <c r="R26" s="222"/>
      <c r="S26" s="172" t="str">
        <f>IF(S25="","",S25*20)</f>
        <v/>
      </c>
      <c r="T26" s="172" t="str">
        <f>IF(T25="","",T25*11)</f>
        <v/>
      </c>
      <c r="U26" s="173" t="str">
        <f>IF(U25="","",IF((80+(8-ROUNDUP(U25,1))*40)&lt;0,0,80+(8-ROUNDUP(U25,1))*40))</f>
        <v/>
      </c>
      <c r="V26" s="237" t="str">
        <f>IF(SUM(S26,T26,U26)&gt;0,SUM(S26,T26,U26),"")</f>
        <v/>
      </c>
      <c r="W26" s="238" t="str">
        <f>IF(OR(P26="",S26="",T26="",U26=""),"",SUM(P26,S26,T26,U26))</f>
        <v/>
      </c>
      <c r="X26" s="239"/>
      <c r="Y26" s="240"/>
      <c r="Z26" s="225"/>
    </row>
    <row r="27" spans="1:29" ht="18" customHeight="1">
      <c r="A27" s="185"/>
      <c r="B27" s="186"/>
      <c r="C27" s="187"/>
      <c r="D27" s="206"/>
      <c r="E27" s="188"/>
      <c r="F27" s="189"/>
      <c r="G27" s="190"/>
      <c r="H27" s="207"/>
      <c r="I27" s="208"/>
      <c r="J27" s="208"/>
      <c r="K27" s="207"/>
      <c r="L27" s="208"/>
      <c r="M27" s="208"/>
      <c r="N27" s="209" t="str">
        <f>IF(MAX(H27:J27)&gt;0,IF(MAX(H27:J27)&lt;0,0,TRUNC(MAX(H27:J27)/1)*1),"")</f>
        <v/>
      </c>
      <c r="O27" s="210" t="str">
        <f>IF(MAX(K27:M27)&gt;0,IF(MAX(K27:M27)&lt;0,0,TRUNC(MAX(K27:M27)/1)*1),"")</f>
        <v/>
      </c>
      <c r="P27" s="211" t="str">
        <f>IF(N27="","",IF(O27="","",IF(SUM(N27:O27)=0,"",SUM(N27:O27))))</f>
        <v/>
      </c>
      <c r="Q27" s="223" t="str">
        <f>IF(P27="","",IF(A27="","",IF(OR(C27="UK",C27="JK",C27="SK",C27="K1",C27="K2",C27="K3",C27="K4",C27="K5",C27="K6",C27="K7",C27="K8",C27="K9",C27="K10"),IF(A27&gt;153.655,P27,IF(A27&lt;28,10^(0.783497476*LOG10(28/153.655)^2)*P27,10^(0.783497476*LOG10(A27/153.655)^2)*P27)),IF(A27&gt;175.508,P27,IF(A27&lt;32,10^(0.75194503*LOG10(32/175.508)^2)*P27,10^(0.75194503*LOG10(A27/175.508)^2)*P27)))))</f>
        <v/>
      </c>
      <c r="R27" s="224" t="str">
        <f>IF(OR(E27="",A27="",Z27="",Q27=""),"",IF(OR(C27="UM",C27="JM",C27="SM",C27="UK",C27="JK",C27="SK"),"",Q27*(IF(ABS(1900-YEAR((Z27+1)-E27))&lt;29,0,(VLOOKUP((YEAR(Z27)-YEAR(E27)),'Meltzer-Malone'!$A$3:$B$63,2))))))</f>
        <v/>
      </c>
      <c r="S27" s="174" t="str">
        <f>IF('K6'!G25="","",'K6'!G25)</f>
        <v/>
      </c>
      <c r="T27" s="174" t="str">
        <f>IF('K6'!K25="","",'K6'!K25)</f>
        <v/>
      </c>
      <c r="U27" s="174" t="str">
        <f>IF('K6'!N25="","",'K6'!N25)</f>
        <v/>
      </c>
      <c r="V27" s="163"/>
      <c r="W27" s="164"/>
      <c r="X27" s="175"/>
      <c r="Y27" s="176"/>
      <c r="Z27" s="225">
        <f>U5</f>
        <v>43358</v>
      </c>
    </row>
    <row r="28" spans="1:29" ht="18" customHeight="1">
      <c r="A28" s="165"/>
      <c r="B28" s="166"/>
      <c r="C28" s="167"/>
      <c r="D28" s="168"/>
      <c r="E28" s="169"/>
      <c r="F28" s="193"/>
      <c r="G28" s="170"/>
      <c r="H28" s="338"/>
      <c r="I28" s="342"/>
      <c r="J28" s="343"/>
      <c r="K28" s="341"/>
      <c r="L28" s="342"/>
      <c r="M28" s="343"/>
      <c r="N28" s="167"/>
      <c r="O28" s="171"/>
      <c r="P28" s="334" t="str">
        <f>IF(Q27="","",Q27*1.2)</f>
        <v/>
      </c>
      <c r="Q28" s="334"/>
      <c r="R28" s="222"/>
      <c r="S28" s="172" t="str">
        <f>IF(S27="","",S27*20)</f>
        <v/>
      </c>
      <c r="T28" s="172" t="str">
        <f>IF(T27="","",T27*11)</f>
        <v/>
      </c>
      <c r="U28" s="173" t="str">
        <f>IF(U27="","",IF((80+(8-ROUNDUP(U27,1))*40)&lt;0,0,80+(8-ROUNDUP(U27,1))*40))</f>
        <v/>
      </c>
      <c r="V28" s="237" t="str">
        <f>IF(SUM(S28,T28,U28)&gt;0,SUM(S28,T28,U28),"")</f>
        <v/>
      </c>
      <c r="W28" s="238" t="str">
        <f>IF(OR(P28="",S28="",T28="",U28=""),"",SUM(P28,S28,T28,U28))</f>
        <v/>
      </c>
      <c r="X28" s="239"/>
      <c r="Y28" s="240"/>
      <c r="Z28" s="226"/>
    </row>
    <row r="29" spans="1:29" ht="18" customHeight="1">
      <c r="A29" s="158"/>
      <c r="B29" s="206"/>
      <c r="C29" s="187"/>
      <c r="D29" s="187"/>
      <c r="E29" s="159"/>
      <c r="F29" s="159"/>
      <c r="G29" s="160"/>
      <c r="H29" s="161"/>
      <c r="I29" s="161"/>
      <c r="J29" s="161"/>
      <c r="K29" s="161"/>
      <c r="L29" s="161"/>
      <c r="M29" s="161"/>
      <c r="N29" s="209" t="str">
        <f>IF(MAX(H29:J29)&gt;0,IF(MAX(H29:J29)&lt;0,0,TRUNC(MAX(H29:J29)/1)*1),"")</f>
        <v/>
      </c>
      <c r="O29" s="210" t="str">
        <f>IF(MAX(K29:M29)&gt;0,IF(MAX(K29:M29)&lt;0,0,TRUNC(MAX(K29:M29)/1)*1),"")</f>
        <v/>
      </c>
      <c r="P29" s="211" t="str">
        <f>IF(N29="","",IF(O29="","",IF(SUM(N29:O29)=0,"",SUM(N29:O29))))</f>
        <v/>
      </c>
      <c r="Q29" s="223" t="str">
        <f>IF(P29="","",IF(A29="","",IF(OR(C29="UK",C29="JK",C29="SK",C29="K1",C29="K2",C29="K3",C29="K4",C29="K5",C29="K6",C29="K7",C29="K8",C29="K9",C29="K10"),IF(A29&gt;153.655,P29,IF(A29&lt;28,10^(0.783497476*LOG10(28/153.655)^2)*P29,10^(0.783497476*LOG10(A29/153.655)^2)*P29)),IF(A29&gt;175.508,P29,IF(A29&lt;32,10^(0.75194503*LOG10(32/175.508)^2)*P29,10^(0.75194503*LOG10(A29/175.508)^2)*P29)))))</f>
        <v/>
      </c>
      <c r="R29" s="224" t="str">
        <f>IF(OR(E29="",A29="",Z29="",Q29=""),"",IF(OR(C29="UM",C29="JM",C29="SM",C29="UK",C29="JK",C29="SK"),"",Q29*(IF(ABS(1900-YEAR((Z29+1)-E29))&lt;29,0,(VLOOKUP((YEAR(Z29)-YEAR(E29)),'Meltzer-Malone'!$A$3:$B$63,2))))))</f>
        <v/>
      </c>
      <c r="S29" s="174" t="str">
        <f>IF('K6'!G27="","",'K6'!G27)</f>
        <v/>
      </c>
      <c r="T29" s="174" t="str">
        <f>IF('K6'!K27="","",'K6'!K27)</f>
        <v/>
      </c>
      <c r="U29" s="174" t="str">
        <f>IF('K6'!N27="","",'K6'!N27)</f>
        <v/>
      </c>
      <c r="V29" s="163"/>
      <c r="W29" s="164"/>
      <c r="X29" s="175"/>
      <c r="Y29" s="176"/>
      <c r="Z29" s="225">
        <f>U5</f>
        <v>43358</v>
      </c>
    </row>
    <row r="30" spans="1:29" ht="18" customHeight="1">
      <c r="A30" s="165"/>
      <c r="B30" s="166"/>
      <c r="C30" s="167"/>
      <c r="D30" s="168"/>
      <c r="E30" s="169"/>
      <c r="F30" s="169"/>
      <c r="G30" s="170"/>
      <c r="H30" s="333"/>
      <c r="I30" s="334"/>
      <c r="J30" s="335"/>
      <c r="K30" s="333"/>
      <c r="L30" s="334"/>
      <c r="M30" s="335"/>
      <c r="N30" s="167"/>
      <c r="O30" s="171"/>
      <c r="P30" s="334" t="str">
        <f>IF(Q29="","",Q29*1.2)</f>
        <v/>
      </c>
      <c r="Q30" s="334"/>
      <c r="R30" s="222"/>
      <c r="S30" s="172" t="str">
        <f>IF(S29="","",S29*20)</f>
        <v/>
      </c>
      <c r="T30" s="172" t="str">
        <f>IF(T29="","",T29*11)</f>
        <v/>
      </c>
      <c r="U30" s="173" t="str">
        <f>IF(U29="","",IF((80+(8-ROUNDUP(U29,1))*40)&lt;0,0,80+(8-ROUNDUP(U29,1))*40))</f>
        <v/>
      </c>
      <c r="V30" s="237" t="str">
        <f>IF(SUM(S30,T30,U30)&gt;0,SUM(S30,T30,U30),"")</f>
        <v/>
      </c>
      <c r="W30" s="238" t="str">
        <f>IF(OR(P30="",S30="",T30="",U30=""),"",SUM(P30,S30,T30,U30))</f>
        <v/>
      </c>
      <c r="X30" s="239"/>
      <c r="Y30" s="240"/>
      <c r="Z30" s="225"/>
    </row>
    <row r="31" spans="1:29" ht="18" customHeight="1">
      <c r="A31" s="158"/>
      <c r="B31" s="206"/>
      <c r="C31" s="187"/>
      <c r="D31" s="187"/>
      <c r="E31" s="159"/>
      <c r="F31" s="159"/>
      <c r="G31" s="160"/>
      <c r="H31" s="161"/>
      <c r="I31" s="161"/>
      <c r="J31" s="161"/>
      <c r="K31" s="161"/>
      <c r="L31" s="161"/>
      <c r="M31" s="161"/>
      <c r="N31" s="209" t="str">
        <f>IF(MAX(H31:J31)&gt;0,IF(MAX(H31:J31)&lt;0,0,TRUNC(MAX(H31:J31)/1)*1),"")</f>
        <v/>
      </c>
      <c r="O31" s="210" t="str">
        <f>IF(MAX(K31:M31)&gt;0,IF(MAX(K31:M31)&lt;0,0,TRUNC(MAX(K31:M31)/1)*1),"")</f>
        <v/>
      </c>
      <c r="P31" s="211" t="str">
        <f>IF(N31="","",IF(O31="","",IF(SUM(N31:O31)=0,"",SUM(N31:O31))))</f>
        <v/>
      </c>
      <c r="Q31" s="223" t="str">
        <f>IF(P31="","",IF(A31="","",IF(OR(C31="UK",C31="JK",C31="SK",C31="K1",C31="K2",C31="K3",C31="K4",C31="K5",C31="K6",C31="K7",C31="K8",C31="K9",C31="K10"),IF(A31&gt;153.655,P31,IF(A31&lt;28,10^(0.783497476*LOG10(28/153.655)^2)*P31,10^(0.783497476*LOG10(A31/153.655)^2)*P31)),IF(A31&gt;175.508,P31,IF(A31&lt;32,10^(0.75194503*LOG10(32/175.508)^2)*P31,10^(0.75194503*LOG10(A31/175.508)^2)*P31)))))</f>
        <v/>
      </c>
      <c r="R31" s="224" t="str">
        <f>IF(OR(E31="",A31="",Z31="",Q31=""),"",IF(OR(C31="UM",C31="JM",C31="SM",C31="UK",C31="JK",C31="SK"),"",Q31*(IF(ABS(1900-YEAR((Z31+1)-E31))&lt;29,0,(VLOOKUP((YEAR(Z31)-YEAR(E31)),'Meltzer-Malone'!$A$3:$B$63,2))))))</f>
        <v/>
      </c>
      <c r="S31" s="174" t="str">
        <f>IF('K6'!G29="","",'K6'!G29)</f>
        <v/>
      </c>
      <c r="T31" s="174" t="str">
        <f>IF('K6'!K29="","",'K6'!K29)</f>
        <v/>
      </c>
      <c r="U31" s="174" t="str">
        <f>IF('K6'!N29="","",'K6'!N29)</f>
        <v/>
      </c>
      <c r="V31" s="163"/>
      <c r="W31" s="164"/>
      <c r="X31" s="175"/>
      <c r="Y31" s="176"/>
      <c r="Z31" s="225">
        <f>U5</f>
        <v>43358</v>
      </c>
    </row>
    <row r="32" spans="1:29" ht="18" customHeight="1" thickBot="1">
      <c r="A32" s="177"/>
      <c r="B32" s="178"/>
      <c r="C32" s="179"/>
      <c r="D32" s="180"/>
      <c r="E32" s="181"/>
      <c r="F32" s="181"/>
      <c r="G32" s="182"/>
      <c r="H32" s="330"/>
      <c r="I32" s="331"/>
      <c r="J32" s="332"/>
      <c r="K32" s="330"/>
      <c r="L32" s="331"/>
      <c r="M32" s="332"/>
      <c r="N32" s="307"/>
      <c r="O32" s="308"/>
      <c r="P32" s="331" t="str">
        <f>IF(Q31="","",Q31*1.2)</f>
        <v/>
      </c>
      <c r="Q32" s="331"/>
      <c r="R32" s="309"/>
      <c r="S32" s="183" t="str">
        <f>IF(S31="","",S31*20)</f>
        <v/>
      </c>
      <c r="T32" s="183" t="str">
        <f>IF(T31="","",T31*11)</f>
        <v/>
      </c>
      <c r="U32" s="184" t="str">
        <f>IF(U31="","",IF((80+(8-ROUNDUP(U31,1))*40)&lt;0,0,80+(8-ROUNDUP(U31,1))*40))</f>
        <v/>
      </c>
      <c r="V32" s="184" t="str">
        <f>IF(SUM(S32,T32,U32)&gt;0,SUM(S32,T32,U32),"")</f>
        <v/>
      </c>
      <c r="W32" s="257" t="str">
        <f>IF(OR(P32="",S32="",T32="",U32=""),"",SUM(P32,S32,T32,U32))</f>
        <v/>
      </c>
      <c r="X32" s="258"/>
      <c r="Y32" s="259"/>
      <c r="Z32" s="225"/>
    </row>
    <row r="33" spans="1:25" ht="14.1">
      <c r="A33" s="429"/>
      <c r="B33" s="429"/>
      <c r="C33" s="429"/>
      <c r="D33" s="430"/>
      <c r="E33" s="431"/>
      <c r="F33" s="431"/>
      <c r="G33" s="432"/>
      <c r="H33" s="433"/>
      <c r="I33" s="433"/>
      <c r="J33" s="433"/>
      <c r="K33" s="433"/>
      <c r="L33" s="433"/>
      <c r="M33" s="433"/>
      <c r="N33" s="429"/>
      <c r="O33" s="429"/>
      <c r="P33" s="429"/>
      <c r="Q33" s="429"/>
      <c r="R33" s="429"/>
      <c r="S33" s="433"/>
      <c r="T33" s="433"/>
      <c r="U33" s="434"/>
      <c r="V33" s="434"/>
      <c r="W33" s="435"/>
      <c r="X33" s="436"/>
      <c r="Y33" s="437"/>
    </row>
    <row r="34" spans="1:25" s="7" customFormat="1" ht="14.1">
      <c r="A34" s="7" t="s">
        <v>50</v>
      </c>
      <c r="B34"/>
      <c r="C34" s="317" t="s">
        <v>51</v>
      </c>
      <c r="D34" s="317"/>
      <c r="E34" s="317"/>
      <c r="F34" s="317"/>
      <c r="G34" s="317"/>
      <c r="H34" s="328" t="s">
        <v>115</v>
      </c>
      <c r="I34" s="328"/>
      <c r="J34" s="134">
        <v>1</v>
      </c>
      <c r="K34" s="317" t="s">
        <v>150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s="7" customFormat="1" ht="14.1">
      <c r="B35"/>
      <c r="C35" s="327"/>
      <c r="D35" s="327"/>
      <c r="E35" s="327"/>
      <c r="F35" s="327"/>
      <c r="G35" s="327"/>
      <c r="H35" s="328"/>
      <c r="I35" s="328"/>
      <c r="J35" s="134">
        <v>2</v>
      </c>
      <c r="K35" s="317" t="s">
        <v>161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s="7" customFormat="1" ht="14.1">
      <c r="A36" s="7" t="s">
        <v>55</v>
      </c>
      <c r="B36"/>
      <c r="C36" s="317"/>
      <c r="D36" s="317"/>
      <c r="E36" s="317"/>
      <c r="F36" s="317"/>
      <c r="G36" s="317"/>
      <c r="H36" s="329"/>
      <c r="I36" s="329"/>
      <c r="J36" s="134">
        <v>3</v>
      </c>
      <c r="K36" s="317" t="s">
        <v>118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s="5" customFormat="1" ht="14.1">
      <c r="A37" s="6"/>
      <c r="B37"/>
      <c r="C37" s="317"/>
      <c r="D37" s="317"/>
      <c r="E37" s="317"/>
      <c r="F37" s="317"/>
      <c r="G37" s="317"/>
      <c r="H37" s="32"/>
      <c r="I37" s="30"/>
      <c r="J37" s="135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s="5" customFormat="1" ht="14.1">
      <c r="A38" s="7"/>
      <c r="B38"/>
      <c r="C38" s="317"/>
      <c r="D38" s="317"/>
      <c r="E38" s="317"/>
      <c r="F38" s="317"/>
      <c r="G38" s="317"/>
      <c r="H38" s="136" t="s">
        <v>57</v>
      </c>
      <c r="I38" s="301"/>
      <c r="J38" s="43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s="5" customFormat="1" ht="14.1">
      <c r="A39" s="2"/>
      <c r="B39" s="2"/>
      <c r="C39" s="30"/>
      <c r="D39" s="31"/>
      <c r="E39" s="31"/>
      <c r="F39" s="31"/>
      <c r="G39" s="32"/>
      <c r="H39" s="136" t="s">
        <v>58</v>
      </c>
      <c r="I39" s="301"/>
      <c r="J39" s="47"/>
      <c r="K39" s="317" t="s">
        <v>162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s="5" customFormat="1" ht="14.1">
      <c r="A40" s="7" t="s">
        <v>60</v>
      </c>
      <c r="B40"/>
      <c r="C40" s="318" t="s">
        <v>61</v>
      </c>
      <c r="D40" s="318"/>
      <c r="E40" s="318"/>
      <c r="F40" s="318"/>
      <c r="G40" s="318"/>
      <c r="H40" s="136" t="s">
        <v>62</v>
      </c>
      <c r="I40" s="301"/>
      <c r="J40" s="137"/>
      <c r="K40" s="317" t="s">
        <v>63</v>
      </c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s="5" customFormat="1" ht="14.1">
      <c r="A41" s="2"/>
      <c r="B41" s="2"/>
      <c r="C41" s="326" t="s">
        <v>64</v>
      </c>
      <c r="D41" s="326"/>
      <c r="E41" s="326"/>
      <c r="F41" s="326"/>
      <c r="G41" s="326"/>
      <c r="H41" s="136"/>
      <c r="I41" s="311"/>
      <c r="J41" s="138"/>
      <c r="K41" s="2"/>
      <c r="L41" s="2"/>
      <c r="M41" s="2"/>
      <c r="N41" s="2"/>
      <c r="O41" s="2"/>
      <c r="P41" s="2"/>
      <c r="Q41" s="2"/>
      <c r="R41" s="2"/>
      <c r="S41" s="40"/>
      <c r="T41" s="40"/>
      <c r="U41" s="40"/>
      <c r="V41" s="40"/>
    </row>
    <row r="42" spans="1:25" s="5" customFormat="1" ht="14.1">
      <c r="A42" s="311" t="s">
        <v>65</v>
      </c>
      <c r="B42" s="139"/>
      <c r="C42" s="317" t="s">
        <v>63</v>
      </c>
      <c r="D42" s="317"/>
      <c r="E42" s="317"/>
      <c r="F42" s="317"/>
      <c r="G42" s="317"/>
      <c r="H42" s="136" t="s">
        <v>66</v>
      </c>
      <c r="I42" s="301"/>
      <c r="J42" s="43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s="5" customFormat="1" ht="14.1">
      <c r="A43" s="2"/>
      <c r="B43" s="2"/>
      <c r="C43" s="317"/>
      <c r="D43" s="317"/>
      <c r="E43" s="317"/>
      <c r="F43" s="317"/>
      <c r="G43" s="317"/>
      <c r="H43" s="136"/>
      <c r="I43" s="301"/>
      <c r="J43" s="138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s="5" customFormat="1" ht="14.1">
      <c r="A44" s="139" t="s">
        <v>68</v>
      </c>
      <c r="B44" s="139"/>
      <c r="C44" s="33" t="s">
        <v>69</v>
      </c>
      <c r="D44" s="34"/>
      <c r="E44" s="34"/>
      <c r="F44" s="34"/>
      <c r="G44" s="35"/>
      <c r="I44" s="301"/>
      <c r="J44" s="13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</row>
    <row r="45" spans="1:25" s="5" customFormat="1" ht="14.1">
      <c r="A45" s="140"/>
      <c r="B45" s="140"/>
      <c r="C45" s="33"/>
      <c r="D45" s="31"/>
      <c r="E45" s="31"/>
      <c r="F45" s="31"/>
      <c r="G45" s="32"/>
      <c r="I45" s="301"/>
      <c r="J45" s="13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</row>
    <row r="46" spans="1:25" s="5" customFormat="1" ht="14.1">
      <c r="A46" s="2"/>
      <c r="B46" s="2"/>
      <c r="C46" s="3"/>
      <c r="D46" s="4"/>
      <c r="E46" s="4"/>
      <c r="F46" s="4"/>
      <c r="I46" s="301"/>
      <c r="J46" s="13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</row>
    <row r="47" spans="1:25">
      <c r="A47" s="36"/>
      <c r="B47" s="36"/>
      <c r="C47" s="36"/>
      <c r="D47" s="36"/>
      <c r="E47" s="36"/>
      <c r="F47" s="36"/>
      <c r="H47" s="36"/>
      <c r="I47" s="36"/>
      <c r="J47" s="43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</sheetData>
  <mergeCells count="73">
    <mergeCell ref="G2:Q2"/>
    <mergeCell ref="G3:Q3"/>
    <mergeCell ref="H7:J7"/>
    <mergeCell ref="K7:M7"/>
    <mergeCell ref="N7:Q7"/>
    <mergeCell ref="C5:G5"/>
    <mergeCell ref="J5:N5"/>
    <mergeCell ref="P5:S5"/>
    <mergeCell ref="H12:J12"/>
    <mergeCell ref="K12:M12"/>
    <mergeCell ref="C35:G35"/>
    <mergeCell ref="H14:J14"/>
    <mergeCell ref="K14:M14"/>
    <mergeCell ref="H16:J16"/>
    <mergeCell ref="K16:M16"/>
    <mergeCell ref="H34:I34"/>
    <mergeCell ref="H18:J18"/>
    <mergeCell ref="K18:M18"/>
    <mergeCell ref="H20:J20"/>
    <mergeCell ref="K20:M20"/>
    <mergeCell ref="H28:J28"/>
    <mergeCell ref="K28:M28"/>
    <mergeCell ref="H30:J30"/>
    <mergeCell ref="K30:M30"/>
    <mergeCell ref="A5:B5"/>
    <mergeCell ref="H5:I5"/>
    <mergeCell ref="K8:M8"/>
    <mergeCell ref="H10:J10"/>
    <mergeCell ref="K10:M10"/>
    <mergeCell ref="H8:J8"/>
    <mergeCell ref="H24:J24"/>
    <mergeCell ref="K24:M24"/>
    <mergeCell ref="H35:I35"/>
    <mergeCell ref="H36:I36"/>
    <mergeCell ref="P16:Q16"/>
    <mergeCell ref="H22:J22"/>
    <mergeCell ref="K22:M22"/>
    <mergeCell ref="H32:J32"/>
    <mergeCell ref="K32:M32"/>
    <mergeCell ref="H26:J26"/>
    <mergeCell ref="K26:M26"/>
    <mergeCell ref="C42:G42"/>
    <mergeCell ref="C43:G43"/>
    <mergeCell ref="K34:Y34"/>
    <mergeCell ref="K35:Y35"/>
    <mergeCell ref="K36:Y36"/>
    <mergeCell ref="K37:Y37"/>
    <mergeCell ref="K38:Y38"/>
    <mergeCell ref="K39:Y39"/>
    <mergeCell ref="K40:Y40"/>
    <mergeCell ref="K42:Y42"/>
    <mergeCell ref="C34:G34"/>
    <mergeCell ref="C36:G36"/>
    <mergeCell ref="C37:G37"/>
    <mergeCell ref="C38:G38"/>
    <mergeCell ref="C40:G40"/>
    <mergeCell ref="C41:G41"/>
    <mergeCell ref="U5:V5"/>
    <mergeCell ref="K43:Y43"/>
    <mergeCell ref="K44:Y44"/>
    <mergeCell ref="K45:Y45"/>
    <mergeCell ref="K46:Y46"/>
    <mergeCell ref="P10:Q10"/>
    <mergeCell ref="P26:Q26"/>
    <mergeCell ref="P14:Q14"/>
    <mergeCell ref="P12:Q12"/>
    <mergeCell ref="P22:Q22"/>
    <mergeCell ref="P20:Q20"/>
    <mergeCell ref="P18:Q18"/>
    <mergeCell ref="P24:Q24"/>
    <mergeCell ref="P32:Q32"/>
    <mergeCell ref="P30:Q30"/>
    <mergeCell ref="P28:Q28"/>
  </mergeCells>
  <phoneticPr fontId="0" type="noConversion"/>
  <conditionalFormatting sqref="H31:M31 H29:M29">
    <cfRule type="cellIs" dxfId="149" priority="139" stopIfTrue="1" operator="between">
      <formula>1</formula>
      <formula>300</formula>
    </cfRule>
    <cfRule type="cellIs" dxfId="148" priority="140" stopIfTrue="1" operator="lessThanOrEqual">
      <formula>0</formula>
    </cfRule>
  </conditionalFormatting>
  <conditionalFormatting sqref="H9:M9">
    <cfRule type="cellIs" dxfId="147" priority="15" stopIfTrue="1" operator="between">
      <formula>1</formula>
      <formula>300</formula>
    </cfRule>
    <cfRule type="cellIs" dxfId="146" priority="16" stopIfTrue="1" operator="lessThanOrEqual">
      <formula>0</formula>
    </cfRule>
  </conditionalFormatting>
  <conditionalFormatting sqref="H17:M17">
    <cfRule type="cellIs" dxfId="145" priority="13" stopIfTrue="1" operator="between">
      <formula>1</formula>
      <formula>300</formula>
    </cfRule>
    <cfRule type="cellIs" dxfId="144" priority="14" stopIfTrue="1" operator="lessThanOrEqual">
      <formula>0</formula>
    </cfRule>
  </conditionalFormatting>
  <conditionalFormatting sqref="H19:M19">
    <cfRule type="cellIs" dxfId="143" priority="11" stopIfTrue="1" operator="between">
      <formula>1</formula>
      <formula>300</formula>
    </cfRule>
    <cfRule type="cellIs" dxfId="142" priority="12" stopIfTrue="1" operator="lessThanOrEqual">
      <formula>0</formula>
    </cfRule>
  </conditionalFormatting>
  <conditionalFormatting sqref="H27:M27">
    <cfRule type="cellIs" dxfId="141" priority="109" stopIfTrue="1" operator="between">
      <formula>1</formula>
      <formula>300</formula>
    </cfRule>
    <cfRule type="cellIs" dxfId="140" priority="110" stopIfTrue="1" operator="lessThanOrEqual">
      <formula>0</formula>
    </cfRule>
  </conditionalFormatting>
  <conditionalFormatting sqref="H25:M25">
    <cfRule type="cellIs" dxfId="139" priority="55" stopIfTrue="1" operator="between">
      <formula>1</formula>
      <formula>300</formula>
    </cfRule>
    <cfRule type="cellIs" dxfId="138" priority="56" stopIfTrue="1" operator="lessThanOrEqual">
      <formula>0</formula>
    </cfRule>
  </conditionalFormatting>
  <conditionalFormatting sqref="H23:M23">
    <cfRule type="cellIs" dxfId="137" priority="5" stopIfTrue="1" operator="between">
      <formula>1</formula>
      <formula>300</formula>
    </cfRule>
    <cfRule type="cellIs" dxfId="136" priority="6" stopIfTrue="1" operator="lessThanOrEqual">
      <formula>0</formula>
    </cfRule>
  </conditionalFormatting>
  <conditionalFormatting sqref="H21:M21">
    <cfRule type="cellIs" dxfId="135" priority="3" stopIfTrue="1" operator="between">
      <formula>1</formula>
      <formula>300</formula>
    </cfRule>
    <cfRule type="cellIs" dxfId="134" priority="4" stopIfTrue="1" operator="lessThanOrEqual">
      <formula>0</formula>
    </cfRule>
  </conditionalFormatting>
  <conditionalFormatting sqref="H11:M11">
    <cfRule type="cellIs" dxfId="133" priority="1" stopIfTrue="1" operator="between">
      <formula>1</formula>
      <formula>300</formula>
    </cfRule>
    <cfRule type="cellIs" dxfId="132" priority="2" stopIfTrue="1" operator="lessThanOrEqual">
      <formula>0</formula>
    </cfRule>
  </conditionalFormatting>
  <conditionalFormatting sqref="H15:M15">
    <cfRule type="cellIs" dxfId="131" priority="9" stopIfTrue="1" operator="between">
      <formula>1</formula>
      <formula>300</formula>
    </cfRule>
    <cfRule type="cellIs" dxfId="130" priority="10" stopIfTrue="1" operator="lessThanOrEqual">
      <formula>0</formula>
    </cfRule>
  </conditionalFormatting>
  <conditionalFormatting sqref="H13:M13">
    <cfRule type="cellIs" dxfId="129" priority="7" stopIfTrue="1" operator="between">
      <formula>1</formula>
      <formula>300</formula>
    </cfRule>
    <cfRule type="cellIs" dxfId="128" priority="8" stopIfTrue="1" operator="lessThanOrEqual">
      <formula>0</formula>
    </cfRule>
  </conditionalFormatting>
  <dataValidations count="3">
    <dataValidation type="list" allowBlank="1" showInputMessage="1" showErrorMessage="1" errorTitle="Feil_i_vektklasse" error="Feil verdi i vektklasse" sqref="B25 B27 B29 B31 B9 B11 B13 B15 B17 B19 B21 B23" xr:uid="{00000000-0002-0000-0500-000000000000}">
      <formula1>"44,48,53,58,63,69,+69,'+69,69+,75,+75,'+75,75,50,56,62,69,77,85,94,+94,'+94,94+,105,+105,'+105,105+"</formula1>
    </dataValidation>
    <dataValidation type="list" allowBlank="1" showInputMessage="1" showErrorMessage="1" errorTitle="Feil _i_kat.v.løft" error="Feil verdi i kategori vektløfting" sqref="C25 C27 C29 C31 C9 C11 C13 C15 C17 C19 C21 C23" xr:uid="{00000000-0002-0000-0500-000001000000}">
      <formula1>"UM,JM,SM,UK,JK,SK,M1,M2,M3,M4,M5,M6,M8,M9,M10,K1,K2,K3,K4,K5,K6,K7,K8,K9,K10"</formula1>
    </dataValidation>
    <dataValidation type="list" allowBlank="1" showInputMessage="1" showErrorMessage="1" errorTitle="Feil_i_kat.5-kamp" error="Feil verdi i kategori 5-kamp" sqref="D25 D27 D29 D31 D9 D11 D13 D15 D17 D19 D21 D23" xr:uid="{00000000-0002-0000-0500-000002000000}">
      <formula1>"11-12,13-14,15-16,17-18,+18,'+18,18+"</formula1>
    </dataValidation>
  </dataValidations>
  <pageMargins left="0.27559055118110237" right="0.27559055118110237" top="0.27559055118110237" bottom="0.27559055118110237" header="0.51181102362204722" footer="0.51181102362204722"/>
  <pageSetup paperSize="9" scale="66" orientation="landscape" horizontalDpi="300" verticalDpi="300" copies="2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55"/>
  <sheetViews>
    <sheetView showGridLines="0" showRowColHeaders="0" showZeros="0" tabSelected="1" topLeftCell="A25" workbookViewId="0">
      <selection activeCell="C19" sqref="C19"/>
    </sheetView>
  </sheetViews>
  <sheetFormatPr defaultColWidth="8.85546875" defaultRowHeight="12.95"/>
  <cols>
    <col min="1" max="1" width="7.85546875" customWidth="1"/>
    <col min="2" max="2" width="6.85546875" customWidth="1"/>
    <col min="3" max="3" width="5.5703125" customWidth="1"/>
    <col min="4" max="4" width="7.5703125" customWidth="1"/>
    <col min="5" max="5" width="10.42578125" customWidth="1"/>
    <col min="6" max="6" width="3.85546875" customWidth="1"/>
    <col min="7" max="7" width="27.5703125" customWidth="1"/>
    <col min="8" max="16" width="6.5703125" customWidth="1"/>
    <col min="17" max="18" width="8.85546875" customWidth="1"/>
    <col min="19" max="20" width="8.5703125" customWidth="1"/>
    <col min="21" max="21" width="9.85546875" customWidth="1"/>
    <col min="22" max="23" width="8.5703125" customWidth="1"/>
    <col min="24" max="24" width="4.42578125" customWidth="1"/>
    <col min="25" max="25" width="5.5703125" customWidth="1"/>
    <col min="26" max="26" width="0" hidden="1" customWidth="1"/>
  </cols>
  <sheetData>
    <row r="1" spans="1:29">
      <c r="A1" s="36"/>
      <c r="B1" s="36"/>
      <c r="C1" s="36"/>
      <c r="D1" s="36"/>
      <c r="E1" s="36"/>
      <c r="F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9" ht="72.75" customHeight="1">
      <c r="A2" s="36"/>
      <c r="B2" s="36"/>
      <c r="C2" s="36"/>
      <c r="D2" s="36"/>
      <c r="E2" s="36"/>
      <c r="F2" s="36"/>
      <c r="G2" s="346" t="s">
        <v>70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02"/>
      <c r="S2" s="36"/>
      <c r="T2" s="36"/>
      <c r="U2" s="36"/>
      <c r="V2" s="36"/>
      <c r="W2" s="36"/>
      <c r="X2" s="36"/>
      <c r="Y2" s="36"/>
    </row>
    <row r="3" spans="1:29" ht="27.95">
      <c r="A3" s="36"/>
      <c r="B3" s="36"/>
      <c r="C3" s="36"/>
      <c r="D3" s="36"/>
      <c r="E3" s="36"/>
      <c r="F3" s="36"/>
      <c r="G3" s="320" t="s">
        <v>1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00"/>
      <c r="S3" s="36"/>
      <c r="T3" s="36"/>
      <c r="U3" s="36"/>
      <c r="V3" s="36"/>
      <c r="W3" s="36"/>
      <c r="X3" s="36"/>
      <c r="Y3" s="36"/>
    </row>
    <row r="4" spans="1:29">
      <c r="A4" s="36"/>
      <c r="B4" s="36"/>
      <c r="C4" s="36"/>
      <c r="D4" s="36"/>
      <c r="E4" s="36"/>
      <c r="F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9" ht="15" customHeight="1">
      <c r="A5" s="344" t="s">
        <v>2</v>
      </c>
      <c r="B5" s="344"/>
      <c r="C5" s="321" t="s">
        <v>3</v>
      </c>
      <c r="D5" s="321"/>
      <c r="E5" s="321"/>
      <c r="F5" s="321"/>
      <c r="G5" s="321"/>
      <c r="H5" s="344" t="s">
        <v>4</v>
      </c>
      <c r="I5" s="344"/>
      <c r="J5" s="321" t="s">
        <v>5</v>
      </c>
      <c r="K5" s="321"/>
      <c r="L5" s="321"/>
      <c r="M5" s="321"/>
      <c r="N5" s="321"/>
      <c r="O5" s="306" t="s">
        <v>6</v>
      </c>
      <c r="P5" s="345" t="s">
        <v>7</v>
      </c>
      <c r="Q5" s="345"/>
      <c r="R5" s="345"/>
      <c r="S5" s="345"/>
      <c r="T5" s="306" t="s">
        <v>8</v>
      </c>
      <c r="U5" s="325">
        <v>43358</v>
      </c>
      <c r="V5" s="325"/>
      <c r="W5" s="52" t="s">
        <v>9</v>
      </c>
      <c r="X5" s="263" t="s">
        <v>175</v>
      </c>
      <c r="Y5" s="263"/>
    </row>
    <row r="6" spans="1:29" ht="13.5" thickBot="1">
      <c r="A6" s="53"/>
      <c r="B6" s="53"/>
      <c r="C6" s="53"/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5"/>
      <c r="X6" s="53"/>
      <c r="Y6" s="53"/>
    </row>
    <row r="7" spans="1:29">
      <c r="A7" s="56" t="s">
        <v>12</v>
      </c>
      <c r="B7" s="57" t="s">
        <v>11</v>
      </c>
      <c r="C7" s="314" t="s">
        <v>72</v>
      </c>
      <c r="D7" s="58" t="s">
        <v>72</v>
      </c>
      <c r="E7" s="313" t="s">
        <v>14</v>
      </c>
      <c r="F7" s="313" t="s">
        <v>73</v>
      </c>
      <c r="G7" s="313" t="s">
        <v>15</v>
      </c>
      <c r="H7" s="356" t="s">
        <v>17</v>
      </c>
      <c r="I7" s="357"/>
      <c r="J7" s="358"/>
      <c r="K7" s="356" t="s">
        <v>18</v>
      </c>
      <c r="L7" s="357"/>
      <c r="M7" s="358"/>
      <c r="N7" s="359" t="s">
        <v>74</v>
      </c>
      <c r="O7" s="360"/>
      <c r="P7" s="360"/>
      <c r="Q7" s="360"/>
      <c r="R7" s="227" t="s">
        <v>21</v>
      </c>
      <c r="S7" s="57" t="s">
        <v>75</v>
      </c>
      <c r="T7" s="57" t="s">
        <v>76</v>
      </c>
      <c r="U7" s="57" t="s">
        <v>77</v>
      </c>
      <c r="V7" s="313" t="s">
        <v>78</v>
      </c>
      <c r="W7" s="59" t="s">
        <v>79</v>
      </c>
      <c r="X7" s="59" t="s">
        <v>80</v>
      </c>
      <c r="Y7" s="60" t="s">
        <v>81</v>
      </c>
    </row>
    <row r="8" spans="1:29" ht="13.5" thickBot="1">
      <c r="A8" s="61" t="s">
        <v>26</v>
      </c>
      <c r="B8" s="62" t="s">
        <v>25</v>
      </c>
      <c r="C8" s="63" t="s">
        <v>82</v>
      </c>
      <c r="D8" s="64" t="s">
        <v>79</v>
      </c>
      <c r="E8" s="65" t="s">
        <v>83</v>
      </c>
      <c r="F8" s="65" t="s">
        <v>84</v>
      </c>
      <c r="G8" s="312" t="s">
        <v>85</v>
      </c>
      <c r="H8" s="361" t="s">
        <v>86</v>
      </c>
      <c r="I8" s="362"/>
      <c r="J8" s="363"/>
      <c r="K8" s="361" t="s">
        <v>86</v>
      </c>
      <c r="L8" s="362"/>
      <c r="M8" s="363"/>
      <c r="N8" s="66" t="s">
        <v>17</v>
      </c>
      <c r="O8" s="67" t="s">
        <v>18</v>
      </c>
      <c r="P8" s="62" t="s">
        <v>87</v>
      </c>
      <c r="Q8" s="63" t="s">
        <v>21</v>
      </c>
      <c r="R8" s="62" t="s">
        <v>31</v>
      </c>
      <c r="S8" s="68" t="s">
        <v>21</v>
      </c>
      <c r="T8" s="68" t="s">
        <v>21</v>
      </c>
      <c r="U8" s="68" t="s">
        <v>21</v>
      </c>
      <c r="V8" s="65" t="s">
        <v>88</v>
      </c>
      <c r="W8" s="69" t="s">
        <v>89</v>
      </c>
      <c r="X8" s="69"/>
      <c r="Y8" s="70"/>
    </row>
    <row r="9" spans="1:29" ht="18" customHeight="1">
      <c r="A9" s="185">
        <v>45.47</v>
      </c>
      <c r="B9" s="186" t="s">
        <v>176</v>
      </c>
      <c r="C9" s="187" t="s">
        <v>177</v>
      </c>
      <c r="D9" s="186" t="s">
        <v>92</v>
      </c>
      <c r="E9" s="188">
        <v>38415</v>
      </c>
      <c r="F9" s="189"/>
      <c r="G9" s="190" t="s">
        <v>178</v>
      </c>
      <c r="H9" s="191">
        <v>23</v>
      </c>
      <c r="I9" s="192">
        <v>26</v>
      </c>
      <c r="J9" s="192">
        <v>-30</v>
      </c>
      <c r="K9" s="191">
        <v>25</v>
      </c>
      <c r="L9" s="192">
        <v>30</v>
      </c>
      <c r="M9" s="192">
        <v>35</v>
      </c>
      <c r="N9" s="209">
        <f>IF(MAX(H9:J9)&gt;0,IF(MAX(H9:J9)&lt;0,0,TRUNC(MAX(H9:J9)/1)*1),"")</f>
        <v>26</v>
      </c>
      <c r="O9" s="210">
        <f>IF(MAX(K9:M9)&gt;0,IF(MAX(K9:M9)&lt;0,0,TRUNC(MAX(K9:M9)/1)*1),"")</f>
        <v>35</v>
      </c>
      <c r="P9" s="211">
        <f>IF(N9="","",IF(O9="","",IF(SUM(N9:O9)=0,"",SUM(N9:O9))))</f>
        <v>61</v>
      </c>
      <c r="Q9" s="223">
        <f>IF(P9="","",IF(A9="","",IF(OR(C9="UK",C9="JK",C9="SK",C9="K1",C9="K2",C9="K3",C9="K4",C9="K5",C9="K6",C9="K7",C9="K8",C9="K9",C9="K10"),IF(A9&gt;153.655,P9,IF(A9&lt;28,10^(0.783497476*LOG10(28/153.655)^2)*P9,10^(0.783497476*LOG10(A9/153.655)^2)*P9)),IF(A9&gt;175.508,P9,IF(A9&lt;32,10^(0.75194503*LOG10(32/175.508)^2)*P9,10^(0.75194503*LOG10(A9/175.508)^2)*P9)))))</f>
        <v>110.67487900872533</v>
      </c>
      <c r="R9" s="162" t="str">
        <f>IF(OR(E9="",A9="",Z9="",Q9=""),"",IF(OR(C9="UM",C9="JM",C9="SM",C9="UK",C9="JK",C9="SK"),"",Q9*(IF(ABS(1900-YEAR((Z9+1)-E9))&lt;29,0,(VLOOKUP((YEAR(Z9)-YEAR(E9)),'Meltzer-Malone'!$A$3:$B$63,2))))))</f>
        <v/>
      </c>
      <c r="S9" s="163">
        <f>IF('K7'!G7="","",'K7'!G7)</f>
        <v>6.44</v>
      </c>
      <c r="T9" s="163">
        <f>IF('K7'!K7="","",'K7'!K7)</f>
        <v>7.18</v>
      </c>
      <c r="U9" s="163">
        <f>IF('K7'!N7="","",'K7'!N7)</f>
        <v>7.6</v>
      </c>
      <c r="V9" s="163"/>
      <c r="W9" s="164"/>
      <c r="X9" s="195"/>
      <c r="Y9" s="196" t="s">
        <v>42</v>
      </c>
      <c r="Z9" s="225">
        <f>U5</f>
        <v>43358</v>
      </c>
    </row>
    <row r="10" spans="1:29" ht="18" customHeight="1">
      <c r="A10" s="165"/>
      <c r="B10" s="166"/>
      <c r="C10" s="167"/>
      <c r="D10" s="168"/>
      <c r="E10" s="169"/>
      <c r="F10" s="193"/>
      <c r="G10" s="170" t="s">
        <v>127</v>
      </c>
      <c r="H10" s="338"/>
      <c r="I10" s="339"/>
      <c r="J10" s="340"/>
      <c r="K10" s="341"/>
      <c r="L10" s="342"/>
      <c r="M10" s="343"/>
      <c r="N10" s="167"/>
      <c r="O10" s="171"/>
      <c r="P10" s="334">
        <f>IF(Q9="","",Q9*1.2)</f>
        <v>132.8098548104704</v>
      </c>
      <c r="Q10" s="334"/>
      <c r="R10" s="222"/>
      <c r="S10" s="172">
        <f>IF(S9="","",S9*20)</f>
        <v>128.80000000000001</v>
      </c>
      <c r="T10" s="172">
        <f>IF(T9="","",T9*11)</f>
        <v>78.97999999999999</v>
      </c>
      <c r="U10" s="173">
        <f>IF(U9="","",IF((80+(8-ROUNDUP(U9,1))*40)&lt;0,0,80+(8-ROUNDUP(U9,1))*40))</f>
        <v>96.000000000000014</v>
      </c>
      <c r="V10" s="237">
        <f>IF(SUM(S10,T10,U10)&gt;0,SUM(S10,T10,U10),"")</f>
        <v>303.78000000000003</v>
      </c>
      <c r="W10" s="238">
        <f>IF(OR(P10="",S10="",T10="",U10=""),"",SUM(P10,S10,T10,U10))</f>
        <v>436.58985481047046</v>
      </c>
      <c r="X10" s="239">
        <v>5</v>
      </c>
      <c r="Y10" s="240"/>
      <c r="Z10" s="225"/>
    </row>
    <row r="11" spans="1:29" ht="18" customHeight="1">
      <c r="A11" s="185">
        <v>61.9</v>
      </c>
      <c r="B11" s="186" t="s">
        <v>179</v>
      </c>
      <c r="C11" s="187" t="s">
        <v>177</v>
      </c>
      <c r="D11" s="186" t="s">
        <v>92</v>
      </c>
      <c r="E11" s="188">
        <v>38055</v>
      </c>
      <c r="F11" s="189"/>
      <c r="G11" s="190" t="s">
        <v>180</v>
      </c>
      <c r="H11" s="191">
        <v>60</v>
      </c>
      <c r="I11" s="192">
        <v>63</v>
      </c>
      <c r="J11" s="192">
        <v>-65</v>
      </c>
      <c r="K11" s="191">
        <v>71</v>
      </c>
      <c r="L11" s="192">
        <v>75</v>
      </c>
      <c r="M11" s="192">
        <v>77</v>
      </c>
      <c r="N11" s="209">
        <f>IF(MAX(H11:J11)&gt;0,IF(MAX(H11:J11)&lt;0,0,TRUNC(MAX(H11:J11)/1)*1),"")</f>
        <v>63</v>
      </c>
      <c r="O11" s="210">
        <f>IF(MAX(K11:M11)&gt;0,IF(MAX(K11:M11)&lt;0,0,TRUNC(MAX(K11:M11)/1)*1),"")</f>
        <v>77</v>
      </c>
      <c r="P11" s="211">
        <f>IF(N11="","",IF(O11="","",IF(SUM(N11:O11)=0,"",SUM(N11:O11))))</f>
        <v>140</v>
      </c>
      <c r="Q11" s="223">
        <f>IF(P11="","",IF(A11="","",IF(OR(C11="UK",C11="JK",C11="SK",C11="K1",C11="K2",C11="K3",C11="K4",C11="K5",C11="K6",C11="K7",C11="K8",C11="K9",C11="K10"),IF(A11&gt;153.655,P11,IF(A11&lt;28,10^(0.783497476*LOG10(28/153.655)^2)*P11,10^(0.783497476*LOG10(A11/153.655)^2)*P11)),IF(A11&gt;175.508,P11,IF(A11&lt;32,10^(0.75194503*LOG10(32/175.508)^2)*P11,10^(0.75194503*LOG10(A11/175.508)^2)*P11)))))</f>
        <v>199.60242134441518</v>
      </c>
      <c r="R11" s="224" t="str">
        <f>IF(OR(E11="",A11="",Z11="",Q11=""),"",IF(OR(C11="UM",C11="JM",C11="SM",C11="UK",C11="JK",C11="SK"),"",Q11*(IF(ABS(1900-YEAR((Z11+1)-E11))&lt;29,0,(VLOOKUP((YEAR(Z11)-YEAR(E11)),'Meltzer-Malone'!$A$3:$B$63,2))))))</f>
        <v/>
      </c>
      <c r="S11" s="174">
        <f>IF('K7'!G9="","",'K7'!G9)</f>
        <v>7.93</v>
      </c>
      <c r="T11" s="174">
        <f>IF('K7'!K9="","",'K7'!K9)</f>
        <v>15.61</v>
      </c>
      <c r="U11" s="174">
        <f>IF('K7'!N9="","",'K7'!N9)</f>
        <v>6.75</v>
      </c>
      <c r="V11" s="163"/>
      <c r="W11" s="164"/>
      <c r="X11" s="175"/>
      <c r="Y11" s="176"/>
      <c r="Z11" s="225">
        <f>U5</f>
        <v>43358</v>
      </c>
      <c r="AC11" t="s">
        <v>42</v>
      </c>
    </row>
    <row r="12" spans="1:29" ht="18" customHeight="1">
      <c r="A12" s="165"/>
      <c r="B12" s="166"/>
      <c r="C12" s="167"/>
      <c r="D12" s="168"/>
      <c r="E12" s="169"/>
      <c r="F12" s="193"/>
      <c r="G12" s="170" t="s">
        <v>103</v>
      </c>
      <c r="H12" s="338"/>
      <c r="I12" s="339"/>
      <c r="J12" s="340"/>
      <c r="K12" s="341"/>
      <c r="L12" s="342"/>
      <c r="M12" s="343"/>
      <c r="N12" s="167"/>
      <c r="O12" s="171"/>
      <c r="P12" s="334">
        <f>IF(Q11="","",Q11*1.2)</f>
        <v>239.52290561329821</v>
      </c>
      <c r="Q12" s="334"/>
      <c r="R12" s="222"/>
      <c r="S12" s="172">
        <f>IF(S11="","",S11*20)</f>
        <v>158.6</v>
      </c>
      <c r="T12" s="172">
        <f>IF(T11="","",T11*11)</f>
        <v>171.70999999999998</v>
      </c>
      <c r="U12" s="173">
        <f>IF(U11="","",IF((80+(8-ROUNDUP(U11,1))*40)&lt;0,0,80+(8-ROUNDUP(U11,1))*40))</f>
        <v>128</v>
      </c>
      <c r="V12" s="237">
        <f>IF(SUM(S12,T12,U12)&gt;0,SUM(S12,T12,U12),"")</f>
        <v>458.30999999999995</v>
      </c>
      <c r="W12" s="238">
        <f>IF(OR(P12="",S12="",T12="",U12=""),"",SUM(P12,S12,T12,U12))</f>
        <v>697.83290561329818</v>
      </c>
      <c r="X12" s="239">
        <v>2</v>
      </c>
      <c r="Y12" s="240"/>
      <c r="Z12" s="225"/>
    </row>
    <row r="13" spans="1:29" ht="18" customHeight="1">
      <c r="A13" s="185">
        <v>66.28</v>
      </c>
      <c r="B13" s="186" t="s">
        <v>128</v>
      </c>
      <c r="C13" s="187" t="s">
        <v>177</v>
      </c>
      <c r="D13" s="186" t="s">
        <v>92</v>
      </c>
      <c r="E13" s="188">
        <v>38320</v>
      </c>
      <c r="F13" s="189"/>
      <c r="G13" s="190" t="s">
        <v>181</v>
      </c>
      <c r="H13" s="191">
        <v>-61</v>
      </c>
      <c r="I13" s="192">
        <v>61</v>
      </c>
      <c r="J13" s="192">
        <v>64</v>
      </c>
      <c r="K13" s="191">
        <v>77</v>
      </c>
      <c r="L13" s="192">
        <v>81</v>
      </c>
      <c r="M13" s="192">
        <v>84</v>
      </c>
      <c r="N13" s="209">
        <f>IF(MAX(H13:J13)&gt;0,IF(MAX(H13:J13)&lt;0,0,TRUNC(MAX(H13:J13)/1)*1),"")</f>
        <v>64</v>
      </c>
      <c r="O13" s="210">
        <f>IF(MAX(K13:M13)&gt;0,IF(MAX(K13:M13)&lt;0,0,TRUNC(MAX(K13:M13)/1)*1),"")</f>
        <v>84</v>
      </c>
      <c r="P13" s="211">
        <f>IF(N13="","",IF(O13="","",IF(SUM(N13:O13)=0,"",SUM(N13:O13))))</f>
        <v>148</v>
      </c>
      <c r="Q13" s="223">
        <f>IF(P13="","",IF(A13="","",IF(OR(C13="UK",C13="JK",C13="SK",C13="K1",C13="K2",C13="K3",C13="K4",C13="K5",C13="K6",C13="K7",C13="K8",C13="K9",C13="K10"),IF(A13&gt;153.655,P13,IF(A13&lt;28,10^(0.783497476*LOG10(28/153.655)^2)*P13,10^(0.783497476*LOG10(A13/153.655)^2)*P13)),IF(A13&gt;175.508,P13,IF(A13&lt;32,10^(0.75194503*LOG10(32/175.508)^2)*P13,10^(0.75194503*LOG10(A13/175.508)^2)*P13)))))</f>
        <v>201.72143559727616</v>
      </c>
      <c r="R13" s="224" t="str">
        <f>IF(OR(E13="",A13="",Z13="",Q13=""),"",IF(OR(C13="UM",C13="JM",C13="SM",C13="UK",C13="JK",C13="SK"),"",Q13*(IF(ABS(1900-YEAR((Z13+1)-E13))&lt;29,0,(VLOOKUP((YEAR(Z13)-YEAR(E13)),'Meltzer-Malone'!$A$3:$B$63,2))))))</f>
        <v/>
      </c>
      <c r="S13" s="174">
        <f>IF('K7'!G11="","",'K7'!G11)</f>
        <v>7.85</v>
      </c>
      <c r="T13" s="174">
        <f>IF('K7'!K11="","",'K7'!K11)</f>
        <v>15.03</v>
      </c>
      <c r="U13" s="174">
        <f>IF('K7'!N11="","",'K7'!N11)</f>
        <v>6.94</v>
      </c>
      <c r="V13" s="163"/>
      <c r="W13" s="164"/>
      <c r="X13" s="175"/>
      <c r="Y13" s="176"/>
      <c r="Z13" s="225">
        <f>U5</f>
        <v>43358</v>
      </c>
    </row>
    <row r="14" spans="1:29" ht="18" customHeight="1">
      <c r="A14" s="165"/>
      <c r="B14" s="166"/>
      <c r="C14" s="167"/>
      <c r="D14" s="168"/>
      <c r="E14" s="169"/>
      <c r="F14" s="193"/>
      <c r="G14" s="170" t="s">
        <v>103</v>
      </c>
      <c r="H14" s="338"/>
      <c r="I14" s="339"/>
      <c r="J14" s="340"/>
      <c r="K14" s="341"/>
      <c r="L14" s="342"/>
      <c r="M14" s="343"/>
      <c r="N14" s="167"/>
      <c r="O14" s="171"/>
      <c r="P14" s="334">
        <f>IF(Q13="","",Q13*1.2)</f>
        <v>242.06572271673139</v>
      </c>
      <c r="Q14" s="334"/>
      <c r="R14" s="222"/>
      <c r="S14" s="172">
        <f>IF(S13="","",S13*20)</f>
        <v>157</v>
      </c>
      <c r="T14" s="172">
        <f>IF(T13="","",T13*11)</f>
        <v>165.32999999999998</v>
      </c>
      <c r="U14" s="173">
        <f>IF(U13="","",IF((80+(8-ROUNDUP(U13,1))*40)&lt;0,0,80+(8-ROUNDUP(U13,1))*40))</f>
        <v>120</v>
      </c>
      <c r="V14" s="237">
        <f>IF(SUM(S14,T14,U14)&gt;0,SUM(S14,T14,U14),"")</f>
        <v>442.33</v>
      </c>
      <c r="W14" s="238">
        <f>IF(OR(P14="",S14="",T14="",U14=""),"",SUM(P14,S14,T14,U14))</f>
        <v>684.39572271673137</v>
      </c>
      <c r="X14" s="239">
        <v>3</v>
      </c>
      <c r="Y14" s="240"/>
      <c r="Z14" s="225"/>
    </row>
    <row r="15" spans="1:29" ht="18" customHeight="1">
      <c r="A15" s="185">
        <v>64.349999999999994</v>
      </c>
      <c r="B15" s="186" t="s">
        <v>128</v>
      </c>
      <c r="C15" s="187" t="s">
        <v>177</v>
      </c>
      <c r="D15" s="186" t="s">
        <v>92</v>
      </c>
      <c r="E15" s="188">
        <v>38105</v>
      </c>
      <c r="F15" s="189"/>
      <c r="G15" s="190" t="s">
        <v>182</v>
      </c>
      <c r="H15" s="191">
        <v>-65</v>
      </c>
      <c r="I15" s="192">
        <v>65</v>
      </c>
      <c r="J15" s="192">
        <v>68</v>
      </c>
      <c r="K15" s="191">
        <v>82</v>
      </c>
      <c r="L15" s="192">
        <v>86</v>
      </c>
      <c r="M15" s="192">
        <v>-90</v>
      </c>
      <c r="N15" s="209">
        <f>IF(MAX(H15:J15)&gt;0,IF(MAX(H15:J15)&lt;0,0,TRUNC(MAX(H15:J15)/1)*1),"")</f>
        <v>68</v>
      </c>
      <c r="O15" s="210">
        <f>IF(MAX(K15:M15)&gt;0,IF(MAX(K15:M15)&lt;0,0,TRUNC(MAX(K15:M15)/1)*1),"")</f>
        <v>86</v>
      </c>
      <c r="P15" s="211">
        <f>IF(N15="","",IF(O15="","",IF(SUM(N15:O15)=0,"",SUM(N15:O15))))</f>
        <v>154</v>
      </c>
      <c r="Q15" s="223">
        <f>IF(P15="","",IF(A15="","",IF(OR(C15="UK",C15="JK",C15="SK",C15="K1",C15="K2",C15="K3",C15="K4",C15="K5",C15="K6",C15="K7",C15="K8",C15="K9",C15="K10"),IF(A15&gt;153.655,P15,IF(A15&lt;28,10^(0.783497476*LOG10(28/153.655)^2)*P15,10^(0.783497476*LOG10(A15/153.655)^2)*P15)),IF(A15&gt;175.508,P15,IF(A15&lt;32,10^(0.75194503*LOG10(32/175.508)^2)*P15,10^(0.75194503*LOG10(A15/175.508)^2)*P15)))))</f>
        <v>213.94272121623928</v>
      </c>
      <c r="R15" s="224" t="str">
        <f>IF(OR(E15="",A15="",Z15="",Q15=""),"",IF(OR(C15="UM",C15="JM",C15="SM",C15="UK",C15="JK",C15="SK"),"",Q15*(IF(ABS(1900-YEAR((Z15+1)-E15))&lt;29,0,(VLOOKUP((YEAR(Z15)-YEAR(E15)),'Meltzer-Malone'!$A$3:$B$63,2))))))</f>
        <v/>
      </c>
      <c r="S15" s="174">
        <f>IF('K7'!G13="","",'K7'!G13)</f>
        <v>7.85</v>
      </c>
      <c r="T15" s="174">
        <f>IF('K7'!K13="","",'K7'!K13)</f>
        <v>14.51</v>
      </c>
      <c r="U15" s="174">
        <f>IF('K7'!N13="","",'K7'!N13)</f>
        <v>6.76</v>
      </c>
      <c r="V15" s="163"/>
      <c r="W15" s="164"/>
      <c r="X15" s="175"/>
      <c r="Y15" s="176" t="s">
        <v>42</v>
      </c>
      <c r="Z15" s="225">
        <f>U5</f>
        <v>43358</v>
      </c>
    </row>
    <row r="16" spans="1:29" ht="18" customHeight="1">
      <c r="A16" s="165"/>
      <c r="B16" s="166"/>
      <c r="C16" s="167"/>
      <c r="D16" s="168"/>
      <c r="E16" s="169"/>
      <c r="F16" s="193"/>
      <c r="G16" s="170" t="s">
        <v>103</v>
      </c>
      <c r="H16" s="338"/>
      <c r="I16" s="339"/>
      <c r="J16" s="340"/>
      <c r="K16" s="341"/>
      <c r="L16" s="342"/>
      <c r="M16" s="343"/>
      <c r="N16" s="167"/>
      <c r="O16" s="171"/>
      <c r="P16" s="334">
        <f>IF(Q15="","",Q15*1.2)</f>
        <v>256.73126545948713</v>
      </c>
      <c r="Q16" s="334"/>
      <c r="R16" s="222"/>
      <c r="S16" s="172">
        <f>IF(S15="","",S15*20)</f>
        <v>157</v>
      </c>
      <c r="T16" s="172">
        <f>IF(T15="","",T15*11)</f>
        <v>159.60999999999999</v>
      </c>
      <c r="U16" s="173">
        <f>IF(U15="","",IF((80+(8-ROUNDUP(U15,1))*40)&lt;0,0,80+(8-ROUNDUP(U15,1))*40))</f>
        <v>128</v>
      </c>
      <c r="V16" s="237">
        <f>IF(SUM(S16,T16,U16)&gt;0,SUM(S16,T16,U16),"")</f>
        <v>444.61</v>
      </c>
      <c r="W16" s="238">
        <f>IF(OR(P16="",S16="",T16="",U16=""),"",SUM(P16,S16,T16,U16))</f>
        <v>701.34126545948709</v>
      </c>
      <c r="X16" s="239">
        <v>1</v>
      </c>
      <c r="Y16" s="240"/>
      <c r="Z16" s="225"/>
    </row>
    <row r="17" spans="1:29" ht="18" customHeight="1">
      <c r="A17" s="185">
        <v>69.14</v>
      </c>
      <c r="B17" s="186" t="s">
        <v>183</v>
      </c>
      <c r="C17" s="187" t="s">
        <v>177</v>
      </c>
      <c r="D17" s="186" t="s">
        <v>92</v>
      </c>
      <c r="E17" s="188">
        <v>38286</v>
      </c>
      <c r="F17" s="189"/>
      <c r="G17" s="190" t="s">
        <v>184</v>
      </c>
      <c r="H17" s="191">
        <v>48</v>
      </c>
      <c r="I17" s="192">
        <v>51</v>
      </c>
      <c r="J17" s="192">
        <v>-53</v>
      </c>
      <c r="K17" s="191">
        <v>57</v>
      </c>
      <c r="L17" s="192">
        <v>60</v>
      </c>
      <c r="M17" s="192">
        <v>62</v>
      </c>
      <c r="N17" s="209">
        <f>IF(MAX(H17:J17)&gt;0,IF(MAX(H17:J17)&lt;0,0,TRUNC(MAX(H17:J17)/1)*1),"")</f>
        <v>51</v>
      </c>
      <c r="O17" s="210">
        <f>IF(MAX(K17:M17)&gt;0,IF(MAX(K17:M17)&lt;0,0,TRUNC(MAX(K17:M17)/1)*1),"")</f>
        <v>62</v>
      </c>
      <c r="P17" s="211">
        <f>IF(N17="","",IF(O17="","",IF(SUM(N17:O17)=0,"",SUM(N17:O17))))</f>
        <v>113</v>
      </c>
      <c r="Q17" s="223">
        <f>IF(P17="","",IF(A17="","",IF(OR(C17="UK",C17="JK",C17="SK",C17="K1",C17="K2",C17="K3",C17="K4",C17="K5",C17="K6",C17="K7",C17="K8",C17="K9",C17="K10"),IF(A17&gt;153.655,P17,IF(A17&lt;28,10^(0.783497476*LOG10(28/153.655)^2)*P17,10^(0.783497476*LOG10(A17/153.655)^2)*P17)),IF(A17&gt;175.508,P17,IF(A17&lt;32,10^(0.75194503*LOG10(32/175.508)^2)*P17,10^(0.75194503*LOG10(A17/175.508)^2)*P17)))))</f>
        <v>150.02131507107549</v>
      </c>
      <c r="R17" s="224" t="str">
        <f>IF(OR(E17="",A17="",Z17="",Q17=""),"",IF(OR(C17="UM",C17="JM",C17="SM",C17="UK",C17="JK",C17="SK"),"",Q17*(IF(ABS(1900-YEAR((Z17+1)-E17))&lt;29,0,(VLOOKUP((YEAR(Z17)-YEAR(E17)),'Meltzer-Malone'!$A$3:$B$63,2))))))</f>
        <v/>
      </c>
      <c r="S17" s="174">
        <f>IF('K7'!G15="","",'K7'!G15)</f>
        <v>6.29</v>
      </c>
      <c r="T17" s="174">
        <f>IF('K7'!K15="","",'K7'!K15)</f>
        <v>9.65</v>
      </c>
      <c r="U17" s="174">
        <f>IF('K7'!N15="","",'K7'!N15)</f>
        <v>8.09</v>
      </c>
      <c r="V17" s="163"/>
      <c r="W17" s="164"/>
      <c r="X17" s="175"/>
      <c r="Y17" s="176"/>
      <c r="Z17" s="225">
        <f>U5</f>
        <v>43358</v>
      </c>
    </row>
    <row r="18" spans="1:29" ht="18" customHeight="1">
      <c r="A18" s="165"/>
      <c r="B18" s="166"/>
      <c r="C18" s="167"/>
      <c r="D18" s="168"/>
      <c r="E18" s="169"/>
      <c r="F18" s="193"/>
      <c r="G18" s="170" t="s">
        <v>103</v>
      </c>
      <c r="H18" s="338"/>
      <c r="I18" s="339"/>
      <c r="J18" s="340"/>
      <c r="K18" s="341"/>
      <c r="L18" s="342"/>
      <c r="M18" s="343"/>
      <c r="N18" s="167"/>
      <c r="O18" s="171"/>
      <c r="P18" s="334">
        <f>IF(Q17="","",Q17*1.2)</f>
        <v>180.02557808529059</v>
      </c>
      <c r="Q18" s="334"/>
      <c r="R18" s="222"/>
      <c r="S18" s="172">
        <f>IF(S17="","",S17*20)</f>
        <v>125.8</v>
      </c>
      <c r="T18" s="172">
        <f>IF(T17="","",T17*11)</f>
        <v>106.15</v>
      </c>
      <c r="U18" s="173">
        <f>IF(U17="","",IF((80+(8-ROUNDUP(U17,1))*40)&lt;0,0,80+(8-ROUNDUP(U17,1))*40))</f>
        <v>76.000000000000014</v>
      </c>
      <c r="V18" s="237">
        <f>IF(SUM(S18,T18,U18)&gt;0,SUM(S18,T18,U18),"")</f>
        <v>307.95</v>
      </c>
      <c r="W18" s="238">
        <f>IF(OR(P18="",S18="",T18="",U18=""),"",SUM(P18,S18,T18,U18))</f>
        <v>487.97557808529064</v>
      </c>
      <c r="X18" s="239">
        <v>4</v>
      </c>
      <c r="Y18" s="240"/>
      <c r="Z18" s="225"/>
      <c r="AC18" t="s">
        <v>42</v>
      </c>
    </row>
    <row r="19" spans="1:29" ht="18" customHeight="1">
      <c r="A19" s="185">
        <v>60.21</v>
      </c>
      <c r="B19" s="186" t="s">
        <v>179</v>
      </c>
      <c r="C19" s="187" t="s">
        <v>177</v>
      </c>
      <c r="D19" s="186" t="s">
        <v>106</v>
      </c>
      <c r="E19" s="188">
        <v>37500</v>
      </c>
      <c r="F19" s="189"/>
      <c r="G19" s="190" t="s">
        <v>185</v>
      </c>
      <c r="H19" s="191">
        <v>62</v>
      </c>
      <c r="I19" s="192">
        <v>65</v>
      </c>
      <c r="J19" s="192">
        <v>-67</v>
      </c>
      <c r="K19" s="191">
        <v>80</v>
      </c>
      <c r="L19" s="192">
        <v>85</v>
      </c>
      <c r="M19" s="192">
        <v>-87</v>
      </c>
      <c r="N19" s="209">
        <f>IF(MAX(H19:J19)&gt;0,IF(MAX(H19:J19)&lt;0,0,TRUNC(MAX(H19:J19)/1)*1),"")</f>
        <v>65</v>
      </c>
      <c r="O19" s="210">
        <f>IF(MAX(K19:M19)&gt;0,IF(MAX(K19:M19)&lt;0,0,TRUNC(MAX(K19:M19)/1)*1),"")</f>
        <v>85</v>
      </c>
      <c r="P19" s="211">
        <f>IF(N19="","",IF(O19="","",IF(SUM(N19:O19)=0,"",SUM(N19:O19))))</f>
        <v>150</v>
      </c>
      <c r="Q19" s="223">
        <f>IF(P19="","",IF(A19="","",IF(OR(C19="UK",C19="JK",C19="SK",C19="K1",C19="K2",C19="K3",C19="K4",C19="K5",C19="K6",C19="K7",C19="K8",C19="K9",C19="K10"),IF(A19&gt;153.655,P19,IF(A19&lt;28,10^(0.783497476*LOG10(28/153.655)^2)*P19,10^(0.783497476*LOG10(A19/153.655)^2)*P19)),IF(A19&gt;175.508,P19,IF(A19&lt;32,10^(0.75194503*LOG10(32/175.508)^2)*P19,10^(0.75194503*LOG10(A19/175.508)^2)*P19)))))</f>
        <v>217.98205222135434</v>
      </c>
      <c r="R19" s="224" t="str">
        <f>IF(OR(E19="",A19="",Z19="",Q19=""),"",IF(OR(C19="UM",C19="JM",C19="SM",C19="UK",C19="JK",C19="SK"),"",Q19*(IF(ABS(1900-YEAR((Z19+1)-E19))&lt;29,0,(VLOOKUP((YEAR(Z19)-YEAR(E19)),'Meltzer-Malone'!$A$3:$B$63,2))))))</f>
        <v/>
      </c>
      <c r="S19" s="174">
        <f>IF('K7'!G17="","",'K7'!G17)</f>
        <v>7.83</v>
      </c>
      <c r="T19" s="174">
        <f>IF('K7'!K17="","",'K7'!K17)</f>
        <v>12.62</v>
      </c>
      <c r="U19" s="174">
        <f>IF('K7'!N17="","",'K7'!N17)</f>
        <v>6.55</v>
      </c>
      <c r="V19" s="163"/>
      <c r="W19" s="164"/>
      <c r="X19" s="175"/>
      <c r="Y19" s="176"/>
      <c r="Z19" s="225">
        <f>U5</f>
        <v>43358</v>
      </c>
    </row>
    <row r="20" spans="1:29" ht="18" customHeight="1">
      <c r="A20" s="165"/>
      <c r="B20" s="166"/>
      <c r="C20" s="167"/>
      <c r="D20" s="168"/>
      <c r="E20" s="169"/>
      <c r="F20" s="193"/>
      <c r="G20" s="170" t="s">
        <v>131</v>
      </c>
      <c r="H20" s="338"/>
      <c r="I20" s="339"/>
      <c r="J20" s="340"/>
      <c r="K20" s="341"/>
      <c r="L20" s="342"/>
      <c r="M20" s="343"/>
      <c r="N20" s="167"/>
      <c r="O20" s="171"/>
      <c r="P20" s="334">
        <f>IF(Q19="","",Q19*1.2)</f>
        <v>261.57846266562518</v>
      </c>
      <c r="Q20" s="334"/>
      <c r="R20" s="222"/>
      <c r="S20" s="172">
        <f>IF(S19="","",S19*20)</f>
        <v>156.6</v>
      </c>
      <c r="T20" s="172">
        <f>IF(T19="","",T19*11)</f>
        <v>138.82</v>
      </c>
      <c r="U20" s="173">
        <f>IF(U19="","",IF((80+(8-ROUNDUP(U19,1))*40)&lt;0,0,80+(8-ROUNDUP(U19,1))*40))</f>
        <v>136</v>
      </c>
      <c r="V20" s="237">
        <f>IF(SUM(S20,T20,U20)&gt;0,SUM(S20,T20,U20),"")</f>
        <v>431.41999999999996</v>
      </c>
      <c r="W20" s="238">
        <f>IF(OR(P20="",S20="",T20="",U20=""),"",SUM(P20,S20,T20,U20))</f>
        <v>692.99846266562508</v>
      </c>
      <c r="X20" s="239">
        <v>2</v>
      </c>
      <c r="Y20" s="240"/>
      <c r="Z20" s="225"/>
    </row>
    <row r="21" spans="1:29" ht="18" customHeight="1">
      <c r="A21" s="185">
        <v>71.59</v>
      </c>
      <c r="B21" s="186" t="s">
        <v>183</v>
      </c>
      <c r="C21" s="187" t="s">
        <v>177</v>
      </c>
      <c r="D21" s="186" t="s">
        <v>106</v>
      </c>
      <c r="E21" s="188">
        <v>37687</v>
      </c>
      <c r="F21" s="189"/>
      <c r="G21" s="190" t="s">
        <v>186</v>
      </c>
      <c r="H21" s="191">
        <v>-55</v>
      </c>
      <c r="I21" s="192">
        <v>-55</v>
      </c>
      <c r="J21" s="192">
        <v>55</v>
      </c>
      <c r="K21" s="191">
        <v>68</v>
      </c>
      <c r="L21" s="192">
        <v>71</v>
      </c>
      <c r="M21" s="192">
        <v>74</v>
      </c>
      <c r="N21" s="209">
        <f>IF(MAX(H21:J21)&gt;0,IF(MAX(H21:J21)&lt;0,0,TRUNC(MAX(H21:J21)/1)*1),"")</f>
        <v>55</v>
      </c>
      <c r="O21" s="210">
        <f>IF(MAX(K21:M21)&gt;0,IF(MAX(K21:M21)&lt;0,0,TRUNC(MAX(K21:M21)/1)*1),"")</f>
        <v>74</v>
      </c>
      <c r="P21" s="211">
        <f>IF(N21="","",IF(O21="","",IF(SUM(N21:O21)=0,"",SUM(N21:O21))))</f>
        <v>129</v>
      </c>
      <c r="Q21" s="223">
        <f>IF(P21="","",IF(A21="","",IF(OR(C21="UK",C21="JK",C21="SK",C21="K1",C21="K2",C21="K3",C21="K4",C21="K5",C21="K6",C21="K7",C21="K8",C21="K9",C21="K10"),IF(A21&gt;153.655,P21,IF(A21&lt;28,10^(0.783497476*LOG10(28/153.655)^2)*P21,10^(0.783497476*LOG10(A21/153.655)^2)*P21)),IF(A21&gt;175.508,P21,IF(A21&lt;32,10^(0.75194503*LOG10(32/175.508)^2)*P21,10^(0.75194503*LOG10(A21/175.508)^2)*P21)))))</f>
        <v>167.73936833924796</v>
      </c>
      <c r="R21" s="224" t="str">
        <f>IF(OR(E21="",A21="",Z21="",Q21=""),"",IF(OR(C21="UM",C21="JM",C21="SM",C21="UK",C21="JK",C21="SK"),"",Q21*(IF(ABS(1900-YEAR((Z21+1)-E21))&lt;29,0,(VLOOKUP((YEAR(Z21)-YEAR(E21)),'Meltzer-Malone'!$A$3:$B$63,2))))))</f>
        <v/>
      </c>
      <c r="S21" s="174">
        <f>IF('K7'!G19="","",'K7'!G19)</f>
        <v>8.23</v>
      </c>
      <c r="T21" s="174">
        <f>IF('K7'!K19="","",'K7'!K19)</f>
        <v>16.5</v>
      </c>
      <c r="U21" s="174">
        <f>IF('K7'!N19="","",'K7'!N19)</f>
        <v>6.39</v>
      </c>
      <c r="V21" s="163"/>
      <c r="W21" s="164"/>
      <c r="X21" s="175"/>
      <c r="Y21" s="176"/>
      <c r="Z21" s="225">
        <f>U5</f>
        <v>43358</v>
      </c>
    </row>
    <row r="22" spans="1:29" ht="18" customHeight="1">
      <c r="A22" s="165"/>
      <c r="B22" s="166"/>
      <c r="C22" s="167"/>
      <c r="D22" s="168"/>
      <c r="E22" s="169"/>
      <c r="F22" s="193"/>
      <c r="G22" s="170" t="s">
        <v>124</v>
      </c>
      <c r="H22" s="338"/>
      <c r="I22" s="339"/>
      <c r="J22" s="340"/>
      <c r="K22" s="341"/>
      <c r="L22" s="342"/>
      <c r="M22" s="343"/>
      <c r="N22" s="167"/>
      <c r="O22" s="171"/>
      <c r="P22" s="334">
        <f>IF(Q21="","",Q21*1.2)</f>
        <v>201.28724200709755</v>
      </c>
      <c r="Q22" s="334"/>
      <c r="R22" s="222"/>
      <c r="S22" s="172">
        <f>IF(S21="","",S21*20)</f>
        <v>164.60000000000002</v>
      </c>
      <c r="T22" s="172">
        <f>IF(T21="","",T21*11)</f>
        <v>181.5</v>
      </c>
      <c r="U22" s="173">
        <f>IF(U21="","",IF((80+(8-ROUNDUP(U21,1))*40)&lt;0,0,80+(8-ROUNDUP(U21,1))*40))</f>
        <v>144.00000000000003</v>
      </c>
      <c r="V22" s="237">
        <f>IF(SUM(S22,T22,U22)&gt;0,SUM(S22,T22,U22),"")</f>
        <v>490.1</v>
      </c>
      <c r="W22" s="238">
        <f>IF(OR(P22="",S22="",T22="",U22=""),"",SUM(P22,S22,T22,U22))</f>
        <v>691.3872420070976</v>
      </c>
      <c r="X22" s="239">
        <v>3</v>
      </c>
      <c r="Y22" s="240"/>
      <c r="Z22" s="225"/>
    </row>
    <row r="23" spans="1:29" ht="18" customHeight="1">
      <c r="A23" s="185">
        <v>85.24</v>
      </c>
      <c r="B23" s="186" t="s">
        <v>187</v>
      </c>
      <c r="C23" s="187" t="s">
        <v>177</v>
      </c>
      <c r="D23" s="186" t="s">
        <v>106</v>
      </c>
      <c r="E23" s="188">
        <v>37288</v>
      </c>
      <c r="F23" s="189"/>
      <c r="G23" s="190" t="s">
        <v>188</v>
      </c>
      <c r="H23" s="191">
        <v>85</v>
      </c>
      <c r="I23" s="192">
        <v>90</v>
      </c>
      <c r="J23" s="192">
        <v>95</v>
      </c>
      <c r="K23" s="191">
        <v>100</v>
      </c>
      <c r="L23" s="192">
        <v>105</v>
      </c>
      <c r="M23" s="192">
        <v>112</v>
      </c>
      <c r="N23" s="209">
        <f>IF(MAX(H23:J23)&gt;0,IF(MAX(H23:J23)&lt;0,0,TRUNC(MAX(H23:J23)/1)*1),"")</f>
        <v>95</v>
      </c>
      <c r="O23" s="210">
        <f>IF(MAX(K23:M23)&gt;0,IF(MAX(K23:M23)&lt;0,0,TRUNC(MAX(K23:M23)/1)*1),"")</f>
        <v>112</v>
      </c>
      <c r="P23" s="211">
        <f>IF(N23="","",IF(O23="","",IF(SUM(N23:O23)=0,"",SUM(N23:O23))))</f>
        <v>207</v>
      </c>
      <c r="Q23" s="223">
        <f>IF(P23="","",IF(A23="","",IF(OR(C23="UK",C23="JK",C23="SK",C23="K1",C23="K2",C23="K3",C23="K4",C23="K5",C23="K6",C23="K7",C23="K8",C23="K9",C23="K10"),IF(A23&gt;153.655,P23,IF(A23&lt;28,10^(0.783497476*LOG10(28/153.655)^2)*P23,10^(0.783497476*LOG10(A23/153.655)^2)*P23)),IF(A23&gt;175.508,P23,IF(A23&lt;32,10^(0.75194503*LOG10(32/175.508)^2)*P23,10^(0.75194503*LOG10(A23/175.508)^2)*P23)))))</f>
        <v>245.44012980343405</v>
      </c>
      <c r="R23" s="224" t="str">
        <f>IF(OR(E23="",A23="",Z23="",Q23=""),"",IF(OR(C23="UM",C23="JM",C23="SM",C23="UK",C23="JK",C23="SK"),"",Q23*(IF(ABS(1900-YEAR((Z23+1)-E23))&lt;29,0,(VLOOKUP((YEAR(Z23)-YEAR(E23)),'Meltzer-Malone'!$A$3:$B$63,2))))))</f>
        <v/>
      </c>
      <c r="S23" s="174">
        <f>IF('K7'!G21="","",'K7'!G21)</f>
        <v>7.17</v>
      </c>
      <c r="T23" s="174">
        <f>IF('K7'!K21="","",'K7'!K21)</f>
        <v>14.28</v>
      </c>
      <c r="U23" s="174">
        <f>IF('K7'!N21="","",'K7'!N21)</f>
        <v>7.05</v>
      </c>
      <c r="V23" s="163"/>
      <c r="W23" s="164"/>
      <c r="X23" s="175"/>
      <c r="Y23" s="176"/>
      <c r="Z23" s="225">
        <f>U5</f>
        <v>43358</v>
      </c>
    </row>
    <row r="24" spans="1:29" ht="18" customHeight="1">
      <c r="A24" s="165"/>
      <c r="B24" s="166"/>
      <c r="C24" s="167"/>
      <c r="D24" s="168"/>
      <c r="E24" s="169"/>
      <c r="F24" s="193"/>
      <c r="G24" s="170" t="s">
        <v>5</v>
      </c>
      <c r="H24" s="338"/>
      <c r="I24" s="339"/>
      <c r="J24" s="340"/>
      <c r="K24" s="341"/>
      <c r="L24" s="342"/>
      <c r="M24" s="343"/>
      <c r="N24" s="167"/>
      <c r="O24" s="171"/>
      <c r="P24" s="334">
        <f>IF(Q23="","",Q23*1.2)</f>
        <v>294.52815576412087</v>
      </c>
      <c r="Q24" s="334"/>
      <c r="R24" s="222"/>
      <c r="S24" s="172">
        <f>IF(S23="","",S23*20)</f>
        <v>143.4</v>
      </c>
      <c r="T24" s="172">
        <f>IF(T23="","",T23*11)</f>
        <v>157.07999999999998</v>
      </c>
      <c r="U24" s="173">
        <f>IF(U23="","",IF((80+(8-ROUNDUP(U23,1))*40)&lt;0,0,80+(8-ROUNDUP(U23,1))*40))</f>
        <v>116.00000000000001</v>
      </c>
      <c r="V24" s="237">
        <f>IF(SUM(S24,T24,U24)&gt;0,SUM(S24,T24,U24),"")</f>
        <v>416.48</v>
      </c>
      <c r="W24" s="238">
        <f>IF(OR(P24="",S24="",T24="",U24=""),"",SUM(P24,S24,T24,U24))</f>
        <v>711.00815576412083</v>
      </c>
      <c r="X24" s="239">
        <v>1</v>
      </c>
      <c r="Y24" s="240"/>
      <c r="Z24" s="225"/>
    </row>
    <row r="25" spans="1:29" ht="18" customHeight="1">
      <c r="A25" s="185">
        <v>92.27</v>
      </c>
      <c r="B25" s="186" t="s">
        <v>187</v>
      </c>
      <c r="C25" s="187" t="s">
        <v>177</v>
      </c>
      <c r="D25" s="186" t="s">
        <v>106</v>
      </c>
      <c r="E25" s="188">
        <v>37350</v>
      </c>
      <c r="F25" s="189"/>
      <c r="G25" s="190" t="s">
        <v>189</v>
      </c>
      <c r="H25" s="191">
        <v>62</v>
      </c>
      <c r="I25" s="192">
        <v>70</v>
      </c>
      <c r="J25" s="192">
        <v>-77</v>
      </c>
      <c r="K25" s="191">
        <v>82</v>
      </c>
      <c r="L25" s="192">
        <v>-90</v>
      </c>
      <c r="M25" s="192">
        <v>-90</v>
      </c>
      <c r="N25" s="209">
        <f>IF(MAX(H25:J25)&gt;0,IF(MAX(H25:J25)&lt;0,0,TRUNC(MAX(H25:J25)/1)*1),"")</f>
        <v>70</v>
      </c>
      <c r="O25" s="210">
        <f>IF(MAX(K25:M25)&gt;0,IF(MAX(K25:M25)&lt;0,0,TRUNC(MAX(K25:M25)/1)*1),"")</f>
        <v>82</v>
      </c>
      <c r="P25" s="211">
        <f>IF(N25="","",IF(O25="","",IF(SUM(N25:O25)=0,"",SUM(N25:O25))))</f>
        <v>152</v>
      </c>
      <c r="Q25" s="223">
        <f>IF(P25="","",IF(A25="","",IF(OR(C25="UK",C25="JK",C25="SK",C25="K1",C25="K2",C25="K3",C25="K4",C25="K5",C25="K6",C25="K7",C25="K8",C25="K9",C25="K10"),IF(A25&gt;153.655,P25,IF(A25&lt;28,10^(0.783497476*LOG10(28/153.655)^2)*P25,10^(0.783497476*LOG10(A25/153.655)^2)*P25)),IF(A25&gt;175.508,P25,IF(A25&lt;32,10^(0.75194503*LOG10(32/175.508)^2)*P25,10^(0.75194503*LOG10(A25/175.508)^2)*P25)))))</f>
        <v>173.97024360906391</v>
      </c>
      <c r="R25" s="224" t="str">
        <f>IF(OR(E25="",A25="",Z25="",Q25=""),"",IF(OR(C25="UM",C25="JM",C25="SM",C25="UK",C25="JK",C25="SK"),"",Q25*(IF(ABS(1900-YEAR((Z25+1)-E25))&lt;29,0,(VLOOKUP((YEAR(Z25)-YEAR(E25)),'Meltzer-Malone'!$A$3:$B$63,2))))))</f>
        <v/>
      </c>
      <c r="S25" s="174">
        <f>IF('K7'!G23="","",'K7'!G23)</f>
        <v>7.27</v>
      </c>
      <c r="T25" s="174">
        <f>IF('K7'!K23="","",'K7'!K23)</f>
        <v>14.03</v>
      </c>
      <c r="U25" s="174">
        <f>IF('K7'!N23="","",'K7'!N23)</f>
        <v>7.17</v>
      </c>
      <c r="V25" s="163"/>
      <c r="W25" s="164"/>
      <c r="X25" s="175"/>
      <c r="Y25" s="176"/>
      <c r="Z25" s="225">
        <f>U5</f>
        <v>43358</v>
      </c>
    </row>
    <row r="26" spans="1:29" ht="18" customHeight="1">
      <c r="A26" s="165"/>
      <c r="B26" s="166"/>
      <c r="C26" s="167"/>
      <c r="D26" s="168"/>
      <c r="E26" s="169"/>
      <c r="F26" s="193"/>
      <c r="G26" s="170" t="s">
        <v>111</v>
      </c>
      <c r="H26" s="338"/>
      <c r="I26" s="339"/>
      <c r="J26" s="340"/>
      <c r="K26" s="341"/>
      <c r="L26" s="342"/>
      <c r="M26" s="343"/>
      <c r="N26" s="167"/>
      <c r="O26" s="171"/>
      <c r="P26" s="334">
        <f>IF(Q25="","",Q25*1.2)</f>
        <v>208.76429233087669</v>
      </c>
      <c r="Q26" s="334"/>
      <c r="R26" s="222"/>
      <c r="S26" s="172">
        <f>IF(S25="","",S25*20)</f>
        <v>145.39999999999998</v>
      </c>
      <c r="T26" s="172">
        <f>IF(T25="","",T25*11)</f>
        <v>154.32999999999998</v>
      </c>
      <c r="U26" s="173">
        <f>IF(U25="","",IF((80+(8-ROUNDUP(U25,1))*40)&lt;0,0,80+(8-ROUNDUP(U25,1))*40))</f>
        <v>112.00000000000003</v>
      </c>
      <c r="V26" s="237">
        <f>IF(SUM(S26,T26,U26)&gt;0,SUM(S26,T26,U26),"")</f>
        <v>411.73</v>
      </c>
      <c r="W26" s="238">
        <f>IF(OR(P26="",S26="",T26="",U26=""),"",SUM(P26,S26,T26,U26))</f>
        <v>620.49429233087665</v>
      </c>
      <c r="X26" s="239">
        <v>5</v>
      </c>
      <c r="Y26" s="240"/>
      <c r="Z26" s="225"/>
    </row>
    <row r="27" spans="1:29" ht="18" customHeight="1">
      <c r="A27" s="185">
        <v>101.59</v>
      </c>
      <c r="B27" s="206" t="s">
        <v>190</v>
      </c>
      <c r="C27" s="187" t="s">
        <v>177</v>
      </c>
      <c r="D27" s="186" t="s">
        <v>106</v>
      </c>
      <c r="E27" s="188">
        <v>37645</v>
      </c>
      <c r="F27" s="189"/>
      <c r="G27" s="190" t="s">
        <v>191</v>
      </c>
      <c r="H27" s="191">
        <v>71</v>
      </c>
      <c r="I27" s="192">
        <v>76</v>
      </c>
      <c r="J27" s="192">
        <v>-80</v>
      </c>
      <c r="K27" s="191">
        <v>85</v>
      </c>
      <c r="L27" s="192" t="s">
        <v>48</v>
      </c>
      <c r="M27" s="192" t="s">
        <v>48</v>
      </c>
      <c r="N27" s="209">
        <f>IF(MAX(H27:J27)&gt;0,IF(MAX(H27:J27)&lt;0,0,TRUNC(MAX(H27:J27)/1)*1),"")</f>
        <v>76</v>
      </c>
      <c r="O27" s="210">
        <f>IF(MAX(K27:M27)&gt;0,IF(MAX(K27:M27)&lt;0,0,TRUNC(MAX(K27:M27)/1)*1),"")</f>
        <v>85</v>
      </c>
      <c r="P27" s="211">
        <f>IF(N27="","",IF(O27="","",IF(SUM(N27:O27)=0,"",SUM(N27:O27))))</f>
        <v>161</v>
      </c>
      <c r="Q27" s="223">
        <f>IF(P27="","",IF(A27="","",IF(OR(C27="UK",C27="JK",C27="SK",C27="K1",C27="K2",C27="K3",C27="K4",C27="K5",C27="K6",C27="K7",C27="K8",C27="K9",C27="K10"),IF(A27&gt;153.655,P27,IF(A27&lt;28,10^(0.783497476*LOG10(28/153.655)^2)*P27,10^(0.783497476*LOG10(A27/153.655)^2)*P27)),IF(A27&gt;175.508,P27,IF(A27&lt;32,10^(0.75194503*LOG10(32/175.508)^2)*P27,10^(0.75194503*LOG10(A27/175.508)^2)*P27)))))</f>
        <v>177.50924417657751</v>
      </c>
      <c r="R27" s="224" t="str">
        <f>IF(OR(E27="",A27="",Z27="",Q27=""),"",IF(OR(C27="UM",C27="JM",C27="SM",C27="UK",C27="JK",C27="SK"),"",Q27*(IF(ABS(1900-YEAR((Z27+1)-E27))&lt;29,0,(VLOOKUP((YEAR(Z27)-YEAR(E27)),'Meltzer-Malone'!$A$3:$B$63,2))))))</f>
        <v/>
      </c>
      <c r="S27" s="174">
        <f>IF('K7'!G25="","",'K7'!G25)</f>
        <v>7.31</v>
      </c>
      <c r="T27" s="174">
        <f>IF('K7'!K25="","",'K7'!K25)</f>
        <v>13.6</v>
      </c>
      <c r="U27" s="174">
        <f>IF('K7'!N25="","",'K7'!N25)</f>
        <v>7.02</v>
      </c>
      <c r="V27" s="163"/>
      <c r="W27" s="164"/>
      <c r="X27" s="175"/>
      <c r="Y27" s="176"/>
      <c r="Z27" s="225">
        <f>U5</f>
        <v>43358</v>
      </c>
    </row>
    <row r="28" spans="1:29" ht="18" customHeight="1">
      <c r="A28" s="165"/>
      <c r="B28" s="166"/>
      <c r="C28" s="167"/>
      <c r="D28" s="168"/>
      <c r="E28" s="169"/>
      <c r="F28" s="193"/>
      <c r="G28" s="170" t="s">
        <v>108</v>
      </c>
      <c r="H28" s="338"/>
      <c r="I28" s="339"/>
      <c r="J28" s="340"/>
      <c r="K28" s="341"/>
      <c r="L28" s="342"/>
      <c r="M28" s="343"/>
      <c r="N28" s="167"/>
      <c r="O28" s="171"/>
      <c r="P28" s="334">
        <f>IF(Q27="","",Q27*1.2)</f>
        <v>213.011093011893</v>
      </c>
      <c r="Q28" s="334"/>
      <c r="R28" s="222"/>
      <c r="S28" s="172">
        <f>IF(S27="","",S27*20)</f>
        <v>146.19999999999999</v>
      </c>
      <c r="T28" s="172">
        <f>IF(T27="","",T27*11)</f>
        <v>149.6</v>
      </c>
      <c r="U28" s="173">
        <f>IF(U27="","",IF((80+(8-ROUNDUP(U27,1))*40)&lt;0,0,80+(8-ROUNDUP(U27,1))*40))</f>
        <v>116.00000000000001</v>
      </c>
      <c r="V28" s="237">
        <f>IF(SUM(S28,T28,U28)&gt;0,SUM(S28,T28,U28),"")</f>
        <v>411.79999999999995</v>
      </c>
      <c r="W28" s="238">
        <f>IF(OR(P28="",S28="",T28="",U28=""),"",SUM(P28,S28,T28,U28))</f>
        <v>624.81109301189304</v>
      </c>
      <c r="X28" s="239">
        <v>4</v>
      </c>
      <c r="Y28" s="240"/>
      <c r="Z28" s="226"/>
    </row>
    <row r="29" spans="1:29" ht="18" customHeight="1">
      <c r="A29" s="158"/>
      <c r="B29" s="206"/>
      <c r="C29" s="187"/>
      <c r="D29" s="187"/>
      <c r="E29" s="159"/>
      <c r="F29" s="159"/>
      <c r="G29" s="160"/>
      <c r="H29" s="161"/>
      <c r="I29" s="161"/>
      <c r="J29" s="161"/>
      <c r="K29" s="161"/>
      <c r="L29" s="161"/>
      <c r="M29" s="161"/>
      <c r="N29" s="209" t="str">
        <f>IF(MAX(H29:J29)&gt;0,IF(MAX(H29:J29)&lt;0,0,TRUNC(MAX(H29:J29)/1)*1),"")</f>
        <v/>
      </c>
      <c r="O29" s="210" t="str">
        <f>IF(MAX(K29:M29)&gt;0,IF(MAX(K29:M29)&lt;0,0,TRUNC(MAX(K29:M29)/1)*1),"")</f>
        <v/>
      </c>
      <c r="P29" s="211" t="str">
        <f>IF(N29="","",IF(O29="","",IF(SUM(N29:O29)=0,"",SUM(N29:O29))))</f>
        <v/>
      </c>
      <c r="Q29" s="223" t="str">
        <f>IF(P29="","",IF(A29="","",IF(OR(C29="UK",C29="JK",C29="SK",C29="K1",C29="K2",C29="K3",C29="K4",C29="K5",C29="K6",C29="K7",C29="K8",C29="K9",C29="K10"),IF(A29&gt;153.655,P29,IF(A29&lt;28,10^(0.783497476*LOG10(28/153.655)^2)*P29,10^(0.783497476*LOG10(A29/153.655)^2)*P29)),IF(A29&gt;175.508,P29,IF(A29&lt;32,10^(0.75194503*LOG10(32/175.508)^2)*P29,10^(0.75194503*LOG10(A29/175.508)^2)*P29)))))</f>
        <v/>
      </c>
      <c r="R29" s="224" t="str">
        <f>IF(OR(E29="",A29="",Z29="",Q29=""),"",IF(OR(C29="UM",C29="JM",C29="SM",C29="UK",C29="JK",C29="SK"),"",Q29*(IF(ABS(1900-YEAR((Z29+1)-E29))&lt;29,0,(VLOOKUP((YEAR(Z29)-YEAR(E29)),'Meltzer-Malone'!$A$3:$B$63,2))))))</f>
        <v/>
      </c>
      <c r="S29" s="174" t="str">
        <f>IF('K7'!G27="","",'K7'!G27)</f>
        <v/>
      </c>
      <c r="T29" s="174" t="str">
        <f>IF('K7'!K27="","",'K7'!K27)</f>
        <v/>
      </c>
      <c r="U29" s="174" t="str">
        <f>IF('K7'!N27="","",'K7'!N27)</f>
        <v/>
      </c>
      <c r="V29" s="163"/>
      <c r="W29" s="164"/>
      <c r="X29" s="175"/>
      <c r="Y29" s="176"/>
      <c r="Z29" s="225">
        <f>U5</f>
        <v>43358</v>
      </c>
    </row>
    <row r="30" spans="1:29" ht="18" customHeight="1">
      <c r="A30" s="165"/>
      <c r="B30" s="166"/>
      <c r="C30" s="167"/>
      <c r="D30" s="168"/>
      <c r="E30" s="169"/>
      <c r="F30" s="169"/>
      <c r="G30" s="170"/>
      <c r="H30" s="333"/>
      <c r="I30" s="334"/>
      <c r="J30" s="335"/>
      <c r="K30" s="333"/>
      <c r="L30" s="334"/>
      <c r="M30" s="335"/>
      <c r="N30" s="167"/>
      <c r="O30" s="171"/>
      <c r="P30" s="334" t="str">
        <f>IF(Q29="","",Q29*1.2)</f>
        <v/>
      </c>
      <c r="Q30" s="334"/>
      <c r="R30" s="222"/>
      <c r="S30" s="172" t="str">
        <f>IF(S29="","",S29*20)</f>
        <v/>
      </c>
      <c r="T30" s="172" t="str">
        <f>IF(T29="","",T29*11)</f>
        <v/>
      </c>
      <c r="U30" s="173" t="str">
        <f>IF(U29="","",IF((80+(8-ROUNDUP(U29,1))*40)&lt;0,0,80+(8-ROUNDUP(U29,1))*40))</f>
        <v/>
      </c>
      <c r="V30" s="237" t="str">
        <f>IF(SUM(S30,T30,U30)&gt;0,SUM(S30,T30,U30),"")</f>
        <v/>
      </c>
      <c r="W30" s="238" t="str">
        <f>IF(OR(P30="",S30="",T30="",U30=""),"",SUM(P30,S30,T30,U30))</f>
        <v/>
      </c>
      <c r="X30" s="239"/>
      <c r="Y30" s="240"/>
      <c r="Z30" s="225"/>
    </row>
    <row r="31" spans="1:29" ht="18" customHeight="1">
      <c r="A31" s="158"/>
      <c r="B31" s="206"/>
      <c r="C31" s="187"/>
      <c r="D31" s="187"/>
      <c r="E31" s="159"/>
      <c r="F31" s="159"/>
      <c r="G31" s="160"/>
      <c r="H31" s="161"/>
      <c r="I31" s="161"/>
      <c r="J31" s="161"/>
      <c r="K31" s="161"/>
      <c r="L31" s="161"/>
      <c r="M31" s="161"/>
      <c r="N31" s="209" t="str">
        <f>IF(MAX(H31:J31)&gt;0,IF(MAX(H31:J31)&lt;0,0,TRUNC(MAX(H31:J31)/1)*1),"")</f>
        <v/>
      </c>
      <c r="O31" s="210" t="str">
        <f>IF(MAX(K31:M31)&gt;0,IF(MAX(K31:M31)&lt;0,0,TRUNC(MAX(K31:M31)/1)*1),"")</f>
        <v/>
      </c>
      <c r="P31" s="211" t="str">
        <f>IF(N31="","",IF(O31="","",IF(SUM(N31:O31)=0,"",SUM(N31:O31))))</f>
        <v/>
      </c>
      <c r="Q31" s="223" t="str">
        <f>IF(P31="","",IF(A31="","",IF(OR(C31="UK",C31="JK",C31="SK",C31="K1",C31="K2",C31="K3",C31="K4",C31="K5",C31="K6",C31="K7",C31="K8",C31="K9",C31="K10"),IF(A31&gt;153.655,P31,IF(A31&lt;28,10^(0.783497476*LOG10(28/153.655)^2)*P31,10^(0.783497476*LOG10(A31/153.655)^2)*P31)),IF(A31&gt;175.508,P31,IF(A31&lt;32,10^(0.75194503*LOG10(32/175.508)^2)*P31,10^(0.75194503*LOG10(A31/175.508)^2)*P31)))))</f>
        <v/>
      </c>
      <c r="R31" s="224" t="str">
        <f>IF(OR(E31="",A31="",Z31="",Q31=""),"",IF(OR(C31="UM",C31="JM",C31="SM",C31="UK",C31="JK",C31="SK"),"",Q31*(IF(ABS(1900-YEAR((Z31+1)-E31))&lt;29,0,(VLOOKUP((YEAR(Z31)-YEAR(E31)),'Meltzer-Malone'!$A$3:$B$63,2))))))</f>
        <v/>
      </c>
      <c r="S31" s="174" t="str">
        <f>IF('K7'!G29="","",'K7'!G29)</f>
        <v/>
      </c>
      <c r="T31" s="174" t="str">
        <f>IF('K7'!K29="","",'K7'!K29)</f>
        <v/>
      </c>
      <c r="U31" s="174" t="str">
        <f>IF('K7'!N29="","",'K7'!N29)</f>
        <v/>
      </c>
      <c r="V31" s="163"/>
      <c r="W31" s="164"/>
      <c r="X31" s="175"/>
      <c r="Y31" s="176"/>
      <c r="Z31" s="225">
        <f>U5</f>
        <v>43358</v>
      </c>
    </row>
    <row r="32" spans="1:29" ht="18" customHeight="1" thickBot="1">
      <c r="A32" s="177"/>
      <c r="B32" s="178"/>
      <c r="C32" s="179"/>
      <c r="D32" s="180"/>
      <c r="E32" s="181"/>
      <c r="F32" s="181"/>
      <c r="G32" s="182"/>
      <c r="H32" s="330"/>
      <c r="I32" s="331"/>
      <c r="J32" s="332"/>
      <c r="K32" s="330"/>
      <c r="L32" s="331"/>
      <c r="M32" s="332"/>
      <c r="N32" s="307"/>
      <c r="O32" s="308"/>
      <c r="P32" s="331" t="str">
        <f>IF(Q31="","",Q31*1.2)</f>
        <v/>
      </c>
      <c r="Q32" s="331"/>
      <c r="R32" s="309"/>
      <c r="S32" s="183" t="str">
        <f>IF(S31="","",S31*20)</f>
        <v/>
      </c>
      <c r="T32" s="183" t="str">
        <f>IF(T31="","",T31*11)</f>
        <v/>
      </c>
      <c r="U32" s="184" t="str">
        <f>IF(U31="","",IF((80+(8-ROUNDUP(U31,1))*40)&lt;0,0,80+(8-ROUNDUP(U31,1))*40))</f>
        <v/>
      </c>
      <c r="V32" s="184" t="str">
        <f>IF(SUM(S32,T32,U32)&gt;0,SUM(S32,T32,U32),"")</f>
        <v/>
      </c>
      <c r="W32" s="257" t="str">
        <f>IF(OR(P32="",S32="",T32="",U32=""),"",SUM(P32,S32,T32,U32))</f>
        <v/>
      </c>
      <c r="X32" s="258"/>
      <c r="Y32" s="259"/>
      <c r="Z32" s="225"/>
    </row>
    <row r="33" spans="1:25" ht="14.1">
      <c r="A33" s="429"/>
      <c r="B33" s="429"/>
      <c r="C33" s="429"/>
      <c r="D33" s="430"/>
      <c r="E33" s="431"/>
      <c r="F33" s="431"/>
      <c r="G33" s="432"/>
      <c r="H33" s="433"/>
      <c r="I33" s="433"/>
      <c r="J33" s="433"/>
      <c r="K33" s="433"/>
      <c r="L33" s="433"/>
      <c r="M33" s="433"/>
      <c r="N33" s="429"/>
      <c r="O33" s="429"/>
      <c r="P33" s="429"/>
      <c r="Q33" s="429"/>
      <c r="R33" s="429"/>
      <c r="S33" s="433"/>
      <c r="T33" s="433"/>
      <c r="U33" s="434"/>
      <c r="V33" s="434"/>
      <c r="W33" s="435"/>
      <c r="X33" s="436"/>
      <c r="Y33" s="437"/>
    </row>
    <row r="34" spans="1:25" s="7" customFormat="1" ht="14.1">
      <c r="A34" s="7" t="s">
        <v>50</v>
      </c>
      <c r="B34"/>
      <c r="C34" s="317" t="s">
        <v>51</v>
      </c>
      <c r="D34" s="317"/>
      <c r="E34" s="317"/>
      <c r="F34" s="317"/>
      <c r="G34" s="317"/>
      <c r="H34" s="328" t="s">
        <v>115</v>
      </c>
      <c r="I34" s="328"/>
      <c r="J34" s="134">
        <v>1</v>
      </c>
      <c r="K34" s="317" t="s">
        <v>192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s="7" customFormat="1" ht="14.1">
      <c r="B35"/>
      <c r="C35" s="327"/>
      <c r="D35" s="327"/>
      <c r="E35" s="327"/>
      <c r="F35" s="327"/>
      <c r="G35" s="327"/>
      <c r="H35" s="328"/>
      <c r="I35" s="328"/>
      <c r="J35" s="134">
        <v>2</v>
      </c>
      <c r="K35" s="317" t="s">
        <v>193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s="7" customFormat="1" ht="14.1">
      <c r="A36" s="7" t="s">
        <v>55</v>
      </c>
      <c r="B36"/>
      <c r="C36" s="317"/>
      <c r="D36" s="317"/>
      <c r="E36" s="317"/>
      <c r="F36" s="317"/>
      <c r="G36" s="317"/>
      <c r="H36" s="329"/>
      <c r="I36" s="329"/>
      <c r="J36" s="134">
        <v>3</v>
      </c>
      <c r="K36" s="317" t="s">
        <v>194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s="5" customFormat="1" ht="14.1">
      <c r="A37" s="6"/>
      <c r="B37"/>
      <c r="C37" s="317"/>
      <c r="D37" s="317"/>
      <c r="E37" s="317"/>
      <c r="F37" s="317"/>
      <c r="G37" s="317"/>
      <c r="H37" s="32"/>
      <c r="I37" s="30"/>
      <c r="J37" s="135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s="5" customFormat="1" ht="14.1">
      <c r="A38" s="7"/>
      <c r="B38"/>
      <c r="C38" s="317"/>
      <c r="D38" s="317"/>
      <c r="E38" s="317"/>
      <c r="F38" s="317"/>
      <c r="G38" s="317"/>
      <c r="H38" s="136" t="s">
        <v>57</v>
      </c>
      <c r="I38" s="301"/>
      <c r="J38" s="43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s="5" customFormat="1" ht="14.1">
      <c r="A39" s="2"/>
      <c r="B39" s="2"/>
      <c r="C39" s="30"/>
      <c r="D39" s="31"/>
      <c r="E39" s="31"/>
      <c r="F39" s="31"/>
      <c r="G39" s="32"/>
      <c r="H39" s="136" t="s">
        <v>58</v>
      </c>
      <c r="I39" s="301"/>
      <c r="J39" s="47"/>
      <c r="K39" s="317" t="s">
        <v>195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s="5" customFormat="1" ht="14.1">
      <c r="A40" s="7" t="s">
        <v>60</v>
      </c>
      <c r="B40"/>
      <c r="C40" s="318" t="s">
        <v>196</v>
      </c>
      <c r="D40" s="318"/>
      <c r="E40" s="318"/>
      <c r="F40" s="318"/>
      <c r="G40" s="318"/>
      <c r="H40" s="136" t="s">
        <v>62</v>
      </c>
      <c r="I40" s="301"/>
      <c r="J40" s="137"/>
      <c r="K40" s="317" t="s">
        <v>63</v>
      </c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s="5" customFormat="1" ht="14.1">
      <c r="A41" s="2"/>
      <c r="B41" s="2"/>
      <c r="C41" s="326" t="s">
        <v>64</v>
      </c>
      <c r="D41" s="326"/>
      <c r="E41" s="326"/>
      <c r="F41" s="326"/>
      <c r="G41" s="326"/>
      <c r="H41" s="136"/>
      <c r="I41" s="311"/>
      <c r="J41" s="138"/>
      <c r="K41" s="2"/>
      <c r="L41" s="2"/>
      <c r="M41" s="2"/>
      <c r="N41" s="2"/>
      <c r="O41" s="2"/>
      <c r="P41" s="2"/>
      <c r="Q41" s="2"/>
      <c r="R41" s="2"/>
      <c r="S41" s="40"/>
      <c r="T41" s="40"/>
      <c r="U41" s="40"/>
      <c r="V41" s="40"/>
    </row>
    <row r="42" spans="1:25" s="5" customFormat="1" ht="14.1">
      <c r="A42" s="311" t="s">
        <v>65</v>
      </c>
      <c r="B42" s="139"/>
      <c r="C42" s="317" t="s">
        <v>63</v>
      </c>
      <c r="D42" s="317"/>
      <c r="E42" s="317"/>
      <c r="F42" s="317"/>
      <c r="G42" s="317"/>
      <c r="H42" s="136" t="s">
        <v>66</v>
      </c>
      <c r="I42" s="301"/>
      <c r="J42" s="43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s="5" customFormat="1" ht="14.1">
      <c r="A43" s="2"/>
      <c r="B43" s="2"/>
      <c r="C43" s="317"/>
      <c r="D43" s="317"/>
      <c r="E43" s="317"/>
      <c r="F43" s="317"/>
      <c r="G43" s="317"/>
      <c r="H43" s="136"/>
      <c r="I43" s="301"/>
      <c r="J43" s="138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s="5" customFormat="1" ht="14.1">
      <c r="A44" s="139" t="s">
        <v>68</v>
      </c>
      <c r="B44" s="139"/>
      <c r="C44" s="33" t="s">
        <v>69</v>
      </c>
      <c r="D44" s="34"/>
      <c r="E44" s="34"/>
      <c r="F44" s="34"/>
      <c r="G44" s="35"/>
      <c r="I44" s="301"/>
      <c r="J44" s="13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</row>
    <row r="45" spans="1:25" s="5" customFormat="1" ht="14.1">
      <c r="A45" s="140"/>
      <c r="B45" s="140"/>
      <c r="C45" s="33"/>
      <c r="D45" s="31"/>
      <c r="E45" s="31"/>
      <c r="F45" s="31"/>
      <c r="G45" s="32"/>
      <c r="I45" s="301"/>
      <c r="J45" s="13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</row>
    <row r="46" spans="1:25" s="5" customFormat="1" ht="14.1">
      <c r="A46" s="2"/>
      <c r="B46" s="2"/>
      <c r="C46" s="3"/>
      <c r="D46" s="4"/>
      <c r="E46" s="4"/>
      <c r="F46" s="4"/>
      <c r="I46" s="301"/>
      <c r="J46" s="13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</row>
    <row r="47" spans="1:25">
      <c r="A47" s="36"/>
      <c r="B47" s="36"/>
      <c r="C47" s="36"/>
      <c r="D47" s="36"/>
      <c r="E47" s="36"/>
      <c r="F47" s="36"/>
      <c r="H47" s="36"/>
      <c r="I47" s="36"/>
      <c r="J47" s="43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</sheetData>
  <mergeCells count="73">
    <mergeCell ref="C43:G43"/>
    <mergeCell ref="K43:Y43"/>
    <mergeCell ref="K44:Y44"/>
    <mergeCell ref="K45:Y45"/>
    <mergeCell ref="K46:Y46"/>
    <mergeCell ref="K39:Y39"/>
    <mergeCell ref="C40:G40"/>
    <mergeCell ref="K40:Y40"/>
    <mergeCell ref="C41:G41"/>
    <mergeCell ref="C42:G42"/>
    <mergeCell ref="K42:Y42"/>
    <mergeCell ref="C38:G38"/>
    <mergeCell ref="K38:Y38"/>
    <mergeCell ref="C34:G34"/>
    <mergeCell ref="H34:I34"/>
    <mergeCell ref="K34:Y34"/>
    <mergeCell ref="C35:G35"/>
    <mergeCell ref="H35:I35"/>
    <mergeCell ref="K35:Y35"/>
    <mergeCell ref="C36:G36"/>
    <mergeCell ref="H36:I36"/>
    <mergeCell ref="K36:Y36"/>
    <mergeCell ref="C37:G37"/>
    <mergeCell ref="K37:Y37"/>
    <mergeCell ref="H30:J30"/>
    <mergeCell ref="K30:M30"/>
    <mergeCell ref="P30:Q30"/>
    <mergeCell ref="H32:J32"/>
    <mergeCell ref="K32:M32"/>
    <mergeCell ref="P32:Q32"/>
    <mergeCell ref="H26:J26"/>
    <mergeCell ref="K26:M26"/>
    <mergeCell ref="P26:Q26"/>
    <mergeCell ref="H28:J28"/>
    <mergeCell ref="K28:M28"/>
    <mergeCell ref="P28:Q28"/>
    <mergeCell ref="H22:J22"/>
    <mergeCell ref="K22:M22"/>
    <mergeCell ref="P22:Q22"/>
    <mergeCell ref="H24:J24"/>
    <mergeCell ref="K24:M24"/>
    <mergeCell ref="P24:Q24"/>
    <mergeCell ref="H18:J18"/>
    <mergeCell ref="K18:M18"/>
    <mergeCell ref="P18:Q18"/>
    <mergeCell ref="H20:J20"/>
    <mergeCell ref="K20:M20"/>
    <mergeCell ref="P20:Q20"/>
    <mergeCell ref="H14:J14"/>
    <mergeCell ref="K14:M14"/>
    <mergeCell ref="P14:Q14"/>
    <mergeCell ref="H16:J16"/>
    <mergeCell ref="K16:M16"/>
    <mergeCell ref="P16:Q16"/>
    <mergeCell ref="H10:J10"/>
    <mergeCell ref="K10:M10"/>
    <mergeCell ref="P10:Q10"/>
    <mergeCell ref="H12:J12"/>
    <mergeCell ref="K12:M12"/>
    <mergeCell ref="P12:Q12"/>
    <mergeCell ref="U5:V5"/>
    <mergeCell ref="H7:J7"/>
    <mergeCell ref="K7:M7"/>
    <mergeCell ref="N7:Q7"/>
    <mergeCell ref="H8:J8"/>
    <mergeCell ref="K8:M8"/>
    <mergeCell ref="G2:Q2"/>
    <mergeCell ref="G3:Q3"/>
    <mergeCell ref="A5:B5"/>
    <mergeCell ref="C5:G5"/>
    <mergeCell ref="H5:I5"/>
    <mergeCell ref="J5:N5"/>
    <mergeCell ref="P5:S5"/>
  </mergeCells>
  <conditionalFormatting sqref="H31:M31 H29:M29">
    <cfRule type="cellIs" dxfId="127" priority="61" stopIfTrue="1" operator="between">
      <formula>1</formula>
      <formula>300</formula>
    </cfRule>
    <cfRule type="cellIs" dxfId="126" priority="62" stopIfTrue="1" operator="lessThanOrEqual">
      <formula>0</formula>
    </cfRule>
  </conditionalFormatting>
  <conditionalFormatting sqref="H11:M11">
    <cfRule type="cellIs" dxfId="125" priority="15" stopIfTrue="1" operator="between">
      <formula>1</formula>
      <formula>300</formula>
    </cfRule>
    <cfRule type="cellIs" dxfId="124" priority="16" stopIfTrue="1" operator="lessThanOrEqual">
      <formula>0</formula>
    </cfRule>
  </conditionalFormatting>
  <conditionalFormatting sqref="H25:M25">
    <cfRule type="cellIs" dxfId="123" priority="13" stopIfTrue="1" operator="between">
      <formula>1</formula>
      <formula>300</formula>
    </cfRule>
    <cfRule type="cellIs" dxfId="122" priority="14" stopIfTrue="1" operator="lessThanOrEqual">
      <formula>0</formula>
    </cfRule>
  </conditionalFormatting>
  <conditionalFormatting sqref="H13:M13">
    <cfRule type="cellIs" dxfId="121" priority="11" stopIfTrue="1" operator="between">
      <formula>1</formula>
      <formula>300</formula>
    </cfRule>
    <cfRule type="cellIs" dxfId="120" priority="12" stopIfTrue="1" operator="lessThanOrEqual">
      <formula>0</formula>
    </cfRule>
  </conditionalFormatting>
  <conditionalFormatting sqref="H27:M27">
    <cfRule type="cellIs" dxfId="119" priority="19" stopIfTrue="1" operator="between">
      <formula>1</formula>
      <formula>300</formula>
    </cfRule>
    <cfRule type="cellIs" dxfId="118" priority="20" stopIfTrue="1" operator="lessThanOrEqual">
      <formula>0</formula>
    </cfRule>
  </conditionalFormatting>
  <conditionalFormatting sqref="H9:M9">
    <cfRule type="cellIs" dxfId="117" priority="7" stopIfTrue="1" operator="between">
      <formula>1</formula>
      <formula>300</formula>
    </cfRule>
    <cfRule type="cellIs" dxfId="116" priority="8" stopIfTrue="1" operator="lessThanOrEqual">
      <formula>0</formula>
    </cfRule>
  </conditionalFormatting>
  <conditionalFormatting sqref="H17:M17">
    <cfRule type="cellIs" dxfId="115" priority="5" stopIfTrue="1" operator="between">
      <formula>1</formula>
      <formula>300</formula>
    </cfRule>
    <cfRule type="cellIs" dxfId="114" priority="6" stopIfTrue="1" operator="lessThanOrEqual">
      <formula>0</formula>
    </cfRule>
  </conditionalFormatting>
  <conditionalFormatting sqref="H21:M21">
    <cfRule type="cellIs" dxfId="113" priority="3" stopIfTrue="1" operator="between">
      <formula>1</formula>
      <formula>300</formula>
    </cfRule>
    <cfRule type="cellIs" dxfId="112" priority="4" stopIfTrue="1" operator="lessThanOrEqual">
      <formula>0</formula>
    </cfRule>
  </conditionalFormatting>
  <conditionalFormatting sqref="H19:M19">
    <cfRule type="cellIs" dxfId="111" priority="1" stopIfTrue="1" operator="between">
      <formula>1</formula>
      <formula>300</formula>
    </cfRule>
    <cfRule type="cellIs" dxfId="110" priority="2" stopIfTrue="1" operator="lessThanOrEqual">
      <formula>0</formula>
    </cfRule>
  </conditionalFormatting>
  <conditionalFormatting sqref="H23:M23">
    <cfRule type="cellIs" dxfId="109" priority="17" stopIfTrue="1" operator="between">
      <formula>1</formula>
      <formula>300</formula>
    </cfRule>
    <cfRule type="cellIs" dxfId="108" priority="18" stopIfTrue="1" operator="lessThanOrEqual">
      <formula>0</formula>
    </cfRule>
  </conditionalFormatting>
  <conditionalFormatting sqref="H15:M15">
    <cfRule type="cellIs" dxfId="107" priority="9" stopIfTrue="1" operator="between">
      <formula>1</formula>
      <formula>300</formula>
    </cfRule>
    <cfRule type="cellIs" dxfId="106" priority="10" stopIfTrue="1" operator="lessThanOrEqual">
      <formula>0</formula>
    </cfRule>
  </conditionalFormatting>
  <dataValidations count="3">
    <dataValidation type="list" allowBlank="1" showInputMessage="1" showErrorMessage="1" errorTitle="Feil_i_kat.5-kamp" error="Feil verdi i kategori 5-kamp" sqref="D9 D11 D13 D15 D17 D19 D21 D23 D25 D27 D29 D31" xr:uid="{00000000-0002-0000-0600-000000000000}">
      <formula1>"11-12,13-14,15-16,17-18,+18,'+18,18+"</formula1>
    </dataValidation>
    <dataValidation type="list" allowBlank="1" showInputMessage="1" showErrorMessage="1" errorTitle="Feil _i_kat.v.løft" error="Feil verdi i kategori vektløfting" sqref="C9 C11 C13 C15 C17 C19 C21 C23 C25 C27 C29 C31" xr:uid="{00000000-0002-0000-06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B9 B11 B13 B15 B17 B19 B21 B23 B25 B27 B29 B31" xr:uid="{00000000-0002-0000-0600-000002000000}">
      <formula1>"44,48,53,58,63,69,+69,'+69,69+,75,+75,'+75,75,50,56,62,69,77,85,94,+94,'+94,94+,105,+105,'+105,105+"</formula1>
    </dataValidation>
  </dataValidations>
  <pageMargins left="0.27559055118110237" right="0.27559055118110237" top="0.27559055118110237" bottom="0.27559055118110237" header="0.51181102362204722" footer="0.51181102362204722"/>
  <pageSetup paperSize="9" scale="66" orientation="landscape" horizontalDpi="300" verticalDpi="300" copies="5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55"/>
  <sheetViews>
    <sheetView showGridLines="0" showRowColHeaders="0" showZeros="0" workbookViewId="0">
      <selection activeCell="A9" sqref="A9"/>
    </sheetView>
  </sheetViews>
  <sheetFormatPr defaultColWidth="8.85546875" defaultRowHeight="12.95"/>
  <cols>
    <col min="1" max="1" width="7.85546875" customWidth="1"/>
    <col min="2" max="2" width="6.85546875" customWidth="1"/>
    <col min="3" max="3" width="5.5703125" customWidth="1"/>
    <col min="4" max="4" width="7.5703125" customWidth="1"/>
    <col min="5" max="5" width="10.42578125" customWidth="1"/>
    <col min="6" max="6" width="3.85546875" customWidth="1"/>
    <col min="7" max="7" width="27.5703125" customWidth="1"/>
    <col min="8" max="16" width="6.5703125" customWidth="1"/>
    <col min="17" max="18" width="8.85546875" customWidth="1"/>
    <col min="19" max="20" width="8.5703125" customWidth="1"/>
    <col min="21" max="21" width="9.85546875" customWidth="1"/>
    <col min="22" max="23" width="8.5703125" customWidth="1"/>
    <col min="24" max="24" width="4.42578125" customWidth="1"/>
    <col min="25" max="25" width="5.5703125" customWidth="1"/>
    <col min="26" max="26" width="0" hidden="1" customWidth="1"/>
  </cols>
  <sheetData>
    <row r="1" spans="1:29">
      <c r="A1" s="36"/>
      <c r="B1" s="36"/>
      <c r="C1" s="36"/>
      <c r="D1" s="36"/>
      <c r="E1" s="36"/>
      <c r="F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9" ht="72.75" customHeight="1">
      <c r="A2" s="36"/>
      <c r="B2" s="36"/>
      <c r="C2" s="36"/>
      <c r="D2" s="36"/>
      <c r="E2" s="36"/>
      <c r="F2" s="36"/>
      <c r="G2" s="346" t="s">
        <v>70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02"/>
      <c r="S2" s="36"/>
      <c r="T2" s="36"/>
      <c r="U2" s="36"/>
      <c r="V2" s="36"/>
      <c r="W2" s="36"/>
      <c r="X2" s="36"/>
      <c r="Y2" s="36"/>
    </row>
    <row r="3" spans="1:29" ht="27.95">
      <c r="A3" s="36"/>
      <c r="B3" s="36"/>
      <c r="C3" s="36"/>
      <c r="D3" s="36"/>
      <c r="E3" s="36"/>
      <c r="F3" s="36"/>
      <c r="G3" s="320" t="s">
        <v>1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00"/>
      <c r="S3" s="36"/>
      <c r="T3" s="36"/>
      <c r="U3" s="36"/>
      <c r="V3" s="36"/>
      <c r="W3" s="36"/>
      <c r="X3" s="36"/>
      <c r="Y3" s="36"/>
    </row>
    <row r="4" spans="1:29">
      <c r="A4" s="36"/>
      <c r="B4" s="36"/>
      <c r="C4" s="36"/>
      <c r="D4" s="36"/>
      <c r="E4" s="36"/>
      <c r="F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9" ht="15" customHeight="1">
      <c r="A5" s="344" t="s">
        <v>2</v>
      </c>
      <c r="B5" s="344"/>
      <c r="C5" s="321" t="s">
        <v>3</v>
      </c>
      <c r="D5" s="321"/>
      <c r="E5" s="321"/>
      <c r="F5" s="321"/>
      <c r="G5" s="321"/>
      <c r="H5" s="344" t="s">
        <v>4</v>
      </c>
      <c r="I5" s="344"/>
      <c r="J5" s="321" t="s">
        <v>5</v>
      </c>
      <c r="K5" s="321"/>
      <c r="L5" s="321"/>
      <c r="M5" s="321"/>
      <c r="N5" s="321"/>
      <c r="O5" s="306" t="s">
        <v>6</v>
      </c>
      <c r="P5" s="345" t="s">
        <v>7</v>
      </c>
      <c r="Q5" s="345"/>
      <c r="R5" s="345"/>
      <c r="S5" s="345"/>
      <c r="T5" s="306" t="s">
        <v>8</v>
      </c>
      <c r="U5" s="325">
        <v>43358</v>
      </c>
      <c r="V5" s="325"/>
      <c r="W5" s="52" t="s">
        <v>9</v>
      </c>
      <c r="X5" s="263" t="s">
        <v>197</v>
      </c>
      <c r="Y5" s="263"/>
    </row>
    <row r="6" spans="1:29" ht="13.5" thickBot="1">
      <c r="A6" s="53"/>
      <c r="B6" s="53"/>
      <c r="C6" s="53"/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5"/>
      <c r="X6" s="53"/>
      <c r="Y6" s="53"/>
    </row>
    <row r="7" spans="1:29">
      <c r="A7" s="56" t="s">
        <v>12</v>
      </c>
      <c r="B7" s="57" t="s">
        <v>11</v>
      </c>
      <c r="C7" s="314" t="s">
        <v>72</v>
      </c>
      <c r="D7" s="58" t="s">
        <v>72</v>
      </c>
      <c r="E7" s="313" t="s">
        <v>14</v>
      </c>
      <c r="F7" s="313" t="s">
        <v>73</v>
      </c>
      <c r="G7" s="313" t="s">
        <v>15</v>
      </c>
      <c r="H7" s="356" t="s">
        <v>17</v>
      </c>
      <c r="I7" s="357"/>
      <c r="J7" s="358"/>
      <c r="K7" s="356" t="s">
        <v>18</v>
      </c>
      <c r="L7" s="357"/>
      <c r="M7" s="358"/>
      <c r="N7" s="359" t="s">
        <v>74</v>
      </c>
      <c r="O7" s="360"/>
      <c r="P7" s="360"/>
      <c r="Q7" s="360"/>
      <c r="R7" s="227" t="s">
        <v>21</v>
      </c>
      <c r="S7" s="57" t="s">
        <v>75</v>
      </c>
      <c r="T7" s="57" t="s">
        <v>76</v>
      </c>
      <c r="U7" s="57" t="s">
        <v>77</v>
      </c>
      <c r="V7" s="313" t="s">
        <v>78</v>
      </c>
      <c r="W7" s="59" t="s">
        <v>79</v>
      </c>
      <c r="X7" s="59" t="s">
        <v>80</v>
      </c>
      <c r="Y7" s="60" t="s">
        <v>81</v>
      </c>
    </row>
    <row r="8" spans="1:29" ht="13.5" thickBot="1">
      <c r="A8" s="61" t="s">
        <v>26</v>
      </c>
      <c r="B8" s="62" t="s">
        <v>25</v>
      </c>
      <c r="C8" s="63" t="s">
        <v>82</v>
      </c>
      <c r="D8" s="64" t="s">
        <v>79</v>
      </c>
      <c r="E8" s="65" t="s">
        <v>83</v>
      </c>
      <c r="F8" s="65" t="s">
        <v>84</v>
      </c>
      <c r="G8" s="312" t="s">
        <v>85</v>
      </c>
      <c r="H8" s="361" t="s">
        <v>86</v>
      </c>
      <c r="I8" s="362"/>
      <c r="J8" s="363"/>
      <c r="K8" s="361" t="s">
        <v>86</v>
      </c>
      <c r="L8" s="362"/>
      <c r="M8" s="363"/>
      <c r="N8" s="66" t="s">
        <v>17</v>
      </c>
      <c r="O8" s="67" t="s">
        <v>18</v>
      </c>
      <c r="P8" s="62" t="s">
        <v>87</v>
      </c>
      <c r="Q8" s="63" t="s">
        <v>21</v>
      </c>
      <c r="R8" s="62" t="s">
        <v>31</v>
      </c>
      <c r="S8" s="68" t="s">
        <v>21</v>
      </c>
      <c r="T8" s="68" t="s">
        <v>21</v>
      </c>
      <c r="U8" s="68" t="s">
        <v>21</v>
      </c>
      <c r="V8" s="65" t="s">
        <v>88</v>
      </c>
      <c r="W8" s="69" t="s">
        <v>89</v>
      </c>
      <c r="X8" s="69"/>
      <c r="Y8" s="70"/>
    </row>
    <row r="9" spans="1:29" ht="18" customHeight="1">
      <c r="A9" s="185">
        <v>74.260000000000005</v>
      </c>
      <c r="B9" s="186" t="s">
        <v>183</v>
      </c>
      <c r="C9" s="187" t="s">
        <v>37</v>
      </c>
      <c r="D9" s="186" t="s">
        <v>122</v>
      </c>
      <c r="E9" s="188">
        <v>37160</v>
      </c>
      <c r="F9" s="189"/>
      <c r="G9" s="190" t="s">
        <v>198</v>
      </c>
      <c r="H9" s="191">
        <v>-77</v>
      </c>
      <c r="I9" s="192">
        <v>-77</v>
      </c>
      <c r="J9" s="192">
        <v>77</v>
      </c>
      <c r="K9" s="191">
        <v>95</v>
      </c>
      <c r="L9" s="192">
        <v>-100</v>
      </c>
      <c r="M9" s="192">
        <v>100</v>
      </c>
      <c r="N9" s="209">
        <f>IF(MAX(H9:J9)&gt;0,IF(MAX(H9:J9)&lt;0,0,TRUNC(MAX(H9:J9)/1)*1),"")</f>
        <v>77</v>
      </c>
      <c r="O9" s="210">
        <f>IF(MAX(K9:M9)&gt;0,IF(MAX(K9:M9)&lt;0,0,TRUNC(MAX(K9:M9)/1)*1),"")</f>
        <v>100</v>
      </c>
      <c r="P9" s="211">
        <f>IF(N9="","",IF(O9="","",IF(SUM(N9:O9)=0,"",SUM(N9:O9))))</f>
        <v>177</v>
      </c>
      <c r="Q9" s="223">
        <f>IF(P9="","",IF(A9="","",IF(OR(C9="UK",C9="JK",C9="SK",C9="K1",C9="K2",C9="K3",C9="K4",C9="K5",C9="K6",C9="K7",C9="K8",C9="K9",C9="K10"),IF(A9&gt;153.655,P9,IF(A9&lt;28,10^(0.783497476*LOG10(28/153.655)^2)*P9,10^(0.783497476*LOG10(A9/153.655)^2)*P9)),IF(A9&gt;175.508,P9,IF(A9&lt;32,10^(0.75194503*LOG10(32/175.508)^2)*P9,10^(0.75194503*LOG10(A9/175.508)^2)*P9)))))</f>
        <v>225.36935784776455</v>
      </c>
      <c r="R9" s="162" t="str">
        <f>IF(OR(E9="",A9="",Z9="",Q9=""),"",IF(OR(C9="UM",C9="JM",C9="SM",C9="UK",C9="JK",C9="SK"),"",Q9*(IF(ABS(1900-YEAR((Z9+1)-E9))&lt;29,0,(VLOOKUP((YEAR(Z9)-YEAR(E9)),'Meltzer-Malone'!$A$3:$B$63,2))))))</f>
        <v/>
      </c>
      <c r="S9" s="174">
        <f>IF('K8'!G7="","",'K8'!G7)</f>
        <v>7.43</v>
      </c>
      <c r="T9" s="163">
        <f>IF('K8'!K7="","",'K8'!K7)</f>
        <v>10.85</v>
      </c>
      <c r="U9" s="163">
        <f>IF('K8'!N7="","",'K8'!N7)</f>
        <v>6.69</v>
      </c>
      <c r="V9" s="163"/>
      <c r="W9" s="164"/>
      <c r="X9" s="195"/>
      <c r="Y9" s="196" t="s">
        <v>42</v>
      </c>
      <c r="Z9" s="225">
        <f>U5</f>
        <v>43358</v>
      </c>
    </row>
    <row r="10" spans="1:29" ht="18" customHeight="1">
      <c r="A10" s="165"/>
      <c r="B10" s="166"/>
      <c r="C10" s="167"/>
      <c r="D10" s="168"/>
      <c r="E10" s="169"/>
      <c r="F10" s="193"/>
      <c r="G10" s="170" t="s">
        <v>97</v>
      </c>
      <c r="H10" s="338"/>
      <c r="I10" s="339"/>
      <c r="J10" s="340"/>
      <c r="K10" s="341"/>
      <c r="L10" s="342"/>
      <c r="M10" s="343"/>
      <c r="N10" s="167"/>
      <c r="O10" s="171"/>
      <c r="P10" s="334">
        <f>IF(Q9="","",Q9*1.2)</f>
        <v>270.44322941731747</v>
      </c>
      <c r="Q10" s="334"/>
      <c r="R10" s="222"/>
      <c r="S10" s="172">
        <f>IF(S9="","",S9*20)</f>
        <v>148.6</v>
      </c>
      <c r="T10" s="172">
        <f>IF(T9="","",T9*11)</f>
        <v>119.35</v>
      </c>
      <c r="U10" s="173">
        <f>IF(U9="","",IF((80+(8-ROUNDUP(U9,1))*40)&lt;0,0,80+(8-ROUNDUP(U9,1))*40))</f>
        <v>132.00000000000003</v>
      </c>
      <c r="V10" s="237">
        <f>IF(SUM(S10,T10,U10)&gt;0,SUM(S10,T10,U10),"")</f>
        <v>399.95000000000005</v>
      </c>
      <c r="W10" s="238">
        <f>IF(OR(P10="",S10="",T10="",U10=""),"",SUM(P10,S10,T10,U10))</f>
        <v>670.39322941731746</v>
      </c>
      <c r="X10" s="239">
        <v>5</v>
      </c>
      <c r="Y10" s="240"/>
      <c r="Z10" s="225"/>
    </row>
    <row r="11" spans="1:29" ht="18" customHeight="1">
      <c r="A11" s="185">
        <v>62.12</v>
      </c>
      <c r="B11" s="186" t="s">
        <v>128</v>
      </c>
      <c r="C11" s="187" t="s">
        <v>37</v>
      </c>
      <c r="D11" s="186" t="s">
        <v>122</v>
      </c>
      <c r="E11" s="188">
        <v>36879</v>
      </c>
      <c r="F11" s="189"/>
      <c r="G11" s="190" t="s">
        <v>199</v>
      </c>
      <c r="H11" s="208" t="s">
        <v>48</v>
      </c>
      <c r="I11" s="208" t="s">
        <v>48</v>
      </c>
      <c r="J11" s="208" t="s">
        <v>48</v>
      </c>
      <c r="K11" s="208" t="s">
        <v>48</v>
      </c>
      <c r="L11" s="208" t="s">
        <v>48</v>
      </c>
      <c r="M11" s="208" t="s">
        <v>48</v>
      </c>
      <c r="N11" s="209" t="str">
        <f>IF(MAX(H11:J11)&gt;0,IF(MAX(H11:J11)&lt;0,0,TRUNC(MAX(H11:J11)/1)*1),"")</f>
        <v/>
      </c>
      <c r="O11" s="210" t="str">
        <f>IF(MAX(K11:M11)&gt;0,IF(MAX(K11:M11)&lt;0,0,TRUNC(MAX(K11:M11)/1)*1),"")</f>
        <v/>
      </c>
      <c r="P11" s="211" t="str">
        <f>IF(N11="","",IF(O11="","",IF(SUM(N11:O11)=0,"",SUM(N11:O11))))</f>
        <v/>
      </c>
      <c r="Q11" s="223" t="str">
        <f>IF(P11="","",IF(A11="","",IF(OR(C11="UK",C11="JK",C11="SK",C11="K1",C11="K2",C11="K3",C11="K4",C11="K5",C11="K6",C11="K7",C11="K8",C11="K9",C11="K10"),IF(A11&gt;153.655,P11,IF(A11&lt;28,10^(0.783497476*LOG10(28/153.655)^2)*P11,10^(0.783497476*LOG10(A11/153.655)^2)*P11)),IF(A11&gt;175.508,P11,IF(A11&lt;32,10^(0.75194503*LOG10(32/175.508)^2)*P11,10^(0.75194503*LOG10(A11/175.508)^2)*P11)))))</f>
        <v/>
      </c>
      <c r="R11" s="224" t="str">
        <f>IF(OR(E11="",A11="",Z11="",Q11=""),"",IF(OR(C11="UM",C11="JM",C11="SM",C11="UK",C11="JK",C11="SK"),"",Q11*(IF(ABS(1900-YEAR((Z11+1)-E11))&lt;29,0,(VLOOKUP((YEAR(Z11)-YEAR(E11)),'Meltzer-Malone'!$A$3:$B$63,2))))))</f>
        <v/>
      </c>
      <c r="S11" s="174" t="str">
        <f>IF('K8'!G9="","",'K8'!G9)</f>
        <v/>
      </c>
      <c r="T11" s="174" t="str">
        <f>IF('K8'!K9="","",'K8'!K9)</f>
        <v/>
      </c>
      <c r="U11" s="174" t="str">
        <f>IF('K8'!N9="","",'K8'!N9)</f>
        <v/>
      </c>
      <c r="V11" s="163"/>
      <c r="W11" s="164"/>
      <c r="X11" s="175"/>
      <c r="Y11" s="176"/>
      <c r="Z11" s="225">
        <f>U5</f>
        <v>43358</v>
      </c>
      <c r="AC11" t="s">
        <v>42</v>
      </c>
    </row>
    <row r="12" spans="1:29" ht="18" customHeight="1">
      <c r="A12" s="165"/>
      <c r="B12" s="166"/>
      <c r="C12" s="167"/>
      <c r="D12" s="168"/>
      <c r="E12" s="169"/>
      <c r="F12" s="193"/>
      <c r="G12" s="170" t="s">
        <v>124</v>
      </c>
      <c r="H12" s="338"/>
      <c r="I12" s="339"/>
      <c r="J12" s="340"/>
      <c r="K12" s="341"/>
      <c r="L12" s="342"/>
      <c r="M12" s="343"/>
      <c r="N12" s="167"/>
      <c r="O12" s="171"/>
      <c r="P12" s="334" t="str">
        <f>IF(Q11="","",Q11*1.2)</f>
        <v/>
      </c>
      <c r="Q12" s="334"/>
      <c r="R12" s="222"/>
      <c r="S12" s="172" t="str">
        <f>IF(S11="","",S11*20)</f>
        <v/>
      </c>
      <c r="T12" s="172" t="str">
        <f>IF(T11="","",T11*11)</f>
        <v/>
      </c>
      <c r="U12" s="173" t="str">
        <f>IF(U11="","",IF((80+(8-ROUNDUP(U11,1))*40)&lt;0,0,80+(8-ROUNDUP(U11,1))*40))</f>
        <v/>
      </c>
      <c r="V12" s="237" t="str">
        <f>IF(SUM(S12,T12,U12)&gt;0,SUM(S12,T12,U12),"")</f>
        <v/>
      </c>
      <c r="W12" s="238" t="str">
        <f>IF(OR(P12="",S12="",T12="",U12=""),"",SUM(P12,S12,T12,U12))</f>
        <v/>
      </c>
      <c r="X12" s="239"/>
      <c r="Y12" s="240"/>
      <c r="Z12" s="225"/>
    </row>
    <row r="13" spans="1:29" ht="18" customHeight="1">
      <c r="A13" s="185">
        <v>69.23</v>
      </c>
      <c r="B13" s="186" t="s">
        <v>183</v>
      </c>
      <c r="C13" s="187" t="s">
        <v>177</v>
      </c>
      <c r="D13" s="187" t="s">
        <v>122</v>
      </c>
      <c r="E13" s="187" t="s">
        <v>200</v>
      </c>
      <c r="F13" s="189"/>
      <c r="G13" s="212" t="s">
        <v>201</v>
      </c>
      <c r="H13" s="213">
        <v>85</v>
      </c>
      <c r="I13" s="214">
        <v>88</v>
      </c>
      <c r="J13" s="214">
        <v>91</v>
      </c>
      <c r="K13" s="213">
        <v>100</v>
      </c>
      <c r="L13" s="214">
        <v>105</v>
      </c>
      <c r="M13" s="214">
        <v>-107</v>
      </c>
      <c r="N13" s="209">
        <f>IF(MAX(H13:J13)&gt;0,IF(MAX(H13:J13)&lt;0,0,TRUNC(MAX(H13:J13)/1)*1),"")</f>
        <v>91</v>
      </c>
      <c r="O13" s="210">
        <f>IF(MAX(K13:M13)&gt;0,IF(MAX(K13:M13)&lt;0,0,TRUNC(MAX(K13:M13)/1)*1),"")</f>
        <v>105</v>
      </c>
      <c r="P13" s="211">
        <f>IF(N13="","",IF(O13="","",IF(SUM(N13:O13)=0,"",SUM(N13:O13))))</f>
        <v>196</v>
      </c>
      <c r="Q13" s="223">
        <f>IF(P13="","",IF(A13="","",IF(OR(C13="UK",C13="JK",C13="SK",C13="K1",C13="K2",C13="K3",C13="K4",C13="K5",C13="K6",C13="K7",C13="K8",C13="K9",C13="K10"),IF(A13&gt;153.655,P13,IF(A13&lt;28,10^(0.783497476*LOG10(28/153.655)^2)*P13,10^(0.783497476*LOG10(A13/153.655)^2)*P13)),IF(A13&gt;175.508,P13,IF(A13&lt;32,10^(0.75194503*LOG10(32/175.508)^2)*P13,10^(0.75194503*LOG10(A13/175.508)^2)*P13)))))</f>
        <v>260.0082344869511</v>
      </c>
      <c r="R13" s="224" t="str">
        <f>IF(OR(E13="",A13="",Z13="",Q13=""),"",IF(OR(C13="UM",C13="JM",C13="SM",C13="UK",C13="JK",C13="SK"),"",Q13*(IF(ABS(1900-YEAR((Z13+1)-E13))&lt;29,0,(VLOOKUP((YEAR(Z13)-YEAR(E13)),'Meltzer-Malone'!$A$3:$B$63,2))))))</f>
        <v/>
      </c>
      <c r="S13" s="174">
        <f>IF('K8'!G11="","",'K8'!G11)</f>
        <v>7.53</v>
      </c>
      <c r="T13" s="174">
        <f>IF('K8'!K11="","",'K8'!K11)</f>
        <v>11.05</v>
      </c>
      <c r="U13" s="174">
        <f>IF('K8'!N11="","",'K8'!N11)</f>
        <v>7.12</v>
      </c>
      <c r="V13" s="163"/>
      <c r="W13" s="164"/>
      <c r="X13" s="175"/>
      <c r="Y13" s="176"/>
      <c r="Z13" s="225">
        <f>U5</f>
        <v>43358</v>
      </c>
    </row>
    <row r="14" spans="1:29" ht="18" customHeight="1">
      <c r="A14" s="165"/>
      <c r="B14" s="166"/>
      <c r="C14" s="167"/>
      <c r="D14" s="168"/>
      <c r="E14" s="215"/>
      <c r="F14" s="193"/>
      <c r="G14" s="216" t="s">
        <v>202</v>
      </c>
      <c r="H14" s="338"/>
      <c r="I14" s="339"/>
      <c r="J14" s="340"/>
      <c r="K14" s="341"/>
      <c r="L14" s="342"/>
      <c r="M14" s="343"/>
      <c r="N14" s="167"/>
      <c r="O14" s="171"/>
      <c r="P14" s="334">
        <f>IF(Q13="","",Q13*1.2)</f>
        <v>312.00988138434133</v>
      </c>
      <c r="Q14" s="334"/>
      <c r="R14" s="222"/>
      <c r="S14" s="172">
        <f>IF(S13="","",S13*20)</f>
        <v>150.6</v>
      </c>
      <c r="T14" s="172">
        <f>IF(T13="","",T13*11)</f>
        <v>121.55000000000001</v>
      </c>
      <c r="U14" s="173">
        <f>IF(U13="","",IF((80+(8-ROUNDUP(U13,1))*40)&lt;0,0,80+(8-ROUNDUP(U13,1))*40))</f>
        <v>112.00000000000003</v>
      </c>
      <c r="V14" s="237">
        <f>IF(SUM(S14,T14,U14)&gt;0,SUM(S14,T14,U14),"")</f>
        <v>384.15</v>
      </c>
      <c r="W14" s="238">
        <f>IF(OR(P14="",S14="",T14="",U14=""),"",SUM(P14,S14,T14,U14))</f>
        <v>696.15988138434136</v>
      </c>
      <c r="X14" s="239">
        <v>4</v>
      </c>
      <c r="Y14" s="240"/>
      <c r="Z14" s="225"/>
    </row>
    <row r="15" spans="1:29" ht="18" customHeight="1">
      <c r="A15" s="185">
        <v>65.39</v>
      </c>
      <c r="B15" s="186" t="s">
        <v>128</v>
      </c>
      <c r="C15" s="187" t="s">
        <v>37</v>
      </c>
      <c r="D15" s="186" t="s">
        <v>122</v>
      </c>
      <c r="E15" s="188">
        <v>36529</v>
      </c>
      <c r="F15" s="189"/>
      <c r="G15" s="190" t="s">
        <v>203</v>
      </c>
      <c r="H15" s="207">
        <v>85</v>
      </c>
      <c r="I15" s="208">
        <v>88</v>
      </c>
      <c r="J15" s="208">
        <v>-90</v>
      </c>
      <c r="K15" s="207">
        <v>105</v>
      </c>
      <c r="L15" s="208">
        <v>108</v>
      </c>
      <c r="M15" s="208">
        <v>112</v>
      </c>
      <c r="N15" s="209">
        <f>IF(MAX(H15:J15)&gt;0,IF(MAX(H15:J15)&lt;0,0,TRUNC(MAX(H15:J15)/1)*1),"")</f>
        <v>88</v>
      </c>
      <c r="O15" s="210">
        <f>IF(MAX(K15:M15)&gt;0,IF(MAX(K15:M15)&lt;0,0,TRUNC(MAX(K15:M15)/1)*1),"")</f>
        <v>112</v>
      </c>
      <c r="P15" s="211">
        <f>IF(N15="","",IF(O15="","",IF(SUM(N15:O15)=0,"",SUM(N15:O15))))</f>
        <v>200</v>
      </c>
      <c r="Q15" s="223">
        <f>IF(P15="","",IF(A15="","",IF(OR(C15="UK",C15="JK",C15="SK",C15="K1",C15="K2",C15="K3",C15="K4",C15="K5",C15="K6",C15="K7",C15="K8",C15="K9",C15="K10"),IF(A15&gt;153.655,P15,IF(A15&lt;28,10^(0.783497476*LOG10(28/153.655)^2)*P15,10^(0.783497476*LOG10(A15/153.655)^2)*P15)),IF(A15&gt;175.508,P15,IF(A15&lt;32,10^(0.75194503*LOG10(32/175.508)^2)*P15,10^(0.75194503*LOG10(A15/175.508)^2)*P15)))))</f>
        <v>274.96689424237792</v>
      </c>
      <c r="R15" s="224" t="str">
        <f>IF(OR(E15="",A15="",Z15="",Q15=""),"",IF(OR(C15="UM",C15="JM",C15="SM",C15="UK",C15="JK",C15="SK"),"",Q15*(IF(ABS(1900-YEAR((Z15+1)-E15))&lt;29,0,(VLOOKUP((YEAR(Z15)-YEAR(E15)),'Meltzer-Malone'!$A$3:$B$63,2))))))</f>
        <v/>
      </c>
      <c r="S15" s="174">
        <f>IF('K8'!G13="","",'K8'!G13)</f>
        <v>8.76</v>
      </c>
      <c r="T15" s="174">
        <f>IF('K8'!K13="","",'K8'!K13)</f>
        <v>14.4</v>
      </c>
      <c r="U15" s="174">
        <f>IF('K8'!N13="","",'K8'!N13)</f>
        <v>5.89</v>
      </c>
      <c r="V15" s="163"/>
      <c r="W15" s="164"/>
      <c r="X15" s="175"/>
      <c r="Y15" s="176" t="s">
        <v>42</v>
      </c>
      <c r="Z15" s="225">
        <f>U5</f>
        <v>43358</v>
      </c>
    </row>
    <row r="16" spans="1:29" ht="18" customHeight="1">
      <c r="A16" s="165"/>
      <c r="B16" s="166"/>
      <c r="C16" s="167"/>
      <c r="D16" s="168"/>
      <c r="E16" s="169"/>
      <c r="F16" s="193"/>
      <c r="G16" s="170" t="s">
        <v>108</v>
      </c>
      <c r="H16" s="338"/>
      <c r="I16" s="339"/>
      <c r="J16" s="340"/>
      <c r="K16" s="341"/>
      <c r="L16" s="342"/>
      <c r="M16" s="343"/>
      <c r="N16" s="167"/>
      <c r="O16" s="171"/>
      <c r="P16" s="334">
        <f>IF(Q15="","",Q15*1.2)</f>
        <v>329.96027309085349</v>
      </c>
      <c r="Q16" s="334"/>
      <c r="R16" s="222"/>
      <c r="S16" s="172">
        <f>IF(S15="","",S15*20)</f>
        <v>175.2</v>
      </c>
      <c r="T16" s="172">
        <f>IF(T15="","",T15*11)</f>
        <v>158.4</v>
      </c>
      <c r="U16" s="173">
        <f>IF(U15="","",IF((80+(8-ROUNDUP(U15,1))*40)&lt;0,0,80+(8-ROUNDUP(U15,1))*40))</f>
        <v>164.00000000000003</v>
      </c>
      <c r="V16" s="237">
        <f>IF(SUM(S16,T16,U16)&gt;0,SUM(S16,T16,U16),"")</f>
        <v>497.6</v>
      </c>
      <c r="W16" s="238">
        <f>IF(OR(P16="",S16="",T16="",U16=""),"",SUM(P16,S16,T16,U16))</f>
        <v>827.56027309085346</v>
      </c>
      <c r="X16" s="239">
        <v>1</v>
      </c>
      <c r="Y16" s="240"/>
      <c r="Z16" s="225"/>
    </row>
    <row r="17" spans="1:29" ht="18" customHeight="1">
      <c r="A17" s="185">
        <v>81.489999999999995</v>
      </c>
      <c r="B17" s="206" t="s">
        <v>204</v>
      </c>
      <c r="C17" s="187" t="s">
        <v>37</v>
      </c>
      <c r="D17" s="186" t="s">
        <v>122</v>
      </c>
      <c r="E17" s="188">
        <v>36748</v>
      </c>
      <c r="F17" s="189"/>
      <c r="G17" s="190" t="s">
        <v>205</v>
      </c>
      <c r="H17" s="207">
        <v>-75</v>
      </c>
      <c r="I17" s="208">
        <v>75</v>
      </c>
      <c r="J17" s="208">
        <v>-80</v>
      </c>
      <c r="K17" s="207">
        <v>98</v>
      </c>
      <c r="L17" s="208">
        <v>103</v>
      </c>
      <c r="M17" s="208">
        <v>106</v>
      </c>
      <c r="N17" s="209">
        <f>IF(MAX(H17:J17)&gt;0,IF(MAX(H17:J17)&lt;0,0,TRUNC(MAX(H17:J17)/1)*1),"")</f>
        <v>75</v>
      </c>
      <c r="O17" s="210">
        <f>IF(MAX(K17:M17)&gt;0,IF(MAX(K17:M17)&lt;0,0,TRUNC(MAX(K17:M17)/1)*1),"")</f>
        <v>106</v>
      </c>
      <c r="P17" s="211">
        <f>IF(N17="","",IF(O17="","",IF(SUM(N17:O17)=0,"",SUM(N17:O17))))</f>
        <v>181</v>
      </c>
      <c r="Q17" s="223">
        <f>IF(P17="","",IF(A17="","",IF(OR(C17="UK",C17="JK",C17="SK",C17="K1",C17="K2",C17="K3",C17="K4",C17="K5",C17="K6",C17="K7",C17="K8",C17="K9",C17="K10"),IF(A17&gt;153.655,P17,IF(A17&lt;28,10^(0.783497476*LOG10(28/153.655)^2)*P17,10^(0.783497476*LOG10(A17/153.655)^2)*P17)),IF(A17&gt;175.508,P17,IF(A17&lt;32,10^(0.75194503*LOG10(32/175.508)^2)*P17,10^(0.75194503*LOG10(A17/175.508)^2)*P17)))))</f>
        <v>219.36002558972436</v>
      </c>
      <c r="R17" s="224" t="str">
        <f>IF(OR(E17="",A17="",Z17="",Q17=""),"",IF(OR(C17="UM",C17="JM",C17="SM",C17="UK",C17="JK",C17="SK"),"",Q17*(IF(ABS(1900-YEAR((Z17+1)-E17))&lt;29,0,(VLOOKUP((YEAR(Z17)-YEAR(E17)),'Meltzer-Malone'!$A$3:$B$63,2))))))</f>
        <v/>
      </c>
      <c r="S17" s="174">
        <f>IF('K8'!G15="","",'K8'!G15)</f>
        <v>8.7100000000000009</v>
      </c>
      <c r="T17" s="174">
        <f>IF('K8'!K15="","",'K8'!K15)</f>
        <v>16.95</v>
      </c>
      <c r="U17" s="174">
        <f>IF('K8'!N15="","",'K8'!N15)</f>
        <v>6.4</v>
      </c>
      <c r="V17" s="163"/>
      <c r="W17" s="164"/>
      <c r="X17" s="175"/>
      <c r="Y17" s="176"/>
      <c r="Z17" s="225">
        <f>U5</f>
        <v>43358</v>
      </c>
    </row>
    <row r="18" spans="1:29" ht="18" customHeight="1">
      <c r="A18" s="165"/>
      <c r="B18" s="166"/>
      <c r="C18" s="167"/>
      <c r="D18" s="168"/>
      <c r="E18" s="169"/>
      <c r="F18" s="193"/>
      <c r="G18" s="170" t="s">
        <v>108</v>
      </c>
      <c r="H18" s="338"/>
      <c r="I18" s="339"/>
      <c r="J18" s="340"/>
      <c r="K18" s="341"/>
      <c r="L18" s="342"/>
      <c r="M18" s="343"/>
      <c r="N18" s="167"/>
      <c r="O18" s="171"/>
      <c r="P18" s="334">
        <f>IF(Q17="","",Q17*1.2)</f>
        <v>263.2320307076692</v>
      </c>
      <c r="Q18" s="334"/>
      <c r="R18" s="222"/>
      <c r="S18" s="172">
        <f>IF(S17="","",S17*20)</f>
        <v>174.20000000000002</v>
      </c>
      <c r="T18" s="172">
        <f>IF(T17="","",T17*11)</f>
        <v>186.45</v>
      </c>
      <c r="U18" s="173">
        <f>IF(U17="","",IF((80+(8-ROUNDUP(U17,1))*40)&lt;0,0,80+(8-ROUNDUP(U17,1))*40))</f>
        <v>144</v>
      </c>
      <c r="V18" s="237">
        <f>IF(SUM(S18,T18,U18)&gt;0,SUM(S18,T18,U18),"")</f>
        <v>504.65</v>
      </c>
      <c r="W18" s="238">
        <f>IF(OR(P18="",S18="",T18="",U18=""),"",SUM(P18,S18,T18,U18))</f>
        <v>767.88203070766917</v>
      </c>
      <c r="X18" s="239">
        <v>3</v>
      </c>
      <c r="Y18" s="240"/>
      <c r="Z18" s="225"/>
      <c r="AC18" t="s">
        <v>42</v>
      </c>
    </row>
    <row r="19" spans="1:29" ht="18" customHeight="1">
      <c r="A19" s="185">
        <v>82.58</v>
      </c>
      <c r="B19" s="186" t="s">
        <v>204</v>
      </c>
      <c r="C19" s="187" t="s">
        <v>177</v>
      </c>
      <c r="D19" s="186" t="s">
        <v>122</v>
      </c>
      <c r="E19" s="188">
        <v>36946</v>
      </c>
      <c r="F19" s="189"/>
      <c r="G19" s="190" t="s">
        <v>206</v>
      </c>
      <c r="H19" s="207">
        <v>93</v>
      </c>
      <c r="I19" s="208">
        <v>98</v>
      </c>
      <c r="J19" s="208">
        <v>102</v>
      </c>
      <c r="K19" s="207">
        <v>110</v>
      </c>
      <c r="L19" s="208">
        <v>114</v>
      </c>
      <c r="M19" s="208">
        <v>118</v>
      </c>
      <c r="N19" s="209">
        <f>IF(MAX(H19:J19)&gt;0,IF(MAX(H19:J19)&lt;0,0,TRUNC(MAX(H19:J19)/1)*1),"")</f>
        <v>102</v>
      </c>
      <c r="O19" s="210">
        <f>IF(MAX(K19:M19)&gt;0,IF(MAX(K19:M19)&lt;0,0,TRUNC(MAX(K19:M19)/1)*1),"")</f>
        <v>118</v>
      </c>
      <c r="P19" s="211">
        <f>IF(N19="","",IF(O19="","",IF(SUM(N19:O19)=0,"",SUM(N19:O19))))</f>
        <v>220</v>
      </c>
      <c r="Q19" s="223">
        <f>IF(P19="","",IF(A19="","",IF(OR(C19="UK",C19="JK",C19="SK",C19="K1",C19="K2",C19="K3",C19="K4",C19="K5",C19="K6",C19="K7",C19="K8",C19="K9",C19="K10"),IF(A19&gt;153.655,P19,IF(A19&lt;28,10^(0.783497476*LOG10(28/153.655)^2)*P19,10^(0.783497476*LOG10(A19/153.655)^2)*P19)),IF(A19&gt;175.508,P19,IF(A19&lt;32,10^(0.75194503*LOG10(32/175.508)^2)*P19,10^(0.75194503*LOG10(A19/175.508)^2)*P19)))))</f>
        <v>264.87141504367173</v>
      </c>
      <c r="R19" s="224" t="str">
        <f>IF(OR(E19="",A19="",Z19="",Q19=""),"",IF(OR(C19="UM",C19="JM",C19="SM",C19="UK",C19="JK",C19="SK"),"",Q19*(IF(ABS(1900-YEAR((Z19+1)-E19))&lt;29,0,(VLOOKUP((YEAR(Z19)-YEAR(E19)),'Meltzer-Malone'!$A$3:$B$63,2))))))</f>
        <v/>
      </c>
      <c r="S19" s="174">
        <f>IF('K8'!G17="","",'K8'!G17)</f>
        <v>8.14</v>
      </c>
      <c r="T19" s="174">
        <f>IF('K8'!K17="","",'K8'!K17)</f>
        <v>15.05</v>
      </c>
      <c r="U19" s="174">
        <f>IF('K8'!N17="","",'K8'!N17)</f>
        <v>6.52</v>
      </c>
      <c r="V19" s="163"/>
      <c r="W19" s="164"/>
      <c r="X19" s="175"/>
      <c r="Y19" s="176"/>
      <c r="Z19" s="225">
        <f>U5</f>
        <v>43358</v>
      </c>
    </row>
    <row r="20" spans="1:29" ht="18" customHeight="1">
      <c r="A20" s="165"/>
      <c r="B20" s="166"/>
      <c r="C20" s="167"/>
      <c r="D20" s="168"/>
      <c r="E20" s="169"/>
      <c r="F20" s="193"/>
      <c r="G20" s="170" t="s">
        <v>124</v>
      </c>
      <c r="H20" s="338"/>
      <c r="I20" s="339"/>
      <c r="J20" s="340"/>
      <c r="K20" s="341"/>
      <c r="L20" s="342"/>
      <c r="M20" s="343"/>
      <c r="N20" s="167"/>
      <c r="O20" s="171"/>
      <c r="P20" s="334">
        <f>IF(Q19="","",Q19*1.2)</f>
        <v>317.84569805240608</v>
      </c>
      <c r="Q20" s="334"/>
      <c r="R20" s="222"/>
      <c r="S20" s="172">
        <f>IF(S19="","",S19*20)</f>
        <v>162.80000000000001</v>
      </c>
      <c r="T20" s="172">
        <f>IF(T19="","",T19*11)</f>
        <v>165.55</v>
      </c>
      <c r="U20" s="173">
        <f>IF(U19="","",IF((80+(8-ROUNDUP(U19,1))*40)&lt;0,0,80+(8-ROUNDUP(U19,1))*40))</f>
        <v>136</v>
      </c>
      <c r="V20" s="237">
        <f>IF(SUM(S20,T20,U20)&gt;0,SUM(S20,T20,U20),"")</f>
        <v>464.35</v>
      </c>
      <c r="W20" s="238">
        <f>IF(OR(P20="",S20="",T20="",U20=""),"",SUM(P20,S20,T20,U20))</f>
        <v>782.1956980524061</v>
      </c>
      <c r="X20" s="239">
        <v>2</v>
      </c>
      <c r="Y20" s="240"/>
      <c r="Z20" s="225"/>
    </row>
    <row r="21" spans="1:29" ht="18" customHeight="1">
      <c r="A21" s="185">
        <v>88.96</v>
      </c>
      <c r="B21" s="186" t="s">
        <v>187</v>
      </c>
      <c r="C21" s="187" t="s">
        <v>37</v>
      </c>
      <c r="D21" s="186" t="s">
        <v>122</v>
      </c>
      <c r="E21" s="188">
        <v>36862</v>
      </c>
      <c r="F21" s="189"/>
      <c r="G21" s="190" t="s">
        <v>207</v>
      </c>
      <c r="H21" s="207">
        <v>77</v>
      </c>
      <c r="I21" s="208">
        <v>81</v>
      </c>
      <c r="J21" s="208">
        <v>-83</v>
      </c>
      <c r="K21" s="207">
        <v>98</v>
      </c>
      <c r="L21" s="208">
        <v>103</v>
      </c>
      <c r="M21" s="208">
        <v>107</v>
      </c>
      <c r="N21" s="209">
        <f>IF(MAX(H21:J21)&gt;0,IF(MAX(H21:J21)&lt;0,0,TRUNC(MAX(H21:J21)/1)*1),"")</f>
        <v>81</v>
      </c>
      <c r="O21" s="210">
        <f>IF(MAX(K21:M21)&gt;0,IF(MAX(K21:M21)&lt;0,0,TRUNC(MAX(K21:M21)/1)*1),"")</f>
        <v>107</v>
      </c>
      <c r="P21" s="211">
        <f>IF(N21="","",IF(O21="","",IF(SUM(N21:O21)=0,"",SUM(N21:O21))))</f>
        <v>188</v>
      </c>
      <c r="Q21" s="223">
        <f>IF(P21="","",IF(A21="","",IF(OR(C21="UK",C21="JK",C21="SK",C21="K1",C21="K2",C21="K3",C21="K4",C21="K5",C21="K6",C21="K7",C21="K8",C21="K9",C21="K10"),IF(A21&gt;153.655,P21,IF(A21&lt;28,10^(0.783497476*LOG10(28/153.655)^2)*P21,10^(0.783497476*LOG10(A21/153.655)^2)*P21)),IF(A21&gt;175.508,P21,IF(A21&lt;32,10^(0.75194503*LOG10(32/175.508)^2)*P21,10^(0.75194503*LOG10(A21/175.508)^2)*P21)))))</f>
        <v>218.59548566007916</v>
      </c>
      <c r="R21" s="224" t="str">
        <f>IF(OR(E21="",A21="",Z21="",Q21=""),"",IF(OR(C21="UM",C21="JM",C21="SM",C21="UK",C21="JK",C21="SK"),"",Q21*(IF(ABS(1900-YEAR((Z21+1)-E21))&lt;29,0,(VLOOKUP((YEAR(Z21)-YEAR(E21)),'Meltzer-Malone'!$A$3:$B$63,2))))))</f>
        <v/>
      </c>
      <c r="S21" s="174">
        <f>IF('K8'!G19="","",'K8'!G19)</f>
        <v>7.53</v>
      </c>
      <c r="T21" s="174">
        <f>IF('K8'!K19="","",'K8'!K19)</f>
        <v>12.95</v>
      </c>
      <c r="U21" s="174">
        <f>IF('K8'!N19="","",'K8'!N19)</f>
        <v>7.34</v>
      </c>
      <c r="V21" s="163"/>
      <c r="W21" s="164"/>
      <c r="X21" s="175"/>
      <c r="Y21" s="176"/>
      <c r="Z21" s="225">
        <f>U5</f>
        <v>43358</v>
      </c>
    </row>
    <row r="22" spans="1:29" ht="18" customHeight="1">
      <c r="A22" s="165"/>
      <c r="B22" s="166"/>
      <c r="C22" s="167"/>
      <c r="D22" s="168"/>
      <c r="E22" s="169"/>
      <c r="F22" s="193"/>
      <c r="G22" s="170" t="s">
        <v>139</v>
      </c>
      <c r="H22" s="338"/>
      <c r="I22" s="339"/>
      <c r="J22" s="340"/>
      <c r="K22" s="341"/>
      <c r="L22" s="342"/>
      <c r="M22" s="343"/>
      <c r="N22" s="167"/>
      <c r="O22" s="171"/>
      <c r="P22" s="334">
        <f>IF(Q21="","",Q21*1.2)</f>
        <v>262.314582792095</v>
      </c>
      <c r="Q22" s="334"/>
      <c r="R22" s="222"/>
      <c r="S22" s="172">
        <f>IF(S21="","",S21*20)</f>
        <v>150.6</v>
      </c>
      <c r="T22" s="172">
        <f>IF(T21="","",T21*11)</f>
        <v>142.44999999999999</v>
      </c>
      <c r="U22" s="173">
        <f>IF(U21="","",IF((80+(8-ROUNDUP(U21,1))*40)&lt;0,0,80+(8-ROUNDUP(U21,1))*40))</f>
        <v>104.00000000000003</v>
      </c>
      <c r="V22" s="237">
        <f>IF(SUM(S22,T22,U22)&gt;0,SUM(S22,T22,U22),"")</f>
        <v>397.04999999999995</v>
      </c>
      <c r="W22" s="238">
        <f>IF(OR(P22="",S22="",T22="",U22=""),"",SUM(P22,S22,T22,U22))</f>
        <v>659.36458279209501</v>
      </c>
      <c r="X22" s="239">
        <v>6</v>
      </c>
      <c r="Y22" s="240"/>
      <c r="Z22" s="225"/>
    </row>
    <row r="23" spans="1:29" ht="18" customHeight="1">
      <c r="A23" s="185"/>
      <c r="B23" s="186"/>
      <c r="C23" s="187"/>
      <c r="D23" s="186"/>
      <c r="E23" s="188"/>
      <c r="F23" s="189"/>
      <c r="G23" s="190"/>
      <c r="H23" s="207"/>
      <c r="I23" s="208"/>
      <c r="J23" s="208"/>
      <c r="K23" s="207"/>
      <c r="L23" s="208"/>
      <c r="M23" s="208"/>
      <c r="N23" s="209" t="str">
        <f>IF(MAX(H23:J23)&gt;0,IF(MAX(H23:J23)&lt;0,0,TRUNC(MAX(H23:J23)/1)*1),"")</f>
        <v/>
      </c>
      <c r="O23" s="210" t="str">
        <f>IF(MAX(K23:M23)&gt;0,IF(MAX(K23:M23)&lt;0,0,TRUNC(MAX(K23:M23)/1)*1),"")</f>
        <v/>
      </c>
      <c r="P23" s="211" t="str">
        <f>IF(N23="","",IF(O23="","",IF(SUM(N23:O23)=0,"",SUM(N23:O23))))</f>
        <v/>
      </c>
      <c r="Q23" s="223" t="str">
        <f>IF(P23="","",IF(A23="","",IF(OR(C23="UK",C23="JK",C23="SK",C23="K1",C23="K2",C23="K3",C23="K4",C23="K5",C23="K6",C23="K7",C23="K8",C23="K9",C23="K10"),IF(A23&gt;153.655,P23,IF(A23&lt;28,10^(0.783497476*LOG10(28/153.655)^2)*P23,10^(0.783497476*LOG10(A23/153.655)^2)*P23)),IF(A23&gt;175.508,P23,IF(A23&lt;32,10^(0.75194503*LOG10(32/175.508)^2)*P23,10^(0.75194503*LOG10(A23/175.508)^2)*P23)))))</f>
        <v/>
      </c>
      <c r="R23" s="224" t="str">
        <f>IF(OR(E23="",A23="",Z23="",Q23=""),"",IF(OR(C23="UM",C23="JM",C23="SM",C23="UK",C23="JK",C23="SK"),"",Q23*(IF(ABS(1900-YEAR((Z23+1)-E23))&lt;29,0,(VLOOKUP((YEAR(Z23)-YEAR(E23)),'Meltzer-Malone'!$A$3:$B$63,2))))))</f>
        <v/>
      </c>
      <c r="S23" s="174" t="str">
        <f>IF('K8'!G21="","",'K8'!G21)</f>
        <v/>
      </c>
      <c r="T23" s="174" t="str">
        <f>IF('K8'!K21="","",'K8'!K21)</f>
        <v/>
      </c>
      <c r="U23" s="174" t="str">
        <f>IF('K8'!N21="","",'K8'!N21)</f>
        <v/>
      </c>
      <c r="V23" s="163"/>
      <c r="W23" s="164"/>
      <c r="X23" s="175"/>
      <c r="Y23" s="176"/>
      <c r="Z23" s="225">
        <f>U5</f>
        <v>43358</v>
      </c>
    </row>
    <row r="24" spans="1:29" ht="18" customHeight="1">
      <c r="A24" s="165"/>
      <c r="B24" s="166"/>
      <c r="C24" s="167"/>
      <c r="D24" s="168"/>
      <c r="E24" s="169"/>
      <c r="F24" s="193"/>
      <c r="G24" s="170"/>
      <c r="H24" s="338"/>
      <c r="I24" s="339"/>
      <c r="J24" s="340"/>
      <c r="K24" s="341"/>
      <c r="L24" s="342"/>
      <c r="M24" s="343"/>
      <c r="N24" s="167"/>
      <c r="O24" s="171"/>
      <c r="P24" s="334" t="str">
        <f>IF(Q23="","",Q23*1.2)</f>
        <v/>
      </c>
      <c r="Q24" s="334"/>
      <c r="R24" s="222"/>
      <c r="S24" s="172" t="str">
        <f>IF(S23="","",S23*20)</f>
        <v/>
      </c>
      <c r="T24" s="172" t="str">
        <f>IF(T23="","",T23*11)</f>
        <v/>
      </c>
      <c r="U24" s="173" t="str">
        <f>IF(U23="","",IF((80+(8-ROUNDUP(U23,1))*40)&lt;0,0,80+(8-ROUNDUP(U23,1))*40))</f>
        <v/>
      </c>
      <c r="V24" s="237" t="str">
        <f>IF(SUM(S24,T24,U24)&gt;0,SUM(S24,T24,U24),"")</f>
        <v/>
      </c>
      <c r="W24" s="238" t="str">
        <f>IF(OR(P24="",S24="",T24="",U24=""),"",SUM(P24,S24,T24,U24))</f>
        <v/>
      </c>
      <c r="X24" s="239"/>
      <c r="Y24" s="240"/>
      <c r="Z24" s="225"/>
    </row>
    <row r="25" spans="1:29" ht="18" customHeight="1">
      <c r="A25" s="185"/>
      <c r="B25" s="186"/>
      <c r="C25" s="187"/>
      <c r="D25" s="186"/>
      <c r="E25" s="188"/>
      <c r="F25" s="189"/>
      <c r="G25" s="190"/>
      <c r="H25" s="207"/>
      <c r="I25" s="208"/>
      <c r="J25" s="208"/>
      <c r="K25" s="207"/>
      <c r="L25" s="208"/>
      <c r="M25" s="208"/>
      <c r="N25" s="209" t="str">
        <f>IF(MAX(H25:J25)&gt;0,IF(MAX(H25:J25)&lt;0,0,TRUNC(MAX(H25:J25)/1)*1),"")</f>
        <v/>
      </c>
      <c r="O25" s="210" t="str">
        <f>IF(MAX(K25:M25)&gt;0,IF(MAX(K25:M25)&lt;0,0,TRUNC(MAX(K25:M25)/1)*1),"")</f>
        <v/>
      </c>
      <c r="P25" s="211" t="str">
        <f>IF(N25="","",IF(O25="","",IF(SUM(N25:O25)=0,"",SUM(N25:O25))))</f>
        <v/>
      </c>
      <c r="Q25" s="223" t="str">
        <f>IF(P25="","",IF(A25="","",IF(OR(C25="UK",C25="JK",C25="SK",C25="K1",C25="K2",C25="K3",C25="K4",C25="K5",C25="K6",C25="K7",C25="K8",C25="K9",C25="K10"),IF(A25&gt;153.655,P25,IF(A25&lt;28,10^(0.783497476*LOG10(28/153.655)^2)*P25,10^(0.783497476*LOG10(A25/153.655)^2)*P25)),IF(A25&gt;175.508,P25,IF(A25&lt;32,10^(0.75194503*LOG10(32/175.508)^2)*P25,10^(0.75194503*LOG10(A25/175.508)^2)*P25)))))</f>
        <v/>
      </c>
      <c r="R25" s="224" t="str">
        <f>IF(OR(E25="",A25="",Z25="",Q25=""),"",IF(OR(C25="UM",C25="JM",C25="SM",C25="UK",C25="JK",C25="SK"),"",Q25*(IF(ABS(1900-YEAR((Z25+1)-E25))&lt;29,0,(VLOOKUP((YEAR(Z25)-YEAR(E25)),'Meltzer-Malone'!$A$3:$B$63,2))))))</f>
        <v/>
      </c>
      <c r="S25" s="174" t="str">
        <f>IF('K8'!G23="","",'K8'!G23)</f>
        <v/>
      </c>
      <c r="T25" s="174" t="str">
        <f>IF('K8'!K23="","",'K8'!K23)</f>
        <v/>
      </c>
      <c r="U25" s="174" t="str">
        <f>IF('K8'!N23="","",'K8'!N23)</f>
        <v/>
      </c>
      <c r="V25" s="163"/>
      <c r="W25" s="164"/>
      <c r="X25" s="175"/>
      <c r="Y25" s="176"/>
      <c r="Z25" s="225">
        <f>U5</f>
        <v>43358</v>
      </c>
    </row>
    <row r="26" spans="1:29" ht="18" customHeight="1">
      <c r="A26" s="165"/>
      <c r="B26" s="166"/>
      <c r="C26" s="167"/>
      <c r="D26" s="168"/>
      <c r="E26" s="169"/>
      <c r="F26" s="193"/>
      <c r="G26" s="170"/>
      <c r="H26" s="338"/>
      <c r="I26" s="342"/>
      <c r="J26" s="343"/>
      <c r="K26" s="341"/>
      <c r="L26" s="342"/>
      <c r="M26" s="343"/>
      <c r="N26" s="167"/>
      <c r="O26" s="171"/>
      <c r="P26" s="334" t="str">
        <f>IF(Q25="","",Q25*1.2)</f>
        <v/>
      </c>
      <c r="Q26" s="334"/>
      <c r="R26" s="222"/>
      <c r="S26" s="172" t="str">
        <f>IF(S25="","",S25*20)</f>
        <v/>
      </c>
      <c r="T26" s="172" t="str">
        <f>IF(T25="","",T25*11)</f>
        <v/>
      </c>
      <c r="U26" s="173" t="str">
        <f>IF(U25="","",IF((80+(8-ROUNDUP(U25,1))*40)&lt;0,0,80+(8-ROUNDUP(U25,1))*40))</f>
        <v/>
      </c>
      <c r="V26" s="237" t="str">
        <f>IF(SUM(S26,T26,U26)&gt;0,SUM(S26,T26,U26),"")</f>
        <v/>
      </c>
      <c r="W26" s="238" t="str">
        <f>IF(OR(P26="",S26="",T26="",U26=""),"",SUM(P26,S26,T26,U26))</f>
        <v/>
      </c>
      <c r="X26" s="239"/>
      <c r="Y26" s="240"/>
      <c r="Z26" s="225"/>
    </row>
    <row r="27" spans="1:29" ht="18" customHeight="1">
      <c r="A27" s="185"/>
      <c r="B27" s="186"/>
      <c r="C27" s="187"/>
      <c r="D27" s="206"/>
      <c r="E27" s="188"/>
      <c r="F27" s="189"/>
      <c r="G27" s="190"/>
      <c r="H27" s="207"/>
      <c r="I27" s="208"/>
      <c r="J27" s="208"/>
      <c r="K27" s="207"/>
      <c r="L27" s="208"/>
      <c r="M27" s="208"/>
      <c r="N27" s="209" t="str">
        <f>IF(MAX(H27:J27)&gt;0,IF(MAX(H27:J27)&lt;0,0,TRUNC(MAX(H27:J27)/1)*1),"")</f>
        <v/>
      </c>
      <c r="O27" s="210" t="str">
        <f>IF(MAX(K27:M27)&gt;0,IF(MAX(K27:M27)&lt;0,0,TRUNC(MAX(K27:M27)/1)*1),"")</f>
        <v/>
      </c>
      <c r="P27" s="211" t="str">
        <f>IF(N27="","",IF(O27="","",IF(SUM(N27:O27)=0,"",SUM(N27:O27))))</f>
        <v/>
      </c>
      <c r="Q27" s="223" t="str">
        <f>IF(P27="","",IF(A27="","",IF(OR(C27="UK",C27="JK",C27="SK",C27="K1",C27="K2",C27="K3",C27="K4",C27="K5",C27="K6",C27="K7",C27="K8",C27="K9",C27="K10"),IF(A27&gt;153.655,P27,IF(A27&lt;28,10^(0.783497476*LOG10(28/153.655)^2)*P27,10^(0.783497476*LOG10(A27/153.655)^2)*P27)),IF(A27&gt;175.508,P27,IF(A27&lt;32,10^(0.75194503*LOG10(32/175.508)^2)*P27,10^(0.75194503*LOG10(A27/175.508)^2)*P27)))))</f>
        <v/>
      </c>
      <c r="R27" s="224" t="str">
        <f>IF(OR(E27="",A27="",Z27="",Q27=""),"",IF(OR(C27="UM",C27="JM",C27="SM",C27="UK",C27="JK",C27="SK"),"",Q27*(IF(ABS(1900-YEAR((Z27+1)-E27))&lt;29,0,(VLOOKUP((YEAR(Z27)-YEAR(E27)),'Meltzer-Malone'!$A$3:$B$63,2))))))</f>
        <v/>
      </c>
      <c r="S27" s="174" t="str">
        <f>IF('K8'!G25="","",'K8'!G25)</f>
        <v/>
      </c>
      <c r="T27" s="174" t="str">
        <f>IF('K8'!K25="","",'K8'!K25)</f>
        <v/>
      </c>
      <c r="U27" s="174" t="str">
        <f>IF('K8'!N25="","",'K8'!N25)</f>
        <v/>
      </c>
      <c r="V27" s="163"/>
      <c r="W27" s="164"/>
      <c r="X27" s="175"/>
      <c r="Y27" s="176"/>
      <c r="Z27" s="225">
        <f>U5</f>
        <v>43358</v>
      </c>
    </row>
    <row r="28" spans="1:29" ht="18" customHeight="1">
      <c r="A28" s="165"/>
      <c r="B28" s="166"/>
      <c r="C28" s="167"/>
      <c r="D28" s="168"/>
      <c r="E28" s="169"/>
      <c r="F28" s="193"/>
      <c r="G28" s="170"/>
      <c r="H28" s="338"/>
      <c r="I28" s="342"/>
      <c r="J28" s="343"/>
      <c r="K28" s="341"/>
      <c r="L28" s="342"/>
      <c r="M28" s="343"/>
      <c r="N28" s="167"/>
      <c r="O28" s="171"/>
      <c r="P28" s="334" t="str">
        <f>IF(Q27="","",Q27*1.2)</f>
        <v/>
      </c>
      <c r="Q28" s="334"/>
      <c r="R28" s="222"/>
      <c r="S28" s="172" t="str">
        <f>IF(S27="","",S27*20)</f>
        <v/>
      </c>
      <c r="T28" s="172" t="str">
        <f>IF(T27="","",T27*11)</f>
        <v/>
      </c>
      <c r="U28" s="173" t="str">
        <f>IF(U27="","",IF((80+(8-ROUNDUP(U27,1))*40)&lt;0,0,80+(8-ROUNDUP(U27,1))*40))</f>
        <v/>
      </c>
      <c r="V28" s="237" t="str">
        <f>IF(SUM(S28,T28,U28)&gt;0,SUM(S28,T28,U28),"")</f>
        <v/>
      </c>
      <c r="W28" s="238" t="str">
        <f>IF(OR(P28="",S28="",T28="",U28=""),"",SUM(P28,S28,T28,U28))</f>
        <v/>
      </c>
      <c r="X28" s="239"/>
      <c r="Y28" s="240"/>
      <c r="Z28" s="226"/>
    </row>
    <row r="29" spans="1:29" ht="18" customHeight="1">
      <c r="A29" s="158"/>
      <c r="B29" s="206"/>
      <c r="C29" s="187"/>
      <c r="D29" s="187"/>
      <c r="E29" s="159"/>
      <c r="F29" s="159"/>
      <c r="G29" s="160" t="s">
        <v>42</v>
      </c>
      <c r="H29" s="161"/>
      <c r="I29" s="161"/>
      <c r="J29" s="161"/>
      <c r="K29" s="161"/>
      <c r="L29" s="161"/>
      <c r="M29" s="161"/>
      <c r="N29" s="209" t="str">
        <f>IF(MAX(H29:J29)&gt;0,IF(MAX(H29:J29)&lt;0,0,TRUNC(MAX(H29:J29)/1)*1),"")</f>
        <v/>
      </c>
      <c r="O29" s="210" t="str">
        <f>IF(MAX(K29:M29)&gt;0,IF(MAX(K29:M29)&lt;0,0,TRUNC(MAX(K29:M29)/1)*1),"")</f>
        <v/>
      </c>
      <c r="P29" s="211" t="str">
        <f>IF(N29="","",IF(O29="","",IF(SUM(N29:O29)=0,"",SUM(N29:O29))))</f>
        <v/>
      </c>
      <c r="Q29" s="223" t="str">
        <f>IF(P29="","",IF(A29="","",IF(OR(C29="UK",C29="JK",C29="SK",C29="K1",C29="K2",C29="K3",C29="K4",C29="K5",C29="K6",C29="K7",C29="K8",C29="K9",C29="K10"),IF(A29&gt;153.655,P29,IF(A29&lt;28,10^(0.783497476*LOG10(28/153.655)^2)*P29,10^(0.783497476*LOG10(A29/153.655)^2)*P29)),IF(A29&gt;175.508,P29,IF(A29&lt;32,10^(0.75194503*LOG10(32/175.508)^2)*P29,10^(0.75194503*LOG10(A29/175.508)^2)*P29)))))</f>
        <v/>
      </c>
      <c r="R29" s="224" t="str">
        <f>IF(OR(E29="",A29="",Z29="",Q29=""),"",IF(OR(C29="UM",C29="JM",C29="SM",C29="UK",C29="JK",C29="SK"),"",Q29*(IF(ABS(1900-YEAR((Z29+1)-E29))&lt;29,0,(VLOOKUP((YEAR(Z29)-YEAR(E29)),'Meltzer-Malone'!$A$3:$B$63,2))))))</f>
        <v/>
      </c>
      <c r="S29" s="174" t="str">
        <f>IF('K8'!G27="","",'K8'!G27)</f>
        <v/>
      </c>
      <c r="T29" s="174" t="str">
        <f>IF('K8'!K27="","",'K8'!K27)</f>
        <v/>
      </c>
      <c r="U29" s="174" t="str">
        <f>IF('K8'!N27="","",'K8'!N27)</f>
        <v/>
      </c>
      <c r="V29" s="163"/>
      <c r="W29" s="164"/>
      <c r="X29" s="175"/>
      <c r="Y29" s="176"/>
      <c r="Z29" s="225">
        <f>U5</f>
        <v>43358</v>
      </c>
    </row>
    <row r="30" spans="1:29" ht="18" customHeight="1">
      <c r="A30" s="165"/>
      <c r="B30" s="166"/>
      <c r="C30" s="167"/>
      <c r="D30" s="168"/>
      <c r="E30" s="169"/>
      <c r="F30" s="169"/>
      <c r="G30" s="170"/>
      <c r="H30" s="333"/>
      <c r="I30" s="334"/>
      <c r="J30" s="335"/>
      <c r="K30" s="333"/>
      <c r="L30" s="334"/>
      <c r="M30" s="335"/>
      <c r="N30" s="167"/>
      <c r="O30" s="171"/>
      <c r="P30" s="334" t="str">
        <f>IF(Q29="","",Q29*1.2)</f>
        <v/>
      </c>
      <c r="Q30" s="334"/>
      <c r="R30" s="222"/>
      <c r="S30" s="172" t="str">
        <f>IF(S29="","",S29*20)</f>
        <v/>
      </c>
      <c r="T30" s="172" t="str">
        <f>IF(T29="","",T29*11)</f>
        <v/>
      </c>
      <c r="U30" s="173" t="str">
        <f>IF(U29="","",IF((80+(8-ROUNDUP(U29,1))*40)&lt;0,0,80+(8-ROUNDUP(U29,1))*40))</f>
        <v/>
      </c>
      <c r="V30" s="237" t="str">
        <f>IF(SUM(S30,T30,U30)&gt;0,SUM(S30,T30,U30),"")</f>
        <v/>
      </c>
      <c r="W30" s="238" t="str">
        <f>IF(OR(P30="",S30="",T30="",U30=""),"",SUM(P30,S30,T30,U30))</f>
        <v/>
      </c>
      <c r="X30" s="239"/>
      <c r="Y30" s="240"/>
      <c r="Z30" s="225"/>
    </row>
    <row r="31" spans="1:29" ht="18" customHeight="1">
      <c r="A31" s="158"/>
      <c r="B31" s="206"/>
      <c r="C31" s="187"/>
      <c r="D31" s="187"/>
      <c r="E31" s="159"/>
      <c r="F31" s="159"/>
      <c r="G31" s="160"/>
      <c r="H31" s="161"/>
      <c r="I31" s="161"/>
      <c r="J31" s="161"/>
      <c r="K31" s="161"/>
      <c r="L31" s="161"/>
      <c r="M31" s="161"/>
      <c r="N31" s="209" t="str">
        <f>IF(MAX(H31:J31)&gt;0,IF(MAX(H31:J31)&lt;0,0,TRUNC(MAX(H31:J31)/1)*1),"")</f>
        <v/>
      </c>
      <c r="O31" s="210" t="str">
        <f>IF(MAX(K31:M31)&gt;0,IF(MAX(K31:M31)&lt;0,0,TRUNC(MAX(K31:M31)/1)*1),"")</f>
        <v/>
      </c>
      <c r="P31" s="211" t="str">
        <f>IF(N31="","",IF(O31="","",IF(SUM(N31:O31)=0,"",SUM(N31:O31))))</f>
        <v/>
      </c>
      <c r="Q31" s="223" t="str">
        <f>IF(P31="","",IF(A31="","",IF(OR(C31="UK",C31="JK",C31="SK",C31="K1",C31="K2",C31="K3",C31="K4",C31="K5",C31="K6",C31="K7",C31="K8",C31="K9",C31="K10"),IF(A31&gt;153.655,P31,IF(A31&lt;28,10^(0.783497476*LOG10(28/153.655)^2)*P31,10^(0.783497476*LOG10(A31/153.655)^2)*P31)),IF(A31&gt;175.508,P31,IF(A31&lt;32,10^(0.75194503*LOG10(32/175.508)^2)*P31,10^(0.75194503*LOG10(A31/175.508)^2)*P31)))))</f>
        <v/>
      </c>
      <c r="R31" s="224" t="str">
        <f>IF(OR(E31="",A31="",Z31="",Q31=""),"",IF(OR(C31="UM",C31="JM",C31="SM",C31="UK",C31="JK",C31="SK"),"",Q31*(IF(ABS(1900-YEAR((Z31+1)-E31))&lt;29,0,(VLOOKUP((YEAR(Z31)-YEAR(E31)),'Meltzer-Malone'!$A$3:$B$63,2))))))</f>
        <v/>
      </c>
      <c r="S31" s="174" t="str">
        <f>IF('K8'!G29="","",'K8'!G29)</f>
        <v/>
      </c>
      <c r="T31" s="174" t="str">
        <f>IF('K8'!K29="","",'K8'!K29)</f>
        <v/>
      </c>
      <c r="U31" s="174" t="str">
        <f>IF('K8'!N29="","",'K8'!N29)</f>
        <v/>
      </c>
      <c r="V31" s="163"/>
      <c r="W31" s="164"/>
      <c r="X31" s="175"/>
      <c r="Y31" s="176"/>
      <c r="Z31" s="225">
        <f>U5</f>
        <v>43358</v>
      </c>
    </row>
    <row r="32" spans="1:29" ht="18" customHeight="1" thickBot="1">
      <c r="A32" s="177"/>
      <c r="B32" s="178"/>
      <c r="C32" s="179"/>
      <c r="D32" s="180"/>
      <c r="E32" s="181"/>
      <c r="F32" s="181"/>
      <c r="G32" s="182"/>
      <c r="H32" s="330"/>
      <c r="I32" s="331"/>
      <c r="J32" s="332"/>
      <c r="K32" s="330"/>
      <c r="L32" s="331"/>
      <c r="M32" s="332"/>
      <c r="N32" s="307"/>
      <c r="O32" s="308"/>
      <c r="P32" s="331" t="str">
        <f>IF(Q31="","",Q31*1.2)</f>
        <v/>
      </c>
      <c r="Q32" s="331"/>
      <c r="R32" s="309"/>
      <c r="S32" s="183" t="str">
        <f>IF(S31="","",S31*20)</f>
        <v/>
      </c>
      <c r="T32" s="183" t="str">
        <f>IF(T31="","",T31*11)</f>
        <v/>
      </c>
      <c r="U32" s="184" t="str">
        <f>IF(U31="","",IF((80+(8-ROUNDUP(U31,1))*40)&lt;0,0,80+(8-ROUNDUP(U31,1))*40))</f>
        <v/>
      </c>
      <c r="V32" s="184" t="str">
        <f>IF(SUM(S32,T32,U32)&gt;0,SUM(S32,T32,U32),"")</f>
        <v/>
      </c>
      <c r="W32" s="257" t="str">
        <f>IF(OR(P32="",S32="",T32="",U32=""),"",SUM(P32,S32,T32,U32))</f>
        <v/>
      </c>
      <c r="X32" s="258"/>
      <c r="Y32" s="259"/>
      <c r="Z32" s="225"/>
    </row>
    <row r="33" spans="1:25" ht="14.1">
      <c r="A33" s="429"/>
      <c r="B33" s="429"/>
      <c r="C33" s="429"/>
      <c r="D33" s="430"/>
      <c r="E33" s="431"/>
      <c r="F33" s="431"/>
      <c r="G33" s="432"/>
      <c r="H33" s="433"/>
      <c r="I33" s="433"/>
      <c r="J33" s="433"/>
      <c r="K33" s="433"/>
      <c r="L33" s="433"/>
      <c r="M33" s="433"/>
      <c r="N33" s="429"/>
      <c r="O33" s="429"/>
      <c r="P33" s="429"/>
      <c r="Q33" s="429"/>
      <c r="R33" s="429"/>
      <c r="S33" s="433"/>
      <c r="T33" s="433"/>
      <c r="U33" s="434"/>
      <c r="V33" s="434"/>
      <c r="W33" s="435"/>
      <c r="X33" s="436"/>
      <c r="Y33" s="437"/>
    </row>
    <row r="34" spans="1:25" s="7" customFormat="1" ht="14.1">
      <c r="A34" s="7" t="s">
        <v>50</v>
      </c>
      <c r="B34"/>
      <c r="C34" s="317" t="s">
        <v>51</v>
      </c>
      <c r="D34" s="317"/>
      <c r="E34" s="317"/>
      <c r="F34" s="317"/>
      <c r="G34" s="317"/>
      <c r="H34" s="328" t="s">
        <v>115</v>
      </c>
      <c r="I34" s="328"/>
      <c r="J34" s="134">
        <v>1</v>
      </c>
      <c r="K34" s="317" t="s">
        <v>208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s="7" customFormat="1" ht="14.1">
      <c r="B35"/>
      <c r="C35" s="327"/>
      <c r="D35" s="327"/>
      <c r="E35" s="327"/>
      <c r="F35" s="327"/>
      <c r="G35" s="327"/>
      <c r="H35" s="328"/>
      <c r="I35" s="328"/>
      <c r="J35" s="134">
        <v>2</v>
      </c>
      <c r="K35" s="317" t="s">
        <v>161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s="7" customFormat="1" ht="14.1">
      <c r="A36" s="7" t="s">
        <v>55</v>
      </c>
      <c r="B36"/>
      <c r="C36" s="317"/>
      <c r="D36" s="317"/>
      <c r="E36" s="317"/>
      <c r="F36" s="317"/>
      <c r="G36" s="317"/>
      <c r="H36" s="329"/>
      <c r="I36" s="329"/>
      <c r="J36" s="134">
        <v>3</v>
      </c>
      <c r="K36" s="317" t="s">
        <v>193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s="5" customFormat="1" ht="14.1">
      <c r="A37" s="6"/>
      <c r="B37"/>
      <c r="C37" s="317"/>
      <c r="D37" s="317"/>
      <c r="E37" s="317"/>
      <c r="F37" s="317"/>
      <c r="G37" s="317"/>
      <c r="H37" s="32"/>
      <c r="I37" s="30"/>
      <c r="J37" s="135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s="5" customFormat="1" ht="14.1">
      <c r="A38" s="7"/>
      <c r="B38"/>
      <c r="C38" s="317"/>
      <c r="D38" s="317"/>
      <c r="E38" s="317"/>
      <c r="F38" s="317"/>
      <c r="G38" s="317"/>
      <c r="H38" s="136" t="s">
        <v>57</v>
      </c>
      <c r="I38" s="301"/>
      <c r="J38" s="43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s="5" customFormat="1" ht="14.1">
      <c r="A39" s="2"/>
      <c r="B39" s="2"/>
      <c r="C39" s="30"/>
      <c r="D39" s="31"/>
      <c r="E39" s="31"/>
      <c r="F39" s="31"/>
      <c r="G39" s="32"/>
      <c r="H39" s="136" t="s">
        <v>58</v>
      </c>
      <c r="I39" s="301"/>
      <c r="J39" s="47"/>
      <c r="K39" s="317" t="s">
        <v>209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s="5" customFormat="1" ht="14.1">
      <c r="A40" s="7" t="s">
        <v>60</v>
      </c>
      <c r="B40"/>
      <c r="C40" s="318" t="s">
        <v>196</v>
      </c>
      <c r="D40" s="318"/>
      <c r="E40" s="318"/>
      <c r="F40" s="318"/>
      <c r="G40" s="318"/>
      <c r="H40" s="136" t="s">
        <v>62</v>
      </c>
      <c r="I40" s="301"/>
      <c r="J40" s="137"/>
      <c r="K40" s="317" t="s">
        <v>63</v>
      </c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s="5" customFormat="1" ht="14.1">
      <c r="A41" s="2"/>
      <c r="B41" s="2"/>
      <c r="C41" s="326" t="s">
        <v>64</v>
      </c>
      <c r="D41" s="326"/>
      <c r="E41" s="326"/>
      <c r="F41" s="326"/>
      <c r="G41" s="326"/>
      <c r="H41" s="136"/>
      <c r="I41" s="311"/>
      <c r="J41" s="138"/>
      <c r="K41" s="2"/>
      <c r="L41" s="2"/>
      <c r="M41" s="2"/>
      <c r="N41" s="2"/>
      <c r="O41" s="2"/>
      <c r="P41" s="2"/>
      <c r="Q41" s="2"/>
      <c r="R41" s="2"/>
      <c r="S41" s="40"/>
      <c r="T41" s="40"/>
      <c r="U41" s="40"/>
      <c r="V41" s="40"/>
    </row>
    <row r="42" spans="1:25" s="5" customFormat="1" ht="14.1">
      <c r="A42" s="311" t="s">
        <v>65</v>
      </c>
      <c r="B42" s="139"/>
      <c r="C42" s="317" t="s">
        <v>63</v>
      </c>
      <c r="D42" s="317"/>
      <c r="E42" s="317"/>
      <c r="F42" s="317"/>
      <c r="G42" s="317"/>
      <c r="H42" s="136" t="s">
        <v>66</v>
      </c>
      <c r="I42" s="301"/>
      <c r="J42" s="43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s="5" customFormat="1" ht="14.1">
      <c r="A43" s="2"/>
      <c r="B43" s="2"/>
      <c r="C43" s="317"/>
      <c r="D43" s="317"/>
      <c r="E43" s="317"/>
      <c r="F43" s="317"/>
      <c r="G43" s="317"/>
      <c r="H43" s="136"/>
      <c r="I43" s="301"/>
      <c r="J43" s="138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s="5" customFormat="1" ht="14.1">
      <c r="A44" s="139" t="s">
        <v>68</v>
      </c>
      <c r="B44" s="139"/>
      <c r="C44" s="33" t="s">
        <v>69</v>
      </c>
      <c r="D44" s="34"/>
      <c r="E44" s="34"/>
      <c r="F44" s="34"/>
      <c r="G44" s="35"/>
      <c r="I44" s="301"/>
      <c r="J44" s="13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</row>
    <row r="45" spans="1:25" s="5" customFormat="1" ht="14.1">
      <c r="A45" s="140"/>
      <c r="B45" s="140"/>
      <c r="C45" s="33"/>
      <c r="D45" s="31"/>
      <c r="E45" s="31"/>
      <c r="F45" s="31"/>
      <c r="G45" s="32"/>
      <c r="I45" s="301"/>
      <c r="J45" s="13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</row>
    <row r="46" spans="1:25" s="5" customFormat="1" ht="14.1">
      <c r="A46" s="2"/>
      <c r="B46" s="2"/>
      <c r="C46" s="3"/>
      <c r="D46" s="4"/>
      <c r="E46" s="4"/>
      <c r="F46" s="4"/>
      <c r="I46" s="301"/>
      <c r="J46" s="13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</row>
    <row r="47" spans="1:25">
      <c r="A47" s="36"/>
      <c r="B47" s="36"/>
      <c r="C47" s="36"/>
      <c r="D47" s="36"/>
      <c r="E47" s="36"/>
      <c r="F47" s="36"/>
      <c r="H47" s="36"/>
      <c r="I47" s="36"/>
      <c r="J47" s="43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</sheetData>
  <mergeCells count="73">
    <mergeCell ref="G2:Q2"/>
    <mergeCell ref="G3:Q3"/>
    <mergeCell ref="A5:B5"/>
    <mergeCell ref="C5:G5"/>
    <mergeCell ref="H5:I5"/>
    <mergeCell ref="J5:N5"/>
    <mergeCell ref="P5:S5"/>
    <mergeCell ref="U5:V5"/>
    <mergeCell ref="H7:J7"/>
    <mergeCell ref="K7:M7"/>
    <mergeCell ref="N7:Q7"/>
    <mergeCell ref="H8:J8"/>
    <mergeCell ref="K8:M8"/>
    <mergeCell ref="H10:J10"/>
    <mergeCell ref="K10:M10"/>
    <mergeCell ref="P10:Q10"/>
    <mergeCell ref="H12:J12"/>
    <mergeCell ref="K12:M12"/>
    <mergeCell ref="P12:Q12"/>
    <mergeCell ref="H14:J14"/>
    <mergeCell ref="K14:M14"/>
    <mergeCell ref="P14:Q14"/>
    <mergeCell ref="H16:J16"/>
    <mergeCell ref="K16:M16"/>
    <mergeCell ref="P16:Q16"/>
    <mergeCell ref="H18:J18"/>
    <mergeCell ref="K18:M18"/>
    <mergeCell ref="P18:Q18"/>
    <mergeCell ref="H20:J20"/>
    <mergeCell ref="K20:M20"/>
    <mergeCell ref="P20:Q20"/>
    <mergeCell ref="H22:J22"/>
    <mergeCell ref="K22:M22"/>
    <mergeCell ref="P22:Q22"/>
    <mergeCell ref="H24:J24"/>
    <mergeCell ref="K24:M24"/>
    <mergeCell ref="P24:Q24"/>
    <mergeCell ref="H26:J26"/>
    <mergeCell ref="K26:M26"/>
    <mergeCell ref="P26:Q26"/>
    <mergeCell ref="H28:J28"/>
    <mergeCell ref="K28:M28"/>
    <mergeCell ref="P28:Q28"/>
    <mergeCell ref="H30:J30"/>
    <mergeCell ref="K30:M30"/>
    <mergeCell ref="P30:Q30"/>
    <mergeCell ref="H32:J32"/>
    <mergeCell ref="K32:M32"/>
    <mergeCell ref="P32:Q32"/>
    <mergeCell ref="C38:G38"/>
    <mergeCell ref="K38:Y38"/>
    <mergeCell ref="C34:G34"/>
    <mergeCell ref="H34:I34"/>
    <mergeCell ref="K34:Y34"/>
    <mergeCell ref="C35:G35"/>
    <mergeCell ref="H35:I35"/>
    <mergeCell ref="K35:Y35"/>
    <mergeCell ref="C36:G36"/>
    <mergeCell ref="H36:I36"/>
    <mergeCell ref="K36:Y36"/>
    <mergeCell ref="C37:G37"/>
    <mergeCell ref="K37:Y37"/>
    <mergeCell ref="K39:Y39"/>
    <mergeCell ref="C40:G40"/>
    <mergeCell ref="K40:Y40"/>
    <mergeCell ref="C41:G41"/>
    <mergeCell ref="C42:G42"/>
    <mergeCell ref="K42:Y42"/>
    <mergeCell ref="C43:G43"/>
    <mergeCell ref="K43:Y43"/>
    <mergeCell ref="K44:Y44"/>
    <mergeCell ref="K45:Y45"/>
    <mergeCell ref="K46:Y46"/>
  </mergeCells>
  <conditionalFormatting sqref="H31:M31 H29:M29">
    <cfRule type="cellIs" dxfId="105" priority="65" stopIfTrue="1" operator="between">
      <formula>1</formula>
      <formula>300</formula>
    </cfRule>
    <cfRule type="cellIs" dxfId="104" priority="66" stopIfTrue="1" operator="lessThanOrEqual">
      <formula>0</formula>
    </cfRule>
  </conditionalFormatting>
  <conditionalFormatting sqref="H15:M15">
    <cfRule type="cellIs" dxfId="103" priority="13" stopIfTrue="1" operator="between">
      <formula>1</formula>
      <formula>300</formula>
    </cfRule>
    <cfRule type="cellIs" dxfId="102" priority="14" stopIfTrue="1" operator="lessThanOrEqual">
      <formula>0</formula>
    </cfRule>
  </conditionalFormatting>
  <conditionalFormatting sqref="H23:M23">
    <cfRule type="cellIs" dxfId="101" priority="39" stopIfTrue="1" operator="between">
      <formula>1</formula>
      <formula>300</formula>
    </cfRule>
    <cfRule type="cellIs" dxfId="100" priority="40" stopIfTrue="1" operator="lessThanOrEqual">
      <formula>0</formula>
    </cfRule>
  </conditionalFormatting>
  <conditionalFormatting sqref="H27:M27">
    <cfRule type="cellIs" dxfId="99" priority="63" stopIfTrue="1" operator="between">
      <formula>1</formula>
      <formula>300</formula>
    </cfRule>
    <cfRule type="cellIs" dxfId="98" priority="64" stopIfTrue="1" operator="lessThanOrEqual">
      <formula>0</formula>
    </cfRule>
  </conditionalFormatting>
  <conditionalFormatting sqref="H9:M9">
    <cfRule type="cellIs" dxfId="97" priority="7" stopIfTrue="1" operator="between">
      <formula>1</formula>
      <formula>300</formula>
    </cfRule>
    <cfRule type="cellIs" dxfId="96" priority="8" stopIfTrue="1" operator="lessThanOrEqual">
      <formula>0</formula>
    </cfRule>
  </conditionalFormatting>
  <conditionalFormatting sqref="H19:M19">
    <cfRule type="cellIs" dxfId="95" priority="5" stopIfTrue="1" operator="between">
      <formula>1</formula>
      <formula>300</formula>
    </cfRule>
    <cfRule type="cellIs" dxfId="94" priority="6" stopIfTrue="1" operator="lessThanOrEqual">
      <formula>0</formula>
    </cfRule>
  </conditionalFormatting>
  <conditionalFormatting sqref="H11:M11">
    <cfRule type="cellIs" dxfId="93" priority="3" stopIfTrue="1" operator="between">
      <formula>1</formula>
      <formula>300</formula>
    </cfRule>
    <cfRule type="cellIs" dxfId="92" priority="4" stopIfTrue="1" operator="lessThanOrEqual">
      <formula>0</formula>
    </cfRule>
  </conditionalFormatting>
  <conditionalFormatting sqref="H13:M13">
    <cfRule type="cellIs" dxfId="91" priority="1" stopIfTrue="1" operator="between">
      <formula>1</formula>
      <formula>300</formula>
    </cfRule>
    <cfRule type="cellIs" dxfId="90" priority="2" stopIfTrue="1" operator="lessThanOrEqual">
      <formula>0</formula>
    </cfRule>
  </conditionalFormatting>
  <conditionalFormatting sqref="H25:M25">
    <cfRule type="cellIs" dxfId="89" priority="61" stopIfTrue="1" operator="between">
      <formula>1</formula>
      <formula>300</formula>
    </cfRule>
    <cfRule type="cellIs" dxfId="88" priority="62" stopIfTrue="1" operator="lessThanOrEqual">
      <formula>0</formula>
    </cfRule>
  </conditionalFormatting>
  <conditionalFormatting sqref="H21:M21">
    <cfRule type="cellIs" dxfId="87" priority="9" stopIfTrue="1" operator="between">
      <formula>1</formula>
      <formula>300</formula>
    </cfRule>
    <cfRule type="cellIs" dxfId="86" priority="10" stopIfTrue="1" operator="lessThanOrEqual">
      <formula>0</formula>
    </cfRule>
  </conditionalFormatting>
  <conditionalFormatting sqref="H17:M17">
    <cfRule type="cellIs" dxfId="85" priority="11" stopIfTrue="1" operator="between">
      <formula>1</formula>
      <formula>300</formula>
    </cfRule>
    <cfRule type="cellIs" dxfId="84" priority="12" stopIfTrue="1" operator="lessThanOrEqual">
      <formula>0</formula>
    </cfRule>
  </conditionalFormatting>
  <dataValidations count="3">
    <dataValidation type="list" allowBlank="1" showInputMessage="1" showErrorMessage="1" errorTitle="Feil_i_vektklasse" error="Feil verdi i vektklasse" sqref="B9 B11 B13 B15 B17 B19 B21 B23 B25 B27 B29 B31" xr:uid="{00000000-0002-0000-0700-000000000000}">
      <formula1>"44,48,53,58,63,69,+69,'+69,69+,75,+75,'+75,75,50,56,62,69,77,85,94,+94,'+94,94+,105,+105,'+105,105+"</formula1>
    </dataValidation>
    <dataValidation type="list" allowBlank="1" showInputMessage="1" showErrorMessage="1" errorTitle="Feil _i_kat.v.løft" error="Feil verdi i kategori vektløfting" sqref="C9 C11 C13 C15 C17 C19 C21 C23 C25 C27 C29 C31" xr:uid="{00000000-0002-0000-0700-000001000000}">
      <formula1>"UM,JM,SM,UK,JK,SK,M1,M2,M3,M4,M5,M6,M8,M9,M10,K1,K2,K3,K4,K5,K6,K7,K8,K9,K10"</formula1>
    </dataValidation>
    <dataValidation type="list" allowBlank="1" showInputMessage="1" showErrorMessage="1" errorTitle="Feil_i_kat.5-kamp" error="Feil verdi i kategori 5-kamp" sqref="D9 D11 D13 D15 D17 D19 D21 D23 D25 D27 D29 D31" xr:uid="{00000000-0002-0000-0700-000002000000}">
      <formula1>"11-12,13-14,15-16,17-18,+18,'+18,18+"</formula1>
    </dataValidation>
  </dataValidations>
  <pageMargins left="0.27559055118110237" right="0.27559055118110237" top="0.27559055118110237" bottom="0.27559055118110237" header="0.51181102362204722" footer="0.51181102362204722"/>
  <pageSetup paperSize="9" scale="66" orientation="landscape" horizontalDpi="300" verticalDpi="300" copies="5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55"/>
  <sheetViews>
    <sheetView showGridLines="0" showRowColHeaders="0" showZeros="0" topLeftCell="A6" workbookViewId="0">
      <selection activeCell="A9" sqref="A9"/>
    </sheetView>
  </sheetViews>
  <sheetFormatPr defaultColWidth="8.85546875" defaultRowHeight="12.95"/>
  <cols>
    <col min="1" max="1" width="7.85546875" customWidth="1"/>
    <col min="2" max="2" width="6.85546875" customWidth="1"/>
    <col min="3" max="3" width="5.5703125" customWidth="1"/>
    <col min="4" max="4" width="7.5703125" customWidth="1"/>
    <col min="5" max="5" width="10.42578125" customWidth="1"/>
    <col min="6" max="6" width="3.85546875" customWidth="1"/>
    <col min="7" max="7" width="27.5703125" customWidth="1"/>
    <col min="8" max="16" width="6.5703125" customWidth="1"/>
    <col min="17" max="18" width="8.85546875" customWidth="1"/>
    <col min="19" max="20" width="8.5703125" customWidth="1"/>
    <col min="21" max="21" width="9.85546875" customWidth="1"/>
    <col min="22" max="23" width="8.5703125" customWidth="1"/>
    <col min="24" max="24" width="4.42578125" customWidth="1"/>
    <col min="25" max="25" width="5.5703125" customWidth="1"/>
    <col min="26" max="26" width="0" hidden="1" customWidth="1"/>
  </cols>
  <sheetData>
    <row r="1" spans="1:29">
      <c r="A1" s="36"/>
      <c r="B1" s="36"/>
      <c r="C1" s="36"/>
      <c r="D1" s="36"/>
      <c r="E1" s="36"/>
      <c r="F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9" ht="72.75" customHeight="1">
      <c r="A2" s="36"/>
      <c r="B2" s="36"/>
      <c r="C2" s="36"/>
      <c r="D2" s="36"/>
      <c r="E2" s="36"/>
      <c r="F2" s="36"/>
      <c r="G2" s="346" t="s">
        <v>70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02"/>
      <c r="S2" s="36"/>
      <c r="T2" s="36"/>
      <c r="U2" s="36"/>
      <c r="V2" s="36"/>
      <c r="W2" s="36"/>
      <c r="X2" s="36"/>
      <c r="Y2" s="36"/>
    </row>
    <row r="3" spans="1:29" ht="27.95">
      <c r="A3" s="36"/>
      <c r="B3" s="36"/>
      <c r="C3" s="36"/>
      <c r="D3" s="36"/>
      <c r="E3" s="36"/>
      <c r="F3" s="36"/>
      <c r="G3" s="320" t="s">
        <v>1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00"/>
      <c r="S3" s="36"/>
      <c r="T3" s="36"/>
      <c r="U3" s="36"/>
      <c r="V3" s="36"/>
      <c r="W3" s="36"/>
      <c r="X3" s="36"/>
      <c r="Y3" s="36"/>
    </row>
    <row r="4" spans="1:29">
      <c r="A4" s="36"/>
      <c r="B4" s="36"/>
      <c r="C4" s="36"/>
      <c r="D4" s="36"/>
      <c r="E4" s="36"/>
      <c r="F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9" ht="15" customHeight="1">
      <c r="A5" s="344" t="s">
        <v>2</v>
      </c>
      <c r="B5" s="344"/>
      <c r="C5" s="321" t="s">
        <v>3</v>
      </c>
      <c r="D5" s="321"/>
      <c r="E5" s="321"/>
      <c r="F5" s="321"/>
      <c r="G5" s="321"/>
      <c r="H5" s="344" t="s">
        <v>4</v>
      </c>
      <c r="I5" s="344"/>
      <c r="J5" s="321" t="s">
        <v>5</v>
      </c>
      <c r="K5" s="321"/>
      <c r="L5" s="321"/>
      <c r="M5" s="321"/>
      <c r="N5" s="321"/>
      <c r="O5" s="306" t="s">
        <v>6</v>
      </c>
      <c r="P5" s="345" t="s">
        <v>7</v>
      </c>
      <c r="Q5" s="345"/>
      <c r="R5" s="345"/>
      <c r="S5" s="345"/>
      <c r="T5" s="306" t="s">
        <v>8</v>
      </c>
      <c r="U5" s="325">
        <v>43358</v>
      </c>
      <c r="V5" s="325"/>
      <c r="W5" s="52" t="s">
        <v>9</v>
      </c>
      <c r="X5" s="263" t="s">
        <v>210</v>
      </c>
      <c r="Y5" s="263"/>
    </row>
    <row r="6" spans="1:29" ht="13.5" thickBot="1">
      <c r="A6" s="53"/>
      <c r="B6" s="53"/>
      <c r="C6" s="53"/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5"/>
      <c r="X6" s="53"/>
      <c r="Y6" s="53"/>
    </row>
    <row r="7" spans="1:29">
      <c r="A7" s="56" t="s">
        <v>12</v>
      </c>
      <c r="B7" s="57" t="s">
        <v>11</v>
      </c>
      <c r="C7" s="314" t="s">
        <v>72</v>
      </c>
      <c r="D7" s="58" t="s">
        <v>72</v>
      </c>
      <c r="E7" s="313" t="s">
        <v>14</v>
      </c>
      <c r="F7" s="313" t="s">
        <v>73</v>
      </c>
      <c r="G7" s="313" t="s">
        <v>15</v>
      </c>
      <c r="H7" s="356" t="s">
        <v>17</v>
      </c>
      <c r="I7" s="357"/>
      <c r="J7" s="358"/>
      <c r="K7" s="356" t="s">
        <v>18</v>
      </c>
      <c r="L7" s="357"/>
      <c r="M7" s="358"/>
      <c r="N7" s="359" t="s">
        <v>74</v>
      </c>
      <c r="O7" s="360"/>
      <c r="P7" s="360"/>
      <c r="Q7" s="360"/>
      <c r="R7" s="227" t="s">
        <v>21</v>
      </c>
      <c r="S7" s="57" t="s">
        <v>75</v>
      </c>
      <c r="T7" s="57" t="s">
        <v>76</v>
      </c>
      <c r="U7" s="57" t="s">
        <v>77</v>
      </c>
      <c r="V7" s="313" t="s">
        <v>78</v>
      </c>
      <c r="W7" s="59" t="s">
        <v>79</v>
      </c>
      <c r="X7" s="59" t="s">
        <v>80</v>
      </c>
      <c r="Y7" s="60" t="s">
        <v>81</v>
      </c>
    </row>
    <row r="8" spans="1:29" ht="13.5" thickBot="1">
      <c r="A8" s="61" t="s">
        <v>26</v>
      </c>
      <c r="B8" s="62" t="s">
        <v>25</v>
      </c>
      <c r="C8" s="63" t="s">
        <v>82</v>
      </c>
      <c r="D8" s="64" t="s">
        <v>79</v>
      </c>
      <c r="E8" s="65" t="s">
        <v>83</v>
      </c>
      <c r="F8" s="65" t="s">
        <v>84</v>
      </c>
      <c r="G8" s="312" t="s">
        <v>85</v>
      </c>
      <c r="H8" s="361" t="s">
        <v>86</v>
      </c>
      <c r="I8" s="362"/>
      <c r="J8" s="363"/>
      <c r="K8" s="361" t="s">
        <v>86</v>
      </c>
      <c r="L8" s="362"/>
      <c r="M8" s="363"/>
      <c r="N8" s="66" t="s">
        <v>17</v>
      </c>
      <c r="O8" s="67" t="s">
        <v>18</v>
      </c>
      <c r="P8" s="62" t="s">
        <v>87</v>
      </c>
      <c r="Q8" s="63" t="s">
        <v>21</v>
      </c>
      <c r="R8" s="62" t="s">
        <v>31</v>
      </c>
      <c r="S8" s="68" t="s">
        <v>21</v>
      </c>
      <c r="T8" s="68" t="s">
        <v>21</v>
      </c>
      <c r="U8" s="68" t="s">
        <v>21</v>
      </c>
      <c r="V8" s="65" t="s">
        <v>88</v>
      </c>
      <c r="W8" s="69" t="s">
        <v>89</v>
      </c>
      <c r="X8" s="69"/>
      <c r="Y8" s="70"/>
    </row>
    <row r="9" spans="1:29" ht="18" customHeight="1">
      <c r="A9" s="185">
        <v>69.099999999999994</v>
      </c>
      <c r="B9" s="186" t="s">
        <v>183</v>
      </c>
      <c r="C9" s="187" t="s">
        <v>43</v>
      </c>
      <c r="D9" s="187" t="s">
        <v>137</v>
      </c>
      <c r="E9" s="187" t="s">
        <v>211</v>
      </c>
      <c r="F9" s="189"/>
      <c r="G9" s="212" t="s">
        <v>212</v>
      </c>
      <c r="H9" s="213">
        <v>88</v>
      </c>
      <c r="I9" s="214">
        <v>-91</v>
      </c>
      <c r="J9" s="214">
        <v>-91</v>
      </c>
      <c r="K9" s="213">
        <v>110</v>
      </c>
      <c r="L9" s="214">
        <v>114</v>
      </c>
      <c r="M9" s="214">
        <v>-116</v>
      </c>
      <c r="N9" s="209">
        <f>IF(MAX(H9:J9)&gt;0,IF(MAX(H9:J9)&lt;0,0,TRUNC(MAX(H9:J9)/1)*1),"")</f>
        <v>88</v>
      </c>
      <c r="O9" s="210">
        <f>IF(MAX(K9:M9)&gt;0,IF(MAX(K9:M9)&lt;0,0,TRUNC(MAX(K9:M9)/1)*1),"")</f>
        <v>114</v>
      </c>
      <c r="P9" s="211">
        <f>IF(N9="","",IF(O9="","",IF(SUM(N9:O9)=0,"",SUM(N9:O9))))</f>
        <v>202</v>
      </c>
      <c r="Q9" s="223">
        <f>IF(P9="","",IF(A9="","",IF(OR(C9="UK",C9="JK",C9="SK",C9="K1",C9="K2",C9="K3",C9="K4",C9="K5",C9="K6",C9="K7",C9="K8",C9="K9",C9="K10"),IF(A9&gt;153.655,P9,IF(A9&lt;28,10^(0.783497476*LOG10(28/153.655)^2)*P9,10^(0.783497476*LOG10(A9/153.655)^2)*P9)),IF(A9&gt;175.508,P9,IF(A9&lt;32,10^(0.75194503*LOG10(32/175.508)^2)*P9,10^(0.75194503*LOG10(A9/175.508)^2)*P9)))))</f>
        <v>268.27416743348266</v>
      </c>
      <c r="R9" s="162" t="str">
        <f>IF(OR(E9="",A9="",Z9="",Q9=""),"",IF(OR(C9="UM",C9="JM",C9="SM",C9="UK",C9="JK",C9="SK"),"",Q9*(IF(ABS(1900-YEAR((Z9+1)-E9))&lt;29,0,(VLOOKUP((YEAR(Z9)-YEAR(E9)),'Meltzer-Malone'!$A$3:$B$63,2))))))</f>
        <v/>
      </c>
      <c r="S9" s="163">
        <f>IF('K9'!G7="","",'K9'!G7)</f>
        <v>8.59</v>
      </c>
      <c r="T9" s="163">
        <f>IF('K9'!K7="","",'K9'!K7)</f>
        <v>14.37</v>
      </c>
      <c r="U9" s="163">
        <f>IF('K9'!N7="","",'K9'!N7)</f>
        <v>6.42</v>
      </c>
      <c r="V9" s="163"/>
      <c r="W9" s="164"/>
      <c r="X9" s="195"/>
      <c r="Y9" s="196" t="s">
        <v>42</v>
      </c>
      <c r="Z9" s="225">
        <f>U5</f>
        <v>43358</v>
      </c>
    </row>
    <row r="10" spans="1:29" ht="18" customHeight="1">
      <c r="A10" s="165"/>
      <c r="B10" s="166"/>
      <c r="C10" s="167"/>
      <c r="D10" s="168"/>
      <c r="E10" s="215"/>
      <c r="F10" s="193"/>
      <c r="G10" s="216" t="s">
        <v>34</v>
      </c>
      <c r="H10" s="338"/>
      <c r="I10" s="339"/>
      <c r="J10" s="340"/>
      <c r="K10" s="341"/>
      <c r="L10" s="342"/>
      <c r="M10" s="343"/>
      <c r="N10" s="167"/>
      <c r="O10" s="171"/>
      <c r="P10" s="334">
        <f>IF(Q9="","",Q9*1.2)</f>
        <v>321.92900092017919</v>
      </c>
      <c r="Q10" s="334"/>
      <c r="R10" s="222"/>
      <c r="S10" s="172">
        <f>IF(S9="","",S9*20)</f>
        <v>171.8</v>
      </c>
      <c r="T10" s="172">
        <f>IF(T9="","",T9*11)</f>
        <v>158.07</v>
      </c>
      <c r="U10" s="173">
        <f>IF(U9="","",IF((80+(8-ROUNDUP(U9,1))*40)&lt;0,0,80+(8-ROUNDUP(U9,1))*40))</f>
        <v>140</v>
      </c>
      <c r="V10" s="237">
        <f>IF(SUM(S10,T10,U10)&gt;0,SUM(S10,T10,U10),"")</f>
        <v>469.87</v>
      </c>
      <c r="W10" s="238">
        <f>IF(OR(P10="",S10="",T10="",U10=""),"",SUM(P10,S10,T10,U10))</f>
        <v>791.7990009201792</v>
      </c>
      <c r="X10" s="239">
        <v>10</v>
      </c>
      <c r="Y10" s="240"/>
      <c r="Z10" s="225"/>
    </row>
    <row r="11" spans="1:29" ht="18" customHeight="1">
      <c r="A11" s="185">
        <v>73.78</v>
      </c>
      <c r="B11" s="186" t="s">
        <v>183</v>
      </c>
      <c r="C11" s="187" t="s">
        <v>43</v>
      </c>
      <c r="D11" s="187" t="s">
        <v>137</v>
      </c>
      <c r="E11" s="187" t="s">
        <v>213</v>
      </c>
      <c r="F11" s="189"/>
      <c r="G11" s="212" t="s">
        <v>214</v>
      </c>
      <c r="H11" s="213">
        <v>-83</v>
      </c>
      <c r="I11" s="214">
        <v>83</v>
      </c>
      <c r="J11" s="214">
        <v>85</v>
      </c>
      <c r="K11" s="213">
        <v>106</v>
      </c>
      <c r="L11" s="214">
        <v>110</v>
      </c>
      <c r="M11" s="214">
        <v>-114</v>
      </c>
      <c r="N11" s="209">
        <f>IF(MAX(H11:J11)&gt;0,IF(MAX(H11:J11)&lt;0,0,TRUNC(MAX(H11:J11)/1)*1),"")</f>
        <v>85</v>
      </c>
      <c r="O11" s="210">
        <f>IF(MAX(K11:M11)&gt;0,IF(MAX(K11:M11)&lt;0,0,TRUNC(MAX(K11:M11)/1)*1),"")</f>
        <v>110</v>
      </c>
      <c r="P11" s="211">
        <f>IF(N11="","",IF(O11="","",IF(SUM(N11:O11)=0,"",SUM(N11:O11))))</f>
        <v>195</v>
      </c>
      <c r="Q11" s="223">
        <f>IF(P11="","",IF(A11="","",IF(OR(C11="UK",C11="JK",C11="SK",C11="K1",C11="K2",C11="K3",C11="K4",C11="K5",C11="K6",C11="K7",C11="K8",C11="K9",C11="K10"),IF(A11&gt;153.655,P11,IF(A11&lt;28,10^(0.783497476*LOG10(28/153.655)^2)*P11,10^(0.783497476*LOG10(A11/153.655)^2)*P11)),IF(A11&gt;175.508,P11,IF(A11&lt;32,10^(0.75194503*LOG10(32/175.508)^2)*P11,10^(0.75194503*LOG10(A11/175.508)^2)*P11)))))</f>
        <v>249.19784061305506</v>
      </c>
      <c r="R11" s="224" t="str">
        <f>IF(OR(E11="",A11="",Z11="",Q11=""),"",IF(OR(C11="UM",C11="JM",C11="SM",C11="UK",C11="JK",C11="SK"),"",Q11*(IF(ABS(1900-YEAR((Z11+1)-E11))&lt;29,0,(VLOOKUP((YEAR(Z11)-YEAR(E11)),'Meltzer-Malone'!$A$3:$B$63,2))))))</f>
        <v/>
      </c>
      <c r="S11" s="174">
        <f>IF('K9'!G9="","",'K9'!G9)</f>
        <v>8.48</v>
      </c>
      <c r="T11" s="174">
        <f>IF('K9'!K9="","",'K9'!K9)</f>
        <v>13</v>
      </c>
      <c r="U11" s="174">
        <f>IF('K9'!N9="","",'K9'!N9)</f>
        <v>6.69</v>
      </c>
      <c r="V11" s="163"/>
      <c r="W11" s="164"/>
      <c r="X11" s="175"/>
      <c r="Y11" s="176"/>
      <c r="Z11" s="225">
        <f>U5</f>
        <v>43358</v>
      </c>
      <c r="AC11" t="s">
        <v>42</v>
      </c>
    </row>
    <row r="12" spans="1:29" ht="18" customHeight="1">
      <c r="A12" s="165"/>
      <c r="B12" s="166"/>
      <c r="C12" s="167"/>
      <c r="D12" s="168"/>
      <c r="E12" s="215"/>
      <c r="F12" s="193"/>
      <c r="G12" s="216" t="s">
        <v>215</v>
      </c>
      <c r="H12" s="338"/>
      <c r="I12" s="339"/>
      <c r="J12" s="340"/>
      <c r="K12" s="341"/>
      <c r="L12" s="342"/>
      <c r="M12" s="343"/>
      <c r="N12" s="167"/>
      <c r="O12" s="171"/>
      <c r="P12" s="334">
        <f>IF(Q11="","",Q11*1.2)</f>
        <v>299.03740873566608</v>
      </c>
      <c r="Q12" s="334"/>
      <c r="R12" s="222"/>
      <c r="S12" s="172">
        <f>IF(S11="","",S11*20)</f>
        <v>169.60000000000002</v>
      </c>
      <c r="T12" s="172">
        <f>IF(T11="","",T11*11)</f>
        <v>143</v>
      </c>
      <c r="U12" s="173">
        <f>IF(U11="","",IF((80+(8-ROUNDUP(U11,1))*40)&lt;0,0,80+(8-ROUNDUP(U11,1))*40))</f>
        <v>132.00000000000003</v>
      </c>
      <c r="V12" s="237">
        <f>IF(SUM(S12,T12,U12)&gt;0,SUM(S12,T12,U12),"")</f>
        <v>444.6</v>
      </c>
      <c r="W12" s="238">
        <f>IF(OR(P12="",S12="",T12="",U12=""),"",SUM(P12,S12,T12,U12))</f>
        <v>743.6374087356661</v>
      </c>
      <c r="X12" s="239">
        <v>14</v>
      </c>
      <c r="Y12" s="240"/>
      <c r="Z12" s="225"/>
    </row>
    <row r="13" spans="1:29" ht="18" customHeight="1">
      <c r="A13" s="185">
        <v>84.48</v>
      </c>
      <c r="B13" s="186" t="s">
        <v>204</v>
      </c>
      <c r="C13" s="187" t="s">
        <v>43</v>
      </c>
      <c r="D13" s="187" t="s">
        <v>137</v>
      </c>
      <c r="E13" s="187" t="s">
        <v>216</v>
      </c>
      <c r="F13" s="189"/>
      <c r="G13" s="212" t="s">
        <v>217</v>
      </c>
      <c r="H13" s="213">
        <v>65</v>
      </c>
      <c r="I13" s="214">
        <v>70</v>
      </c>
      <c r="J13" s="214">
        <v>-78</v>
      </c>
      <c r="K13" s="213">
        <v>90</v>
      </c>
      <c r="L13" s="214">
        <v>95</v>
      </c>
      <c r="M13" s="214">
        <v>100</v>
      </c>
      <c r="N13" s="209">
        <f>IF(MAX(H13:J13)&gt;0,IF(MAX(H13:J13)&lt;0,0,TRUNC(MAX(H13:J13)/1)*1),"")</f>
        <v>70</v>
      </c>
      <c r="O13" s="210">
        <f>IF(MAX(K13:M13)&gt;0,IF(MAX(K13:M13)&lt;0,0,TRUNC(MAX(K13:M13)/1)*1),"")</f>
        <v>100</v>
      </c>
      <c r="P13" s="211">
        <f>IF(N13="","",IF(O13="","",IF(SUM(N13:O13)=0,"",SUM(N13:O13))))</f>
        <v>170</v>
      </c>
      <c r="Q13" s="223">
        <f>IF(P13="","",IF(A13="","",IF(OR(C13="UK",C13="JK",C13="SK",C13="K1",C13="K2",C13="K3",C13="K4",C13="K5",C13="K6",C13="K7",C13="K8",C13="K9",C13="K10"),IF(A13&gt;153.655,P13,IF(A13&lt;28,10^(0.783497476*LOG10(28/153.655)^2)*P13,10^(0.783497476*LOG10(A13/153.655)^2)*P13)),IF(A13&gt;175.508,P13,IF(A13&lt;32,10^(0.75194503*LOG10(32/175.508)^2)*P13,10^(0.75194503*LOG10(A13/175.508)^2)*P13)))))</f>
        <v>202.42782977327073</v>
      </c>
      <c r="R13" s="224" t="str">
        <f>IF(OR(E13="",A13="",Z13="",Q13=""),"",IF(OR(C13="UM",C13="JM",C13="SM",C13="UK",C13="JK",C13="SK"),"",Q13*(IF(ABS(1900-YEAR((Z13+1)-E13))&lt;29,0,(VLOOKUP((YEAR(Z13)-YEAR(E13)),'Meltzer-Malone'!$A$3:$B$63,2))))))</f>
        <v/>
      </c>
      <c r="S13" s="174">
        <f>IF('K9'!G11="","",'K9'!G11)</f>
        <v>7.62</v>
      </c>
      <c r="T13" s="174">
        <f>IF('K9'!K11="","",'K9'!K11)</f>
        <v>8.7799999999999994</v>
      </c>
      <c r="U13" s="174">
        <f>IF('K9'!N11="","",'K9'!N11)</f>
        <v>6.69</v>
      </c>
      <c r="V13" s="163"/>
      <c r="W13" s="164"/>
      <c r="X13" s="175"/>
      <c r="Y13" s="176"/>
      <c r="Z13" s="225">
        <f>U5</f>
        <v>43358</v>
      </c>
    </row>
    <row r="14" spans="1:29" ht="18" customHeight="1">
      <c r="A14" s="165"/>
      <c r="B14" s="166"/>
      <c r="C14" s="167"/>
      <c r="D14" s="168"/>
      <c r="E14" s="215"/>
      <c r="F14" s="193"/>
      <c r="G14" s="216" t="s">
        <v>202</v>
      </c>
      <c r="H14" s="338"/>
      <c r="I14" s="339"/>
      <c r="J14" s="340"/>
      <c r="K14" s="341"/>
      <c r="L14" s="342"/>
      <c r="M14" s="343"/>
      <c r="N14" s="167"/>
      <c r="O14" s="171"/>
      <c r="P14" s="334">
        <f>IF(Q13="","",Q13*1.2)</f>
        <v>242.91339572792486</v>
      </c>
      <c r="Q14" s="334"/>
      <c r="R14" s="222"/>
      <c r="S14" s="172">
        <f>IF(S13="","",S13*20)</f>
        <v>152.4</v>
      </c>
      <c r="T14" s="172">
        <f>IF(T13="","",T13*11)</f>
        <v>96.58</v>
      </c>
      <c r="U14" s="173">
        <f>IF(U13="","",IF((80+(8-ROUNDUP(U13,1))*40)&lt;0,0,80+(8-ROUNDUP(U13,1))*40))</f>
        <v>132.00000000000003</v>
      </c>
      <c r="V14" s="237">
        <f>IF(SUM(S14,T14,U14)&gt;0,SUM(S14,T14,U14),"")</f>
        <v>380.98</v>
      </c>
      <c r="W14" s="238">
        <f>IF(OR(P14="",S14="",T14="",U14=""),"",SUM(P14,S14,T14,U14))</f>
        <v>623.89339572792494</v>
      </c>
      <c r="X14" s="239">
        <v>18</v>
      </c>
      <c r="Y14" s="240"/>
      <c r="Z14" s="225"/>
    </row>
    <row r="15" spans="1:29" ht="18" customHeight="1">
      <c r="A15" s="185">
        <v>82.59</v>
      </c>
      <c r="B15" s="186" t="s">
        <v>204</v>
      </c>
      <c r="C15" s="187" t="s">
        <v>43</v>
      </c>
      <c r="D15" s="187" t="s">
        <v>137</v>
      </c>
      <c r="E15" s="187" t="s">
        <v>218</v>
      </c>
      <c r="F15" s="189"/>
      <c r="G15" s="212" t="s">
        <v>219</v>
      </c>
      <c r="H15" s="213">
        <v>80</v>
      </c>
      <c r="I15" s="214">
        <v>85</v>
      </c>
      <c r="J15" s="214">
        <v>88</v>
      </c>
      <c r="K15" s="213">
        <v>99</v>
      </c>
      <c r="L15" s="214">
        <v>103</v>
      </c>
      <c r="M15" s="214">
        <v>105</v>
      </c>
      <c r="N15" s="209">
        <f>IF(MAX(H15:J15)&gt;0,IF(MAX(H15:J15)&lt;0,0,TRUNC(MAX(H15:J15)/1)*1),"")</f>
        <v>88</v>
      </c>
      <c r="O15" s="210">
        <f>IF(MAX(K15:M15)&gt;0,IF(MAX(K15:M15)&lt;0,0,TRUNC(MAX(K15:M15)/1)*1),"")</f>
        <v>105</v>
      </c>
      <c r="P15" s="211">
        <f>IF(N15="","",IF(O15="","",IF(SUM(N15:O15)=0,"",SUM(N15:O15))))</f>
        <v>193</v>
      </c>
      <c r="Q15" s="223">
        <f>IF(P15="","",IF(A15="","",IF(OR(C15="UK",C15="JK",C15="SK",C15="K1",C15="K2",C15="K3",C15="K4",C15="K5",C15="K6",C15="K7",C15="K8",C15="K9",C15="K10"),IF(A15&gt;153.655,P15,IF(A15&lt;28,10^(0.783497476*LOG10(28/153.655)^2)*P15,10^(0.783497476*LOG10(A15/153.655)^2)*P15)),IF(A15&gt;175.508,P15,IF(A15&lt;32,10^(0.75194503*LOG10(32/175.508)^2)*P15,10^(0.75194503*LOG10(A15/175.508)^2)*P15)))))</f>
        <v>232.35061562367059</v>
      </c>
      <c r="R15" s="224" t="str">
        <f>IF(OR(E15="",A15="",Z15="",Q15=""),"",IF(OR(C15="UM",C15="JM",C15="SM",C15="UK",C15="JK",C15="SK"),"",Q15*(IF(ABS(1900-YEAR((Z15+1)-E15))&lt;29,0,(VLOOKUP((YEAR(Z15)-YEAR(E15)),'Meltzer-Malone'!$A$3:$B$63,2))))))</f>
        <v/>
      </c>
      <c r="S15" s="174">
        <f>IF('K9'!G13="","",'K9'!G13)</f>
        <v>7.39</v>
      </c>
      <c r="T15" s="174">
        <f>IF('K9'!K13="","",'K9'!K13)</f>
        <v>12.32</v>
      </c>
      <c r="U15" s="174">
        <f>IF('K9'!N13="","",'K9'!N13)</f>
        <v>6.83</v>
      </c>
      <c r="V15" s="163"/>
      <c r="W15" s="164"/>
      <c r="X15" s="175"/>
      <c r="Y15" s="176" t="s">
        <v>42</v>
      </c>
      <c r="Z15" s="225">
        <f>U5</f>
        <v>43358</v>
      </c>
    </row>
    <row r="16" spans="1:29" ht="18" customHeight="1">
      <c r="A16" s="165"/>
      <c r="B16" s="166"/>
      <c r="C16" s="167"/>
      <c r="D16" s="168"/>
      <c r="E16" s="215"/>
      <c r="F16" s="193"/>
      <c r="G16" s="216" t="s">
        <v>220</v>
      </c>
      <c r="H16" s="338"/>
      <c r="I16" s="339"/>
      <c r="J16" s="340"/>
      <c r="K16" s="341"/>
      <c r="L16" s="342"/>
      <c r="M16" s="343"/>
      <c r="N16" s="167"/>
      <c r="O16" s="171"/>
      <c r="P16" s="334">
        <f>IF(Q15="","",Q15*1.2)</f>
        <v>278.82073874840472</v>
      </c>
      <c r="Q16" s="334"/>
      <c r="R16" s="222"/>
      <c r="S16" s="172">
        <f>IF(S15="","",S15*20)</f>
        <v>147.79999999999998</v>
      </c>
      <c r="T16" s="172">
        <f>IF(T15="","",T15*11)</f>
        <v>135.52000000000001</v>
      </c>
      <c r="U16" s="173">
        <f>IF(U15="","",IF((80+(8-ROUNDUP(U15,1))*40)&lt;0,0,80+(8-ROUNDUP(U15,1))*40))</f>
        <v>124.00000000000003</v>
      </c>
      <c r="V16" s="237">
        <f>IF(SUM(S16,T16,U16)&gt;0,SUM(S16,T16,U16),"")</f>
        <v>407.32000000000005</v>
      </c>
      <c r="W16" s="238">
        <f>IF(OR(P16="",S16="",T16="",U16=""),"",SUM(P16,S16,T16,U16))</f>
        <v>686.14073874840471</v>
      </c>
      <c r="X16" s="239">
        <v>17</v>
      </c>
      <c r="Y16" s="240"/>
      <c r="Z16" s="225"/>
    </row>
    <row r="17" spans="1:29" ht="18" customHeight="1">
      <c r="A17" s="185">
        <v>80.56</v>
      </c>
      <c r="B17" s="186" t="s">
        <v>204</v>
      </c>
      <c r="C17" s="187" t="s">
        <v>43</v>
      </c>
      <c r="D17" s="186" t="s">
        <v>137</v>
      </c>
      <c r="E17" s="188">
        <v>35261</v>
      </c>
      <c r="F17" s="189"/>
      <c r="G17" s="190" t="s">
        <v>221</v>
      </c>
      <c r="H17" s="207">
        <v>-83</v>
      </c>
      <c r="I17" s="208">
        <v>83</v>
      </c>
      <c r="J17" s="208">
        <v>-87</v>
      </c>
      <c r="K17" s="207">
        <v>105</v>
      </c>
      <c r="L17" s="208">
        <v>111</v>
      </c>
      <c r="M17" s="208">
        <v>-113</v>
      </c>
      <c r="N17" s="209">
        <f>IF(MAX(H17:J17)&gt;0,IF(MAX(H17:J17)&lt;0,0,TRUNC(MAX(H17:J17)/1)*1),"")</f>
        <v>83</v>
      </c>
      <c r="O17" s="210">
        <f>IF(MAX(K17:M17)&gt;0,IF(MAX(K17:M17)&lt;0,0,TRUNC(MAX(K17:M17)/1)*1),"")</f>
        <v>111</v>
      </c>
      <c r="P17" s="211">
        <f>IF(N17="","",IF(O17="","",IF(SUM(N17:O17)=0,"",SUM(N17:O17))))</f>
        <v>194</v>
      </c>
      <c r="Q17" s="223">
        <f>IF(P17="","",IF(A17="","",IF(OR(C17="UK",C17="JK",C17="SK",C17="K1",C17="K2",C17="K3",C17="K4",C17="K5",C17="K6",C17="K7",C17="K8",C17="K9",C17="K10"),IF(A17&gt;153.655,P17,IF(A17&lt;28,10^(0.783497476*LOG10(28/153.655)^2)*P17,10^(0.783497476*LOG10(A17/153.655)^2)*P17)),IF(A17&gt;175.508,P17,IF(A17&lt;32,10^(0.75194503*LOG10(32/175.508)^2)*P17,10^(0.75194503*LOG10(A17/175.508)^2)*P17)))))</f>
        <v>236.48149758762926</v>
      </c>
      <c r="R17" s="224" t="str">
        <f>IF(OR(E17="",A17="",Z17="",Q17=""),"",IF(OR(C17="UM",C17="JM",C17="SM",C17="UK",C17="JK",C17="SK"),"",Q17*(IF(ABS(1900-YEAR((Z17+1)-E17))&lt;29,0,(VLOOKUP((YEAR(Z17)-YEAR(E17)),'Meltzer-Malone'!$A$3:$B$63,2))))))</f>
        <v/>
      </c>
      <c r="S17" s="174">
        <f>IF('K9'!G15="","",'K9'!G15)</f>
        <v>9.08</v>
      </c>
      <c r="T17" s="174">
        <f>IF('K9'!K15="","",'K9'!K15)</f>
        <v>16.41</v>
      </c>
      <c r="U17" s="174">
        <f>IF('K9'!N15="","",'K9'!N15)</f>
        <v>6.3</v>
      </c>
      <c r="V17" s="163"/>
      <c r="W17" s="164"/>
      <c r="X17" s="175"/>
      <c r="Y17" s="176"/>
      <c r="Z17" s="225">
        <f>U5</f>
        <v>43358</v>
      </c>
    </row>
    <row r="18" spans="1:29" ht="18" customHeight="1">
      <c r="A18" s="165"/>
      <c r="B18" s="166"/>
      <c r="C18" s="167"/>
      <c r="D18" s="168"/>
      <c r="E18" s="169"/>
      <c r="F18" s="193"/>
      <c r="G18" s="170" t="s">
        <v>108</v>
      </c>
      <c r="H18" s="338"/>
      <c r="I18" s="339"/>
      <c r="J18" s="340"/>
      <c r="K18" s="341"/>
      <c r="L18" s="342"/>
      <c r="M18" s="343"/>
      <c r="N18" s="167"/>
      <c r="O18" s="171"/>
      <c r="P18" s="334">
        <f>IF(Q17="","",Q17*1.2)</f>
        <v>283.77779710515512</v>
      </c>
      <c r="Q18" s="334"/>
      <c r="R18" s="222"/>
      <c r="S18" s="172">
        <f>IF(S17="","",S17*20)</f>
        <v>181.6</v>
      </c>
      <c r="T18" s="172">
        <f>IF(T17="","",T17*11)</f>
        <v>180.51</v>
      </c>
      <c r="U18" s="173">
        <f>IF(U17="","",IF((80+(8-ROUNDUP(U17,1))*40)&lt;0,0,80+(8-ROUNDUP(U17,1))*40))</f>
        <v>148</v>
      </c>
      <c r="V18" s="237">
        <f>IF(SUM(S18,T18,U18)&gt;0,SUM(S18,T18,U18),"")</f>
        <v>510.11</v>
      </c>
      <c r="W18" s="238">
        <f>IF(OR(P18="",S18="",T18="",U18=""),"",SUM(P18,S18,T18,U18))</f>
        <v>793.88779710515507</v>
      </c>
      <c r="X18" s="239">
        <v>9</v>
      </c>
      <c r="Y18" s="240"/>
      <c r="Z18" s="225"/>
      <c r="AC18" t="s">
        <v>42</v>
      </c>
    </row>
    <row r="19" spans="1:29" ht="18" customHeight="1">
      <c r="A19" s="185">
        <v>91.55</v>
      </c>
      <c r="B19" s="206" t="s">
        <v>187</v>
      </c>
      <c r="C19" s="187" t="s">
        <v>43</v>
      </c>
      <c r="D19" s="186" t="s">
        <v>137</v>
      </c>
      <c r="E19" s="188">
        <v>32027</v>
      </c>
      <c r="F19" s="189"/>
      <c r="G19" s="190" t="s">
        <v>222</v>
      </c>
      <c r="H19" s="207">
        <v>85</v>
      </c>
      <c r="I19" s="208">
        <v>89</v>
      </c>
      <c r="J19" s="208">
        <v>91</v>
      </c>
      <c r="K19" s="207">
        <v>105</v>
      </c>
      <c r="L19" s="208">
        <v>110</v>
      </c>
      <c r="M19" s="208">
        <v>114</v>
      </c>
      <c r="N19" s="209">
        <f>IF(MAX(H19:J19)&gt;0,IF(MAX(H19:J19)&lt;0,0,TRUNC(MAX(H19:J19)/1)*1),"")</f>
        <v>91</v>
      </c>
      <c r="O19" s="210">
        <f>IF(MAX(K19:M19)&gt;0,IF(MAX(K19:M19)&lt;0,0,TRUNC(MAX(K19:M19)/1)*1),"")</f>
        <v>114</v>
      </c>
      <c r="P19" s="211">
        <f>IF(N19="","",IF(O19="","",IF(SUM(N19:O19)=0,"",SUM(N19:O19))))</f>
        <v>205</v>
      </c>
      <c r="Q19" s="223">
        <f>IF(P19="","",IF(A19="","",IF(OR(C19="UK",C19="JK",C19="SK",C19="K1",C19="K2",C19="K3",C19="K4",C19="K5",C19="K6",C19="K7",C19="K8",C19="K9",C19="K10"),IF(A19&gt;153.655,P19,IF(A19&lt;28,10^(0.783497476*LOG10(28/153.655)^2)*P19,10^(0.783497476*LOG10(A19/153.655)^2)*P19)),IF(A19&gt;175.508,P19,IF(A19&lt;32,10^(0.75194503*LOG10(32/175.508)^2)*P19,10^(0.75194503*LOG10(A19/175.508)^2)*P19)))))</f>
        <v>235.40878144087392</v>
      </c>
      <c r="R19" s="224" t="str">
        <f>IF(OR(E19="",A19="",Z19="",Q19=""),"",IF(OR(C19="UM",C19="JM",C19="SM",C19="UK",C19="JK",C19="SK"),"",Q19*(IF(ABS(1900-YEAR((Z19+1)-E19))&lt;29,0,(VLOOKUP((YEAR(Z19)-YEAR(E19)),'Meltzer-Malone'!$A$3:$B$63,2))))))</f>
        <v/>
      </c>
      <c r="S19" s="174">
        <f>IF('K9'!G17="","",'K9'!G17)</f>
        <v>8.0500000000000007</v>
      </c>
      <c r="T19" s="174">
        <f>IF('K9'!K17="","",'K9'!K17)</f>
        <v>13.63</v>
      </c>
      <c r="U19" s="174">
        <f>IF('K9'!N17="","",'K9'!N17)</f>
        <v>6.71</v>
      </c>
      <c r="V19" s="163"/>
      <c r="W19" s="164"/>
      <c r="X19" s="175"/>
      <c r="Y19" s="176"/>
      <c r="Z19" s="225">
        <f>U5</f>
        <v>43358</v>
      </c>
    </row>
    <row r="20" spans="1:29" ht="18" customHeight="1">
      <c r="A20" s="165"/>
      <c r="B20" s="166"/>
      <c r="C20" s="167"/>
      <c r="D20" s="168"/>
      <c r="E20" s="169"/>
      <c r="F20" s="193"/>
      <c r="G20" s="170" t="s">
        <v>94</v>
      </c>
      <c r="H20" s="338"/>
      <c r="I20" s="339"/>
      <c r="J20" s="340"/>
      <c r="K20" s="341"/>
      <c r="L20" s="342"/>
      <c r="M20" s="343"/>
      <c r="N20" s="167"/>
      <c r="O20" s="171"/>
      <c r="P20" s="334">
        <f>IF(Q19="","",Q19*1.2)</f>
        <v>282.4905377290487</v>
      </c>
      <c r="Q20" s="334"/>
      <c r="R20" s="222"/>
      <c r="S20" s="172">
        <f>IF(S19="","",S19*20)</f>
        <v>161</v>
      </c>
      <c r="T20" s="172">
        <f>IF(T19="","",T19*11)</f>
        <v>149.93</v>
      </c>
      <c r="U20" s="173">
        <f>IF(U19="","",IF((80+(8-ROUNDUP(U19,1))*40)&lt;0,0,80+(8-ROUNDUP(U19,1))*40))</f>
        <v>128</v>
      </c>
      <c r="V20" s="237">
        <f>IF(SUM(S20,T20,U20)&gt;0,SUM(S20,T20,U20),"")</f>
        <v>438.93</v>
      </c>
      <c r="W20" s="238">
        <f>IF(OR(P20="",S20="",T20="",U20=""),"",SUM(P20,S20,T20,U20))</f>
        <v>721.42053772904865</v>
      </c>
      <c r="X20" s="239">
        <v>15</v>
      </c>
      <c r="Y20" s="240"/>
      <c r="Z20" s="225"/>
    </row>
    <row r="21" spans="1:29" ht="18" customHeight="1">
      <c r="A21" s="185">
        <v>100.95</v>
      </c>
      <c r="B21" s="186" t="s">
        <v>223</v>
      </c>
      <c r="C21" s="187" t="s">
        <v>43</v>
      </c>
      <c r="D21" s="186" t="s">
        <v>137</v>
      </c>
      <c r="E21" s="188">
        <v>32064</v>
      </c>
      <c r="F21" s="189"/>
      <c r="G21" s="190" t="s">
        <v>224</v>
      </c>
      <c r="H21" s="207">
        <v>75</v>
      </c>
      <c r="I21" s="208">
        <v>81</v>
      </c>
      <c r="J21" s="208">
        <v>-83</v>
      </c>
      <c r="K21" s="207">
        <v>-102</v>
      </c>
      <c r="L21" s="208">
        <v>-102</v>
      </c>
      <c r="M21" s="208">
        <v>102</v>
      </c>
      <c r="N21" s="209">
        <f>IF(MAX(H21:J21)&gt;0,IF(MAX(H21:J21)&lt;0,0,TRUNC(MAX(H21:J21)/1)*1),"")</f>
        <v>81</v>
      </c>
      <c r="O21" s="210">
        <f>IF(MAX(K21:M21)&gt;0,IF(MAX(K21:M21)&lt;0,0,TRUNC(MAX(K21:M21)/1)*1),"")</f>
        <v>102</v>
      </c>
      <c r="P21" s="211">
        <f>IF(N21="","",IF(O21="","",IF(SUM(N21:O21)=0,"",SUM(N21:O21))))</f>
        <v>183</v>
      </c>
      <c r="Q21" s="223">
        <f>IF(P21="","",IF(A21="","",IF(OR(C21="UK",C21="JK",C21="SK",C21="K1",C21="K2",C21="K3",C21="K4",C21="K5",C21="K6",C21="K7",C21="K8",C21="K9",C21="K10"),IF(A21&gt;153.655,P21,IF(A21&lt;28,10^(0.783497476*LOG10(28/153.655)^2)*P21,10^(0.783497476*LOG10(A21/153.655)^2)*P21)),IF(A21&gt;175.508,P21,IF(A21&lt;32,10^(0.75194503*LOG10(32/175.508)^2)*P21,10^(0.75194503*LOG10(A21/175.508)^2)*P21)))))</f>
        <v>202.22364892875569</v>
      </c>
      <c r="R21" s="224" t="str">
        <f>IF(OR(E21="",A21="",Z21="",Q21=""),"",IF(OR(C21="UM",C21="JM",C21="SM",C21="UK",C21="JK",C21="SK"),"",Q21*(IF(ABS(1900-YEAR((Z21+1)-E21))&lt;29,0,(VLOOKUP((YEAR(Z21)-YEAR(E21)),'Meltzer-Malone'!$A$3:$B$63,2))))))</f>
        <v/>
      </c>
      <c r="S21" s="174">
        <f>IF('K9'!G19="","",'K9'!G19)</f>
        <v>5.72</v>
      </c>
      <c r="T21" s="174">
        <f>IF('K9'!K19="","",'K9'!K19)</f>
        <v>9.18</v>
      </c>
      <c r="U21" s="174">
        <f>IF('K9'!N19="","",'K9'!N19)</f>
        <v>8.9</v>
      </c>
      <c r="V21" s="163"/>
      <c r="W21" s="164"/>
      <c r="X21" s="175"/>
      <c r="Y21" s="176"/>
      <c r="Z21" s="225">
        <f>U5</f>
        <v>43358</v>
      </c>
    </row>
    <row r="22" spans="1:29" ht="18" customHeight="1">
      <c r="A22" s="165"/>
      <c r="B22" s="166"/>
      <c r="C22" s="167"/>
      <c r="D22" s="168"/>
      <c r="E22" s="169"/>
      <c r="F22" s="193"/>
      <c r="G22" s="170" t="s">
        <v>94</v>
      </c>
      <c r="H22" s="338"/>
      <c r="I22" s="339"/>
      <c r="J22" s="340"/>
      <c r="K22" s="341"/>
      <c r="L22" s="342"/>
      <c r="M22" s="343"/>
      <c r="N22" s="167"/>
      <c r="O22" s="171"/>
      <c r="P22" s="334">
        <f>IF(Q21="","",Q21*1.2)</f>
        <v>242.66837871450682</v>
      </c>
      <c r="Q22" s="334"/>
      <c r="R22" s="222"/>
      <c r="S22" s="172">
        <f>IF(S21="","",S21*20)</f>
        <v>114.39999999999999</v>
      </c>
      <c r="T22" s="172">
        <f>IF(T21="","",T21*11)</f>
        <v>100.97999999999999</v>
      </c>
      <c r="U22" s="173">
        <f>IF(U21="","",IF((80+(8-ROUNDUP(U21,1))*40)&lt;0,0,80+(8-ROUNDUP(U21,1))*40))</f>
        <v>43.999999999999986</v>
      </c>
      <c r="V22" s="237">
        <f>IF(SUM(S22,T22,U22)&gt;0,SUM(S22,T22,U22),"")</f>
        <v>259.38</v>
      </c>
      <c r="W22" s="238">
        <f>IF(OR(P22="",S22="",T22="",U22=""),"",SUM(P22,S22,T22,U22))</f>
        <v>502.04837871450684</v>
      </c>
      <c r="X22" s="239">
        <v>19</v>
      </c>
      <c r="Y22" s="240"/>
      <c r="Z22" s="225"/>
    </row>
    <row r="23" spans="1:29" ht="18" customHeight="1">
      <c r="A23" s="185">
        <v>68.48</v>
      </c>
      <c r="B23" s="186" t="s">
        <v>128</v>
      </c>
      <c r="C23" s="187" t="s">
        <v>43</v>
      </c>
      <c r="D23" s="187" t="s">
        <v>137</v>
      </c>
      <c r="E23" s="187" t="s">
        <v>225</v>
      </c>
      <c r="F23" s="189"/>
      <c r="G23" s="212" t="s">
        <v>226</v>
      </c>
      <c r="H23" s="213">
        <v>-90</v>
      </c>
      <c r="I23" s="214">
        <v>91</v>
      </c>
      <c r="J23" s="214">
        <v>95</v>
      </c>
      <c r="K23" s="213">
        <v>105</v>
      </c>
      <c r="L23" s="214">
        <v>110</v>
      </c>
      <c r="M23" s="214">
        <v>-115</v>
      </c>
      <c r="N23" s="209">
        <f>IF(MAX(H23:J23)&gt;0,IF(MAX(H23:J23)&lt;0,0,TRUNC(MAX(H23:J23)/1)*1),"")</f>
        <v>95</v>
      </c>
      <c r="O23" s="210">
        <f>IF(MAX(K23:M23)&gt;0,IF(MAX(K23:M23)&lt;0,0,TRUNC(MAX(K23:M23)/1)*1),"")</f>
        <v>110</v>
      </c>
      <c r="P23" s="211">
        <f>IF(N23="","",IF(O23="","",IF(SUM(N23:O23)=0,"",SUM(N23:O23))))</f>
        <v>205</v>
      </c>
      <c r="Q23" s="223">
        <f>IF(P23="","",IF(A23="","",IF(OR(C23="UK",C23="JK",C23="SK",C23="K1",C23="K2",C23="K3",C23="K4",C23="K5",C23="K6",C23="K7",C23="K8",C23="K9",C23="K10"),IF(A23&gt;153.655,P23,IF(A23&lt;28,10^(0.783497476*LOG10(28/153.655)^2)*P23,10^(0.783497476*LOG10(A23/153.655)^2)*P23)),IF(A23&gt;175.508,P23,IF(A23&lt;32,10^(0.75194503*LOG10(32/175.508)^2)*P23,10^(0.75194503*LOG10(A23/175.508)^2)*P23)))))</f>
        <v>273.7637263744856</v>
      </c>
      <c r="R23" s="224" t="str">
        <f>IF(OR(E23="",A23="",Z23="",Q23=""),"",IF(OR(C23="UM",C23="JM",C23="SM",C23="UK",C23="JK",C23="SK"),"",Q23*(IF(ABS(1900-YEAR((Z23+1)-E23))&lt;29,0,(VLOOKUP((YEAR(Z23)-YEAR(E23)),'Meltzer-Malone'!$A$3:$B$63,2))))))</f>
        <v/>
      </c>
      <c r="S23" s="174">
        <f>IF('K9'!G21="","",'K9'!G21)</f>
        <v>8</v>
      </c>
      <c r="T23" s="174">
        <f>IF('K9'!K21="","",'K9'!K21)</f>
        <v>13.19</v>
      </c>
      <c r="U23" s="174">
        <f>IF('K9'!N21="","",'K9'!N21)</f>
        <v>6.52</v>
      </c>
      <c r="V23" s="163"/>
      <c r="W23" s="164"/>
      <c r="X23" s="175"/>
      <c r="Y23" s="176"/>
      <c r="Z23" s="225">
        <f>U5</f>
        <v>43358</v>
      </c>
    </row>
    <row r="24" spans="1:29" ht="18" customHeight="1">
      <c r="A24" s="165"/>
      <c r="B24" s="166"/>
      <c r="C24" s="167"/>
      <c r="D24" s="168"/>
      <c r="E24" s="215"/>
      <c r="F24" s="193"/>
      <c r="G24" s="216" t="s">
        <v>97</v>
      </c>
      <c r="H24" s="338"/>
      <c r="I24" s="339"/>
      <c r="J24" s="340"/>
      <c r="K24" s="341"/>
      <c r="L24" s="342"/>
      <c r="M24" s="343"/>
      <c r="N24" s="167"/>
      <c r="O24" s="171"/>
      <c r="P24" s="334">
        <f>IF(Q23="","",Q23*1.2)</f>
        <v>328.51647164938271</v>
      </c>
      <c r="Q24" s="334"/>
      <c r="R24" s="222"/>
      <c r="S24" s="172">
        <f>IF(S23="","",S23*20)</f>
        <v>160</v>
      </c>
      <c r="T24" s="172">
        <f>IF(T23="","",T23*11)</f>
        <v>145.09</v>
      </c>
      <c r="U24" s="173">
        <f>IF(U23="","",IF((80+(8-ROUNDUP(U23,1))*40)&lt;0,0,80+(8-ROUNDUP(U23,1))*40))</f>
        <v>136</v>
      </c>
      <c r="V24" s="237">
        <f>IF(SUM(S24,T24,U24)&gt;0,SUM(S24,T24,U24),"")</f>
        <v>441.09000000000003</v>
      </c>
      <c r="W24" s="238">
        <f>IF(OR(P24="",S24="",T24="",U24=""),"",SUM(P24,S24,T24,U24))</f>
        <v>769.60647164938268</v>
      </c>
      <c r="X24" s="239">
        <v>11</v>
      </c>
      <c r="Y24" s="240"/>
      <c r="Z24" s="225"/>
    </row>
    <row r="25" spans="1:29" ht="18" customHeight="1">
      <c r="A25" s="185">
        <v>76.3</v>
      </c>
      <c r="B25" s="206" t="s">
        <v>183</v>
      </c>
      <c r="C25" s="187" t="s">
        <v>43</v>
      </c>
      <c r="D25" s="186" t="s">
        <v>137</v>
      </c>
      <c r="E25" s="188">
        <v>33260</v>
      </c>
      <c r="F25" s="189"/>
      <c r="G25" s="190" t="s">
        <v>227</v>
      </c>
      <c r="H25" s="207">
        <v>95</v>
      </c>
      <c r="I25" s="208">
        <v>-99</v>
      </c>
      <c r="J25" s="208">
        <v>-99</v>
      </c>
      <c r="K25" s="207">
        <v>115</v>
      </c>
      <c r="L25" s="208">
        <v>120</v>
      </c>
      <c r="M25" s="208">
        <v>-125</v>
      </c>
      <c r="N25" s="209">
        <f>IF(MAX(H25:J25)&gt;0,IF(MAX(H25:J25)&lt;0,0,TRUNC(MAX(H25:J25)/1)*1),"")</f>
        <v>95</v>
      </c>
      <c r="O25" s="210">
        <f>IF(MAX(K25:M25)&gt;0,IF(MAX(K25:M25)&lt;0,0,TRUNC(MAX(K25:M25)/1)*1),"")</f>
        <v>120</v>
      </c>
      <c r="P25" s="211">
        <f>IF(N25="","",IF(O25="","",IF(SUM(N25:O25)=0,"",SUM(N25:O25))))</f>
        <v>215</v>
      </c>
      <c r="Q25" s="223">
        <f>IF(P25="","",IF(A25="","",IF(OR(C25="UK",C25="JK",C25="SK",C25="K1",C25="K2",C25="K3",C25="K4",C25="K5",C25="K6",C25="K7",C25="K8",C25="K9",C25="K10"),IF(A25&gt;153.655,P25,IF(A25&lt;28,10^(0.783497476*LOG10(28/153.655)^2)*P25,10^(0.783497476*LOG10(A25/153.655)^2)*P25)),IF(A25&gt;175.508,P25,IF(A25&lt;32,10^(0.75194503*LOG10(32/175.508)^2)*P25,10^(0.75194503*LOG10(A25/175.508)^2)*P25)))))</f>
        <v>269.68231327313993</v>
      </c>
      <c r="R25" s="224" t="str">
        <f>IF(OR(E25="",A25="",Z25="",Q25=""),"",IF(OR(C25="UM",C25="JM",C25="SM",C25="UK",C25="JK",C25="SK"),"",Q25*(IF(ABS(1900-YEAR((Z25+1)-E25))&lt;29,0,(VLOOKUP((YEAR(Z25)-YEAR(E25)),'Meltzer-Malone'!$A$3:$B$63,2))))))</f>
        <v/>
      </c>
      <c r="S25" s="174">
        <f>IF('K9'!G23="","",'K9'!G23)</f>
        <v>9.41</v>
      </c>
      <c r="T25" s="174">
        <f>IF('K9'!K23="","",'K9'!K23)</f>
        <v>14.36</v>
      </c>
      <c r="U25" s="174">
        <f>IF('K9'!N23="","",'K9'!N23)</f>
        <v>6</v>
      </c>
      <c r="V25" s="163"/>
      <c r="W25" s="164"/>
      <c r="X25" s="175"/>
      <c r="Y25" s="176"/>
      <c r="Z25" s="225">
        <f>U5</f>
        <v>43358</v>
      </c>
    </row>
    <row r="26" spans="1:29" ht="18" customHeight="1">
      <c r="A26" s="165"/>
      <c r="B26" s="166"/>
      <c r="C26" s="167"/>
      <c r="D26" s="168"/>
      <c r="E26" s="169"/>
      <c r="F26" s="193"/>
      <c r="G26" s="170" t="s">
        <v>94</v>
      </c>
      <c r="H26" s="338"/>
      <c r="I26" s="339"/>
      <c r="J26" s="340"/>
      <c r="K26" s="341"/>
      <c r="L26" s="342"/>
      <c r="M26" s="343"/>
      <c r="N26" s="167"/>
      <c r="O26" s="171"/>
      <c r="P26" s="334">
        <f>IF(Q25="","",Q25*1.2)</f>
        <v>323.6187759277679</v>
      </c>
      <c r="Q26" s="334"/>
      <c r="R26" s="222"/>
      <c r="S26" s="172">
        <f>IF(S25="","",S25*20)</f>
        <v>188.2</v>
      </c>
      <c r="T26" s="172">
        <f>IF(T25="","",T25*11)</f>
        <v>157.95999999999998</v>
      </c>
      <c r="U26" s="173">
        <f>IF(U25="","",IF((80+(8-ROUNDUP(U25,1))*40)&lt;0,0,80+(8-ROUNDUP(U25,1))*40))</f>
        <v>160</v>
      </c>
      <c r="V26" s="237">
        <f>IF(SUM(S26,T26,U26)&gt;0,SUM(S26,T26,U26),"")</f>
        <v>506.15999999999997</v>
      </c>
      <c r="W26" s="238">
        <f>IF(OR(P26="",S26="",T26="",U26=""),"",SUM(P26,S26,T26,U26))</f>
        <v>829.77877592776781</v>
      </c>
      <c r="X26" s="239">
        <v>6</v>
      </c>
      <c r="Y26" s="240"/>
      <c r="Z26" s="225"/>
    </row>
    <row r="27" spans="1:29" ht="18" customHeight="1">
      <c r="A27" s="185">
        <v>88.42</v>
      </c>
      <c r="B27" s="186" t="s">
        <v>187</v>
      </c>
      <c r="C27" s="187" t="s">
        <v>37</v>
      </c>
      <c r="D27" s="187" t="s">
        <v>137</v>
      </c>
      <c r="E27" s="187" t="s">
        <v>228</v>
      </c>
      <c r="F27" s="189"/>
      <c r="G27" s="212" t="s">
        <v>229</v>
      </c>
      <c r="H27" s="213">
        <v>90</v>
      </c>
      <c r="I27" s="214">
        <v>-95</v>
      </c>
      <c r="J27" s="214">
        <v>-100</v>
      </c>
      <c r="K27" s="213">
        <v>114</v>
      </c>
      <c r="L27" s="214">
        <v>-120</v>
      </c>
      <c r="M27" s="214">
        <v>-125</v>
      </c>
      <c r="N27" s="209">
        <f>IF(MAX(H27:J27)&gt;0,IF(MAX(H27:J27)&lt;0,0,TRUNC(MAX(H27:J27)/1)*1),"")</f>
        <v>90</v>
      </c>
      <c r="O27" s="210">
        <f>IF(MAX(K27:M27)&gt;0,IF(MAX(K27:M27)&lt;0,0,TRUNC(MAX(K27:M27)/1)*1),"")</f>
        <v>114</v>
      </c>
      <c r="P27" s="211">
        <f>IF(N27="","",IF(O27="","",IF(SUM(N27:O27)=0,"",SUM(N27:O27))))</f>
        <v>204</v>
      </c>
      <c r="Q27" s="223">
        <f>IF(P27="","",IF(A27="","",IF(OR(C27="UK",C27="JK",C27="SK",C27="K1",C27="K2",C27="K3",C27="K4",C27="K5",C27="K6",C27="K7",C27="K8",C27="K9",C27="K10"),IF(A27&gt;153.655,P27,IF(A27&lt;28,10^(0.783497476*LOG10(28/153.655)^2)*P27,10^(0.783497476*LOG10(A27/153.655)^2)*P27)),IF(A27&gt;175.508,P27,IF(A27&lt;32,10^(0.75194503*LOG10(32/175.508)^2)*P27,10^(0.75194503*LOG10(A27/175.508)^2)*P27)))))</f>
        <v>237.84405034369772</v>
      </c>
      <c r="R27" s="224" t="str">
        <f>IF(OR(E27="",A27="",Z27="",Q27=""),"",IF(OR(C27="UM",C27="JM",C27="SM",C27="UK",C27="JK",C27="SK"),"",Q27*(IF(ABS(1900-YEAR((Z27+1)-E27))&lt;29,0,(VLOOKUP((YEAR(Z27)-YEAR(E27)),'Meltzer-Malone'!$A$3:$B$63,2))))))</f>
        <v/>
      </c>
      <c r="S27" s="174">
        <f>IF('K9'!G25="","",'K9'!G25)</f>
        <v>9.2200000000000006</v>
      </c>
      <c r="T27" s="174">
        <f>IF('K9'!K25="","",'K9'!K25)</f>
        <v>17.12</v>
      </c>
      <c r="U27" s="174">
        <f>IF('K9'!N25="","",'K9'!N25)</f>
        <v>6.15</v>
      </c>
      <c r="V27" s="163"/>
      <c r="W27" s="164"/>
      <c r="X27" s="175"/>
      <c r="Y27" s="176"/>
      <c r="Z27" s="225">
        <f>U5</f>
        <v>43358</v>
      </c>
    </row>
    <row r="28" spans="1:29" ht="18" customHeight="1">
      <c r="A28" s="165"/>
      <c r="B28" s="166"/>
      <c r="C28" s="167"/>
      <c r="D28" s="168"/>
      <c r="E28" s="215"/>
      <c r="F28" s="193"/>
      <c r="G28" s="216" t="s">
        <v>5</v>
      </c>
      <c r="H28" s="338"/>
      <c r="I28" s="339"/>
      <c r="J28" s="340"/>
      <c r="K28" s="341"/>
      <c r="L28" s="342"/>
      <c r="M28" s="343"/>
      <c r="N28" s="167"/>
      <c r="O28" s="171"/>
      <c r="P28" s="334">
        <f>IF(Q27="","",Q27*1.2)</f>
        <v>285.41286041243723</v>
      </c>
      <c r="Q28" s="334"/>
      <c r="R28" s="222"/>
      <c r="S28" s="172">
        <f>IF(S27="","",S27*20)</f>
        <v>184.4</v>
      </c>
      <c r="T28" s="172">
        <f>IF(T27="","",T27*11)</f>
        <v>188.32000000000002</v>
      </c>
      <c r="U28" s="173">
        <f>IF(U27="","",IF((80+(8-ROUNDUP(U27,1))*40)&lt;0,0,80+(8-ROUNDUP(U27,1))*40))</f>
        <v>152.00000000000003</v>
      </c>
      <c r="V28" s="237">
        <f>IF(SUM(S28,T28,U28)&gt;0,SUM(S28,T28,U28),"")</f>
        <v>524.72</v>
      </c>
      <c r="W28" s="238">
        <f>IF(OR(P28="",S28="",T28="",U28=""),"",SUM(P28,S28,T28,U28))</f>
        <v>810.13286041243725</v>
      </c>
      <c r="X28" s="239">
        <v>8</v>
      </c>
      <c r="Y28" s="240"/>
      <c r="Z28" s="226"/>
    </row>
    <row r="29" spans="1:29" ht="18" customHeight="1">
      <c r="A29" s="185"/>
      <c r="B29" s="206"/>
      <c r="C29" s="187"/>
      <c r="D29" s="186"/>
      <c r="E29" s="188"/>
      <c r="F29" s="189"/>
      <c r="G29" s="190"/>
      <c r="H29" s="207"/>
      <c r="I29" s="208"/>
      <c r="J29" s="208"/>
      <c r="K29" s="207"/>
      <c r="L29" s="208"/>
      <c r="M29" s="208"/>
      <c r="N29" s="209" t="str">
        <f>IF(MAX(H29:J29)&gt;0,IF(MAX(H29:J29)&lt;0,0,TRUNC(MAX(H29:J29)/1)*1),"")</f>
        <v/>
      </c>
      <c r="O29" s="210" t="str">
        <f>IF(MAX(K29:M29)&gt;0,IF(MAX(K29:M29)&lt;0,0,TRUNC(MAX(K29:M29)/1)*1),"")</f>
        <v/>
      </c>
      <c r="P29" s="211" t="str">
        <f>IF(N29="","",IF(O29="","",IF(SUM(N29:O29)=0,"",SUM(N29:O29))))</f>
        <v/>
      </c>
      <c r="Q29" s="223" t="str">
        <f>IF(P29="","",IF(A29="","",IF(OR(C29="UK",C29="JK",C29="SK",C29="K1",C29="K2",C29="K3",C29="K4",C29="K5",C29="K6",C29="K7",C29="K8",C29="K9",C29="K10"),IF(A29&gt;153.655,P29,IF(A29&lt;28,10^(0.783497476*LOG10(28/153.655)^2)*P29,10^(0.783497476*LOG10(A29/153.655)^2)*P29)),IF(A29&gt;175.508,P29,IF(A29&lt;32,10^(0.75194503*LOG10(32/175.508)^2)*P29,10^(0.75194503*LOG10(A29/175.508)^2)*P29)))))</f>
        <v/>
      </c>
      <c r="R29" s="224" t="str">
        <f>IF(OR(E29="",A29="",Z29="",Q29=""),"",IF(OR(C29="UM",C29="JM",C29="SM",C29="UK",C29="JK",C29="SK"),"",Q29*(IF(ABS(1900-YEAR((Z29+1)-E29))&lt;29,0,(VLOOKUP((YEAR(Z29)-YEAR(E29)),'Meltzer-Malone'!$A$3:$B$63,2))))))</f>
        <v/>
      </c>
      <c r="S29" s="174" t="str">
        <f>IF('K9'!G27="","",'K9'!G27)</f>
        <v/>
      </c>
      <c r="T29" s="174" t="str">
        <f>IF('K9'!K27="","",'K9'!K27)</f>
        <v/>
      </c>
      <c r="U29" s="174" t="str">
        <f>IF('K9'!N27="","",'K9'!N27)</f>
        <v/>
      </c>
      <c r="V29" s="163"/>
      <c r="W29" s="164"/>
      <c r="X29" s="175"/>
      <c r="Y29" s="176"/>
      <c r="Z29" s="225">
        <f>U5</f>
        <v>43358</v>
      </c>
    </row>
    <row r="30" spans="1:29" ht="18" customHeight="1">
      <c r="A30" s="165"/>
      <c r="B30" s="166"/>
      <c r="C30" s="167"/>
      <c r="D30" s="168"/>
      <c r="E30" s="169"/>
      <c r="F30" s="193"/>
      <c r="G30" s="170"/>
      <c r="H30" s="338"/>
      <c r="I30" s="339"/>
      <c r="J30" s="340"/>
      <c r="K30" s="341"/>
      <c r="L30" s="342"/>
      <c r="M30" s="343"/>
      <c r="N30" s="167"/>
      <c r="O30" s="171"/>
      <c r="P30" s="334" t="str">
        <f>IF(Q29="","",Q29*1.2)</f>
        <v/>
      </c>
      <c r="Q30" s="334"/>
      <c r="R30" s="222"/>
      <c r="S30" s="172" t="str">
        <f>IF(S29="","",S29*20)</f>
        <v/>
      </c>
      <c r="T30" s="172" t="str">
        <f>IF(T29="","",T29*11)</f>
        <v/>
      </c>
      <c r="U30" s="173" t="str">
        <f>IF(U29="","",IF((80+(8-ROUNDUP(U29,1))*40)&lt;0,0,80+(8-ROUNDUP(U29,1))*40))</f>
        <v/>
      </c>
      <c r="V30" s="237" t="str">
        <f>IF(SUM(S30,T30,U30)&gt;0,SUM(S30,T30,U30),"")</f>
        <v/>
      </c>
      <c r="W30" s="238" t="str">
        <f>IF(OR(P30="",S30="",T30="",U30=""),"",SUM(P30,S30,T30,U30))</f>
        <v/>
      </c>
      <c r="X30" s="239"/>
      <c r="Y30" s="240"/>
      <c r="Z30" s="225"/>
    </row>
    <row r="31" spans="1:29" ht="18" customHeight="1">
      <c r="A31" s="185"/>
      <c r="B31" s="186"/>
      <c r="C31" s="187"/>
      <c r="D31" s="187"/>
      <c r="E31" s="187"/>
      <c r="F31" s="189"/>
      <c r="G31" s="212"/>
      <c r="H31" s="213"/>
      <c r="I31" s="214"/>
      <c r="J31" s="214"/>
      <c r="K31" s="213"/>
      <c r="L31" s="214"/>
      <c r="M31" s="214"/>
      <c r="N31" s="209" t="str">
        <f>IF(MAX(H31:J31)&gt;0,IF(MAX(H31:J31)&lt;0,0,TRUNC(MAX(H31:J31)/1)*1),"")</f>
        <v/>
      </c>
      <c r="O31" s="210" t="str">
        <f>IF(MAX(K31:M31)&gt;0,IF(MAX(K31:M31)&lt;0,0,TRUNC(MAX(K31:M31)/1)*1),"")</f>
        <v/>
      </c>
      <c r="P31" s="211" t="str">
        <f>IF(N31="","",IF(O31="","",IF(SUM(N31:O31)=0,"",SUM(N31:O31))))</f>
        <v/>
      </c>
      <c r="Q31" s="223" t="str">
        <f>IF(P31="","",IF(A31="","",IF(OR(C31="UK",C31="JK",C31="SK",C31="K1",C31="K2",C31="K3",C31="K4",C31="K5",C31="K6",C31="K7",C31="K8",C31="K9",C31="K10"),IF(A31&gt;153.655,P31,IF(A31&lt;28,10^(0.783497476*LOG10(28/153.655)^2)*P31,10^(0.783497476*LOG10(A31/153.655)^2)*P31)),IF(A31&gt;175.508,P31,IF(A31&lt;32,10^(0.75194503*LOG10(32/175.508)^2)*P31,10^(0.75194503*LOG10(A31/175.508)^2)*P31)))))</f>
        <v/>
      </c>
      <c r="R31" s="224" t="str">
        <f>IF(OR(E31="",A31="",Z31="",Q31=""),"",IF(OR(C31="UM",C31="JM",C31="SM",C31="UK",C31="JK",C31="SK"),"",Q31*(IF(ABS(1900-YEAR((Z31+1)-E31))&lt;29,0,(VLOOKUP((YEAR(Z31)-YEAR(E31)),'Meltzer-Malone'!$A$3:$B$63,2))))))</f>
        <v/>
      </c>
      <c r="S31" s="174" t="str">
        <f>IF('K9'!G29="","",'K9'!G29)</f>
        <v/>
      </c>
      <c r="T31" s="174" t="str">
        <f>IF('K9'!K29="","",'K9'!K29)</f>
        <v/>
      </c>
      <c r="U31" s="174" t="str">
        <f>IF('K9'!N29="","",'K9'!N29)</f>
        <v/>
      </c>
      <c r="V31" s="163"/>
      <c r="W31" s="164"/>
      <c r="X31" s="175"/>
      <c r="Y31" s="176"/>
      <c r="Z31" s="225">
        <f>U5</f>
        <v>43358</v>
      </c>
    </row>
    <row r="32" spans="1:29" ht="18" customHeight="1" thickBot="1">
      <c r="A32" s="165"/>
      <c r="B32" s="166"/>
      <c r="C32" s="167"/>
      <c r="D32" s="168"/>
      <c r="E32" s="215"/>
      <c r="F32" s="193"/>
      <c r="G32" s="216"/>
      <c r="H32" s="338"/>
      <c r="I32" s="339"/>
      <c r="J32" s="340"/>
      <c r="K32" s="341"/>
      <c r="L32" s="342"/>
      <c r="M32" s="343"/>
      <c r="N32" s="307"/>
      <c r="O32" s="308"/>
      <c r="P32" s="331" t="str">
        <f>IF(Q31="","",Q31*1.2)</f>
        <v/>
      </c>
      <c r="Q32" s="331"/>
      <c r="R32" s="309"/>
      <c r="S32" s="183" t="str">
        <f>IF(S31="","",S31*20)</f>
        <v/>
      </c>
      <c r="T32" s="183" t="str">
        <f>IF(T31="","",T31*11)</f>
        <v/>
      </c>
      <c r="U32" s="184" t="str">
        <f>IF(U31="","",IF((80+(8-ROUNDUP(U31,1))*40)&lt;0,0,80+(8-ROUNDUP(U31,1))*40))</f>
        <v/>
      </c>
      <c r="V32" s="184" t="str">
        <f>IF(SUM(S32,T32,U32)&gt;0,SUM(S32,T32,U32),"")</f>
        <v/>
      </c>
      <c r="W32" s="257" t="str">
        <f>IF(OR(P32="",S32="",T32="",U32=""),"",SUM(P32,S32,T32,U32))</f>
        <v/>
      </c>
      <c r="X32" s="258"/>
      <c r="Y32" s="259"/>
      <c r="Z32" s="225"/>
    </row>
    <row r="33" spans="1:25" ht="14.1">
      <c r="A33" s="429"/>
      <c r="B33" s="429"/>
      <c r="C33" s="429"/>
      <c r="D33" s="430"/>
      <c r="E33" s="431"/>
      <c r="F33" s="431"/>
      <c r="G33" s="432"/>
      <c r="H33" s="433"/>
      <c r="I33" s="433"/>
      <c r="J33" s="433"/>
      <c r="K33" s="433"/>
      <c r="L33" s="433"/>
      <c r="M33" s="433"/>
      <c r="N33" s="429"/>
      <c r="O33" s="429"/>
      <c r="P33" s="429"/>
      <c r="Q33" s="429"/>
      <c r="R33" s="429"/>
      <c r="S33" s="433"/>
      <c r="T33" s="433"/>
      <c r="U33" s="434"/>
      <c r="V33" s="434"/>
      <c r="W33" s="435"/>
      <c r="X33" s="436"/>
      <c r="Y33" s="437"/>
    </row>
    <row r="34" spans="1:25" s="7" customFormat="1" ht="14.1">
      <c r="A34" s="7" t="s">
        <v>50</v>
      </c>
      <c r="B34"/>
      <c r="C34" s="317" t="s">
        <v>51</v>
      </c>
      <c r="D34" s="317"/>
      <c r="E34" s="317"/>
      <c r="F34" s="317"/>
      <c r="G34" s="317"/>
      <c r="H34" s="328" t="s">
        <v>115</v>
      </c>
      <c r="I34" s="328"/>
      <c r="J34" s="134">
        <v>1</v>
      </c>
      <c r="K34" s="317" t="s">
        <v>161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s="7" customFormat="1" ht="14.1">
      <c r="B35"/>
      <c r="C35" s="327"/>
      <c r="D35" s="327"/>
      <c r="E35" s="327"/>
      <c r="F35" s="327"/>
      <c r="G35" s="327"/>
      <c r="H35" s="328"/>
      <c r="I35" s="328"/>
      <c r="J35" s="134">
        <v>2</v>
      </c>
      <c r="K35" s="317" t="s">
        <v>230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s="7" customFormat="1" ht="14.1">
      <c r="A36" s="7" t="s">
        <v>55</v>
      </c>
      <c r="B36"/>
      <c r="C36" s="317"/>
      <c r="D36" s="317"/>
      <c r="E36" s="317"/>
      <c r="F36" s="317"/>
      <c r="G36" s="317"/>
      <c r="H36" s="329"/>
      <c r="I36" s="329"/>
      <c r="J36" s="134">
        <v>3</v>
      </c>
      <c r="K36" s="317" t="s">
        <v>194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s="5" customFormat="1" ht="14.1">
      <c r="A37" s="6"/>
      <c r="B37"/>
      <c r="C37" s="317"/>
      <c r="D37" s="317"/>
      <c r="E37" s="317"/>
      <c r="F37" s="317"/>
      <c r="G37" s="317"/>
      <c r="H37" s="32"/>
      <c r="I37" s="30"/>
      <c r="J37" s="135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s="5" customFormat="1" ht="14.1">
      <c r="A38" s="7"/>
      <c r="B38"/>
      <c r="C38" s="317"/>
      <c r="D38" s="317"/>
      <c r="E38" s="317"/>
      <c r="F38" s="317"/>
      <c r="G38" s="317"/>
      <c r="H38" s="136" t="s">
        <v>57</v>
      </c>
      <c r="I38" s="301"/>
      <c r="J38" s="43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s="5" customFormat="1" ht="14.1">
      <c r="A39" s="2"/>
      <c r="B39" s="2"/>
      <c r="C39" s="30"/>
      <c r="D39" s="31"/>
      <c r="E39" s="31"/>
      <c r="F39" s="31"/>
      <c r="G39" s="32"/>
      <c r="H39" s="136" t="s">
        <v>58</v>
      </c>
      <c r="I39" s="301"/>
      <c r="J39" s="47"/>
      <c r="K39" s="317" t="s">
        <v>231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s="5" customFormat="1" ht="14.1">
      <c r="A40" s="7" t="s">
        <v>60</v>
      </c>
      <c r="B40"/>
      <c r="C40" s="318" t="s">
        <v>196</v>
      </c>
      <c r="D40" s="318"/>
      <c r="E40" s="318"/>
      <c r="F40" s="318"/>
      <c r="G40" s="318"/>
      <c r="H40" s="136" t="s">
        <v>62</v>
      </c>
      <c r="I40" s="301"/>
      <c r="J40" s="137"/>
      <c r="K40" s="317" t="s">
        <v>63</v>
      </c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s="5" customFormat="1" ht="14.1">
      <c r="A41" s="2"/>
      <c r="B41" s="2"/>
      <c r="C41" s="326" t="s">
        <v>64</v>
      </c>
      <c r="D41" s="326"/>
      <c r="E41" s="326"/>
      <c r="F41" s="326"/>
      <c r="G41" s="326"/>
      <c r="H41" s="136"/>
      <c r="I41" s="311"/>
      <c r="J41" s="138"/>
      <c r="K41" s="2"/>
      <c r="L41" s="2"/>
      <c r="M41" s="2"/>
      <c r="N41" s="2"/>
      <c r="O41" s="2"/>
      <c r="P41" s="2"/>
      <c r="Q41" s="2"/>
      <c r="R41" s="2"/>
      <c r="S41" s="40"/>
      <c r="T41" s="40"/>
      <c r="U41" s="40"/>
      <c r="V41" s="40"/>
    </row>
    <row r="42" spans="1:25" s="5" customFormat="1" ht="14.1">
      <c r="A42" s="311" t="s">
        <v>65</v>
      </c>
      <c r="B42" s="139"/>
      <c r="C42" s="317" t="s">
        <v>63</v>
      </c>
      <c r="D42" s="317"/>
      <c r="E42" s="317"/>
      <c r="F42" s="317"/>
      <c r="G42" s="317"/>
      <c r="H42" s="136" t="s">
        <v>66</v>
      </c>
      <c r="I42" s="301"/>
      <c r="J42" s="43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s="5" customFormat="1" ht="14.1">
      <c r="A43" s="2"/>
      <c r="B43" s="2"/>
      <c r="C43" s="317"/>
      <c r="D43" s="317"/>
      <c r="E43" s="317"/>
      <c r="F43" s="317"/>
      <c r="G43" s="317"/>
      <c r="H43" s="136"/>
      <c r="I43" s="301"/>
      <c r="J43" s="138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s="5" customFormat="1" ht="14.1">
      <c r="A44" s="139" t="s">
        <v>68</v>
      </c>
      <c r="B44" s="139"/>
      <c r="C44" s="33" t="s">
        <v>69</v>
      </c>
      <c r="D44" s="34"/>
      <c r="E44" s="34"/>
      <c r="F44" s="34"/>
      <c r="G44" s="35"/>
      <c r="I44" s="301"/>
      <c r="J44" s="13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</row>
    <row r="45" spans="1:25" s="5" customFormat="1" ht="14.1">
      <c r="A45" s="140"/>
      <c r="B45" s="140"/>
      <c r="C45" s="33"/>
      <c r="D45" s="31"/>
      <c r="E45" s="31"/>
      <c r="F45" s="31"/>
      <c r="G45" s="32"/>
      <c r="I45" s="301"/>
      <c r="J45" s="13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</row>
    <row r="46" spans="1:25" s="5" customFormat="1" ht="14.1">
      <c r="A46" s="2"/>
      <c r="B46" s="2"/>
      <c r="C46" s="3"/>
      <c r="D46" s="4"/>
      <c r="E46" s="4"/>
      <c r="F46" s="4"/>
      <c r="I46" s="301"/>
      <c r="J46" s="13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</row>
    <row r="47" spans="1:25">
      <c r="A47" s="36"/>
      <c r="B47" s="36"/>
      <c r="C47" s="36"/>
      <c r="D47" s="36"/>
      <c r="E47" s="36"/>
      <c r="F47" s="36"/>
      <c r="H47" s="36"/>
      <c r="I47" s="36"/>
      <c r="J47" s="43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</sheetData>
  <mergeCells count="73">
    <mergeCell ref="G2:Q2"/>
    <mergeCell ref="G3:Q3"/>
    <mergeCell ref="A5:B5"/>
    <mergeCell ref="C5:G5"/>
    <mergeCell ref="H5:I5"/>
    <mergeCell ref="J5:N5"/>
    <mergeCell ref="P5:S5"/>
    <mergeCell ref="U5:V5"/>
    <mergeCell ref="H7:J7"/>
    <mergeCell ref="K7:M7"/>
    <mergeCell ref="N7:Q7"/>
    <mergeCell ref="H8:J8"/>
    <mergeCell ref="K8:M8"/>
    <mergeCell ref="H10:J10"/>
    <mergeCell ref="K10:M10"/>
    <mergeCell ref="P10:Q10"/>
    <mergeCell ref="H12:J12"/>
    <mergeCell ref="K12:M12"/>
    <mergeCell ref="P12:Q12"/>
    <mergeCell ref="H14:J14"/>
    <mergeCell ref="K14:M14"/>
    <mergeCell ref="P14:Q14"/>
    <mergeCell ref="H16:J16"/>
    <mergeCell ref="K16:M16"/>
    <mergeCell ref="P16:Q16"/>
    <mergeCell ref="H18:J18"/>
    <mergeCell ref="K18:M18"/>
    <mergeCell ref="P18:Q18"/>
    <mergeCell ref="H20:J20"/>
    <mergeCell ref="K20:M20"/>
    <mergeCell ref="P20:Q20"/>
    <mergeCell ref="H22:J22"/>
    <mergeCell ref="K22:M22"/>
    <mergeCell ref="P22:Q22"/>
    <mergeCell ref="H24:J24"/>
    <mergeCell ref="K24:M24"/>
    <mergeCell ref="P24:Q24"/>
    <mergeCell ref="H26:J26"/>
    <mergeCell ref="K26:M26"/>
    <mergeCell ref="P26:Q26"/>
    <mergeCell ref="H28:J28"/>
    <mergeCell ref="K28:M28"/>
    <mergeCell ref="P28:Q28"/>
    <mergeCell ref="H30:J30"/>
    <mergeCell ref="K30:M30"/>
    <mergeCell ref="P30:Q30"/>
    <mergeCell ref="H32:J32"/>
    <mergeCell ref="K32:M32"/>
    <mergeCell ref="P32:Q32"/>
    <mergeCell ref="C38:G38"/>
    <mergeCell ref="K38:Y38"/>
    <mergeCell ref="C34:G34"/>
    <mergeCell ref="H34:I34"/>
    <mergeCell ref="K34:Y34"/>
    <mergeCell ref="C35:G35"/>
    <mergeCell ref="H35:I35"/>
    <mergeCell ref="K35:Y35"/>
    <mergeCell ref="C36:G36"/>
    <mergeCell ref="H36:I36"/>
    <mergeCell ref="K36:Y36"/>
    <mergeCell ref="C37:G37"/>
    <mergeCell ref="K37:Y37"/>
    <mergeCell ref="K39:Y39"/>
    <mergeCell ref="C40:G40"/>
    <mergeCell ref="K40:Y40"/>
    <mergeCell ref="C41:G41"/>
    <mergeCell ref="C42:G42"/>
    <mergeCell ref="K42:Y42"/>
    <mergeCell ref="C43:G43"/>
    <mergeCell ref="K43:Y43"/>
    <mergeCell ref="K44:Y44"/>
    <mergeCell ref="K45:Y45"/>
    <mergeCell ref="K46:Y46"/>
  </mergeCells>
  <conditionalFormatting sqref="H19:M19">
    <cfRule type="cellIs" dxfId="83" priority="15" stopIfTrue="1" operator="between">
      <formula>1</formula>
      <formula>300</formula>
    </cfRule>
    <cfRule type="cellIs" dxfId="82" priority="16" stopIfTrue="1" operator="lessThanOrEqual">
      <formula>0</formula>
    </cfRule>
  </conditionalFormatting>
  <conditionalFormatting sqref="H23:M23">
    <cfRule type="cellIs" dxfId="81" priority="13" stopIfTrue="1" operator="between">
      <formula>1</formula>
      <formula>300</formula>
    </cfRule>
    <cfRule type="cellIs" dxfId="80" priority="14" stopIfTrue="1" operator="lessThanOrEqual">
      <formula>0</formula>
    </cfRule>
  </conditionalFormatting>
  <conditionalFormatting sqref="H25:M25">
    <cfRule type="cellIs" dxfId="79" priority="7" stopIfTrue="1" operator="between">
      <formula>1</formula>
      <formula>300</formula>
    </cfRule>
    <cfRule type="cellIs" dxfId="78" priority="8" stopIfTrue="1" operator="lessThanOrEqual">
      <formula>0</formula>
    </cfRule>
  </conditionalFormatting>
  <conditionalFormatting sqref="H27:M27">
    <cfRule type="cellIs" dxfId="77" priority="3" stopIfTrue="1" operator="between">
      <formula>1</formula>
      <formula>300</formula>
    </cfRule>
    <cfRule type="cellIs" dxfId="76" priority="4" stopIfTrue="1" operator="lessThanOrEqual">
      <formula>0</formula>
    </cfRule>
  </conditionalFormatting>
  <conditionalFormatting sqref="H13:M13">
    <cfRule type="cellIs" dxfId="75" priority="1" stopIfTrue="1" operator="between">
      <formula>1</formula>
      <formula>300</formula>
    </cfRule>
    <cfRule type="cellIs" dxfId="74" priority="2" stopIfTrue="1" operator="lessThanOrEqual">
      <formula>0</formula>
    </cfRule>
  </conditionalFormatting>
  <conditionalFormatting sqref="H15:M15">
    <cfRule type="cellIs" dxfId="73" priority="9" stopIfTrue="1" operator="between">
      <formula>1</formula>
      <formula>300</formula>
    </cfRule>
    <cfRule type="cellIs" dxfId="72" priority="10" stopIfTrue="1" operator="lessThanOrEqual">
      <formula>0</formula>
    </cfRule>
  </conditionalFormatting>
  <conditionalFormatting sqref="H21:M21">
    <cfRule type="cellIs" dxfId="71" priority="19" stopIfTrue="1" operator="between">
      <formula>1</formula>
      <formula>300</formula>
    </cfRule>
    <cfRule type="cellIs" dxfId="70" priority="20" stopIfTrue="1" operator="lessThanOrEqual">
      <formula>0</formula>
    </cfRule>
  </conditionalFormatting>
  <conditionalFormatting sqref="H17:M17">
    <cfRule type="cellIs" dxfId="69" priority="17" stopIfTrue="1" operator="between">
      <formula>1</formula>
      <formula>300</formula>
    </cfRule>
    <cfRule type="cellIs" dxfId="68" priority="18" stopIfTrue="1" operator="lessThanOrEqual">
      <formula>0</formula>
    </cfRule>
  </conditionalFormatting>
  <conditionalFormatting sqref="H11:M11">
    <cfRule type="cellIs" dxfId="67" priority="11" stopIfTrue="1" operator="between">
      <formula>1</formula>
      <formula>300</formula>
    </cfRule>
    <cfRule type="cellIs" dxfId="66" priority="12" stopIfTrue="1" operator="lessThanOrEqual">
      <formula>0</formula>
    </cfRule>
  </conditionalFormatting>
  <conditionalFormatting sqref="H29:M29">
    <cfRule type="cellIs" dxfId="65" priority="27" stopIfTrue="1" operator="between">
      <formula>1</formula>
      <formula>300</formula>
    </cfRule>
    <cfRule type="cellIs" dxfId="64" priority="28" stopIfTrue="1" operator="lessThanOrEqual">
      <formula>0</formula>
    </cfRule>
  </conditionalFormatting>
  <conditionalFormatting sqref="H9:M9">
    <cfRule type="cellIs" dxfId="63" priority="5" stopIfTrue="1" operator="between">
      <formula>1</formula>
      <formula>300</formula>
    </cfRule>
    <cfRule type="cellIs" dxfId="62" priority="6" stopIfTrue="1" operator="lessThanOrEqual">
      <formula>0</formula>
    </cfRule>
  </conditionalFormatting>
  <conditionalFormatting sqref="H31:M31">
    <cfRule type="cellIs" dxfId="61" priority="23" stopIfTrue="1" operator="between">
      <formula>1</formula>
      <formula>300</formula>
    </cfRule>
    <cfRule type="cellIs" dxfId="60" priority="24" stopIfTrue="1" operator="lessThanOrEqual">
      <formula>0</formula>
    </cfRule>
  </conditionalFormatting>
  <dataValidations count="3">
    <dataValidation type="list" allowBlank="1" showInputMessage="1" showErrorMessage="1" errorTitle="Feil_i_kat.5-kamp" error="Feil verdi i kategori 5-kamp" sqref="D9 D11 D13 D15 D17 D19 D21 D23 D25 D27 D29 D31" xr:uid="{00000000-0002-0000-0800-000000000000}">
      <formula1>"11-12,13-14,15-16,17-18,+18,'+18,18+"</formula1>
    </dataValidation>
    <dataValidation type="list" allowBlank="1" showInputMessage="1" showErrorMessage="1" errorTitle="Feil _i_kat.v.løft" error="Feil verdi i kategori vektløfting" sqref="C9 C11 C13 C15 C17 C19 C21 C23 C25 C27 C29 C31" xr:uid="{00000000-0002-0000-08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B9 B11 B13 B15 B17 B19 B21 B23 B25 B27 B29 B31" xr:uid="{00000000-0002-0000-0800-000002000000}">
      <formula1>"44,48,53,58,63,69,+69,'+69,69+,75,+75,'+75,75,50,56,62,69,77,85,94,+94,'+94,94+,105,+105,'+105,105+"</formula1>
    </dataValidation>
  </dataValidations>
  <pageMargins left="0.27559055118110237" right="0.27559055118110237" top="0.27559055118110237" bottom="0.27559055118110237" header="0.51181102362204722" footer="0.51181102362204722"/>
  <pageSetup paperSize="9" scale="66" orientation="landscape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46f7725-66c5-4220-b798-52631e660909">
      <UserInfo>
        <DisplayName>Grostad, Arne</DisplayName>
        <AccountId>17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232CC2B5168246AD90613C7E90A61B" ma:contentTypeVersion="8" ma:contentTypeDescription="Opprett et nytt dokument." ma:contentTypeScope="" ma:versionID="f4343defeac7d1301a84463e18d46c99">
  <xsd:schema xmlns:xsd="http://www.w3.org/2001/XMLSchema" xmlns:xs="http://www.w3.org/2001/XMLSchema" xmlns:p="http://schemas.microsoft.com/office/2006/metadata/properties" xmlns:ns2="58a063d6-f188-48c3-a446-bdeced3b2223" xmlns:ns3="b46f7725-66c5-4220-b798-52631e660909" targetNamespace="http://schemas.microsoft.com/office/2006/metadata/properties" ma:root="true" ma:fieldsID="4bf377fcc1c48b11b54616c55881835e" ns2:_="" ns3:_="">
    <xsd:import namespace="58a063d6-f188-48c3-a446-bdeced3b2223"/>
    <xsd:import namespace="b46f7725-66c5-4220-b798-52631e6609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063d6-f188-48c3-a446-bdeced3b2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f7725-66c5-4220-b798-52631e66090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944DE9-7DFC-4C78-8F70-C45FEF482891}"/>
</file>

<file path=customXml/itemProps2.xml><?xml version="1.0" encoding="utf-8"?>
<ds:datastoreItem xmlns:ds="http://schemas.openxmlformats.org/officeDocument/2006/customXml" ds:itemID="{F7D0F43B-3693-4834-8BAA-23907ECDDC86}"/>
</file>

<file path=customXml/itemProps3.xml><?xml version="1.0" encoding="utf-8"?>
<ds:datastoreItem xmlns:ds="http://schemas.openxmlformats.org/officeDocument/2006/customXml" ds:itemID="{47C13D9A-B32D-4A0F-8151-F48FC5610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Bj. Hagenes Vigrestad IK</dc:creator>
  <cp:keywords/>
  <dc:description/>
  <cp:lastModifiedBy/>
  <cp:revision/>
  <dcterms:created xsi:type="dcterms:W3CDTF">2001-08-31T20:44:44Z</dcterms:created>
  <dcterms:modified xsi:type="dcterms:W3CDTF">2020-10-06T06:40:33Z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0x010100AE232CC2B5168246AD90613C7E90A61B</vt:lpwstr>
  </property>
</Properties>
</file>