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hLDDT2GKJGe7BOk50gKl58dAJem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ID#AAAAXxE3Nro
Arne H. Pedersen    (2022-04-25 05:52:24)
Navn, klubb, dommer grad</t>
      </text>
    </comment>
    <comment authorId="0" ref="Q7">
      <text>
        <t xml:space="preserve">======
ID#AAAAXxE3Nrc
SLB    (2022-04-25 05:52:24)
Automatisk, ikke skriv I dette feltet
Svar ja/yes til Macro
under opstart</t>
      </text>
    </comment>
    <comment authorId="0" ref="P7">
      <text>
        <t xml:space="preserve">======
ID#AAAAXxE3NrY
SLB    (2022-04-25 05:52:24)
Automatisk, ikke skriv I dette feltet</t>
      </text>
    </comment>
    <comment authorId="0" ref="I28">
      <text>
        <t xml:space="preserve">======
ID#AAAAXxE3NrU
Arne H. Pedersen    (2022-04-25 05:52:24)
Navn, klubb, dommer grad</t>
      </text>
    </comment>
    <comment authorId="0" ref="C7">
      <text>
        <t xml:space="preserve">======
ID#AAAAXxE3NrQ
Schlumberger    (2022-04-25 05:52:24)
UK,JK,SK og VK blir SinclairTabell for Kvinner brukt.
M0,M1..Kvinner virker ikke.
For ALLE andre kategorier blir tabell for men brukt.</t>
      </text>
    </comment>
    <comment authorId="0" ref="C34">
      <text>
        <t xml:space="preserve">======
ID#AAAAXwPG1Bs
Arne H. Pedersen    (2022-04-25 05:52:24)
Navn, klubb, dommer grad</t>
      </text>
    </comment>
    <comment authorId="0" ref="C27">
      <text>
        <t xml:space="preserve">======
ID#AAAAXwPG1Bw
Arne H. Pedersen    (2022-04-25 05:52:24)
Navn, klubb, dommer grad</t>
      </text>
    </comment>
    <comment authorId="0" ref="I7">
      <text>
        <t xml:space="preserve">======
ID#AAAAXwPG1Bo
NVF    (2022-04-25 05:52:24)
Bruk minus (-) for underkjent. Feks -140
Bruk N og F for neste og første, feks 170F og 175N</t>
      </text>
    </comment>
    <comment authorId="0" ref="B7">
      <text>
        <t xml:space="preserve">======
ID#AAAAXwPG1Bk
SLB    (2022-04-25 05:52:24)
I Norge bruke vi kun en desimal, internasjonalt 2, vi bør bruke 2 dersom innveiings vekta tillater det.</t>
      </text>
    </comment>
    <comment authorId="0" ref="R7">
      <text>
        <t xml:space="preserve">======
ID#AAAAXwPG1BU
SLB    (2022-04-25 05:52:24)
Automatisk, ikke skriv I dette feltet
Svar ja/yes til Macro
under opstart</t>
      </text>
    </comment>
    <comment authorId="0" ref="C36">
      <text>
        <t xml:space="preserve">======
ID#AAAAXwPG1BQ
Arne H. Pedersen    (2022-04-25 05:52:24)
Navn, klubb, dommer grad</t>
      </text>
    </comment>
    <comment authorId="0" ref="O7">
      <text>
        <t xml:space="preserve">======
ID#AAAAXwPG1BM
SLB    (2022-04-25 05:52:24)
Automatisk, ikke skriv I dette feltet</t>
      </text>
    </comment>
    <comment authorId="0" ref="U7">
      <text>
        <t xml:space="preserve">======
ID#AAAAXwPG1A0
SLB    (2022-04-25 05:52:24)
Denne kononnen printes ikke</t>
      </text>
    </comment>
    <comment authorId="0" ref="I30">
      <text>
        <t xml:space="preserve">======
ID#AAAAXwPG1Ao
Arne H. Pedersen    (2022-04-25 05:52:24)
Navn, klubb, dommer grad</t>
      </text>
    </comment>
    <comment authorId="0" ref="L7">
      <text>
        <t xml:space="preserve">======
ID#AAAAXwPG1Ak
NVF    (2022-04-25 05:52:24)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iU2Nou1xQnjOyG/dMooNNQPhTE+A=="/>
    </ext>
  </extLst>
</comments>
</file>

<file path=xl/sharedStrings.xml><?xml version="1.0" encoding="utf-8"?>
<sst xmlns="http://schemas.openxmlformats.org/spreadsheetml/2006/main" count="119" uniqueCount="86">
  <si>
    <t>S t e v n e p r o t o k o l l   fra 2021</t>
  </si>
  <si>
    <t>Norges Vektløfterforbund</t>
  </si>
  <si>
    <t>Stevnekat:</t>
  </si>
  <si>
    <t>Seriestevne</t>
  </si>
  <si>
    <t>Arrangør:</t>
  </si>
  <si>
    <t>Namsos 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</si>
  <si>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</si>
  <si>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</si>
  <si>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</si>
  <si>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</si>
  <si>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</si>
  <si>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</si>
  <si>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</si>
  <si>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</si>
  <si>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</si>
  <si>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</si>
  <si>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</si>
  <si>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</si>
  <si>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</si>
  <si>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</si>
  <si>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</si>
  <si>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</si>
  <si>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</si>
  <si>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</si>
  <si>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</si>
  <si>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</si>
  <si>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</si>
  <si>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</si>
  <si>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</si>
  <si>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</si>
  <si>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</si>
  <si>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</si>
  <si>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</si>
  <si>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</si>
  <si>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</si>
  <si>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</si>
  <si>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</si>
  <si>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</si>
  <si>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</si>
  <si>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</si>
  <si>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109</t>
  </si>
  <si>
    <t>M9</t>
  </si>
  <si>
    <t>Leif Hepsø</t>
  </si>
  <si>
    <t>Namsos VK</t>
  </si>
  <si>
    <t>89</t>
  </si>
  <si>
    <t>M4</t>
  </si>
  <si>
    <t>Bjørn Tore Wiik</t>
  </si>
  <si>
    <t>96</t>
  </si>
  <si>
    <t>Per Olav Meosli</t>
  </si>
  <si>
    <t>73</t>
  </si>
  <si>
    <t>M10</t>
  </si>
  <si>
    <t>Bjørn Lie</t>
  </si>
  <si>
    <t xml:space="preserve"> </t>
  </si>
  <si>
    <t>81</t>
  </si>
  <si>
    <t>William Wågan</t>
  </si>
  <si>
    <t>Robert Finnanger</t>
  </si>
  <si>
    <t>67</t>
  </si>
  <si>
    <t>UM</t>
  </si>
  <si>
    <t>Bror Erling  Finnanger</t>
  </si>
  <si>
    <t>M 2</t>
  </si>
  <si>
    <t>Olav Roger Laugen</t>
  </si>
  <si>
    <t>M8</t>
  </si>
  <si>
    <t>Sverre Winnberg</t>
  </si>
  <si>
    <t>Isak Pedersen</t>
  </si>
  <si>
    <t>M2</t>
  </si>
  <si>
    <t>Sturla Tømmereås</t>
  </si>
  <si>
    <t>Stevnets leder:</t>
  </si>
  <si>
    <t>Leif Hepsø,   NVK,   F</t>
  </si>
  <si>
    <t xml:space="preserve">Dommere:                                  </t>
  </si>
  <si>
    <t>Leif Hepsø,  NVK,   F       Per Olav Meosli,  NVK,  F      Bjørn Lie,   NVK,   R</t>
  </si>
  <si>
    <t>Robert Finnanger,   NVK,   F       Sverre Winnberg,   NVK,  F   Bjørn Tore Wiik,  NVK,   F</t>
  </si>
  <si>
    <t>Jury:</t>
  </si>
  <si>
    <t>William Wågan,   NVK,  F         Sturla Tømmerås,   NVK,  F</t>
  </si>
  <si>
    <t>Teknisk kontrollør:</t>
  </si>
  <si>
    <t>Chief Marshall:</t>
  </si>
  <si>
    <t>Sekretær:</t>
  </si>
  <si>
    <t>Leif Hepsø,  NVK,  F      Per Olav Meosli,   NVK,  F</t>
  </si>
  <si>
    <t>Tidtaker:</t>
  </si>
  <si>
    <t>Speaker:</t>
  </si>
  <si>
    <t>Leif Hepsø,   NVK,  F      Per Olav Meosli,   NVK,   F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</si>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</sst>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11" fillId="0" fontId="9" numFmtId="49" xfId="0" applyAlignment="1" applyBorder="1" applyFont="1" applyNumberFormat="1">
      <alignment horizontal="right" readingOrder="0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left" readingOrder="0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44672.0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104.3</v>
      </c>
      <c r="C9" s="42" t="s">
        <v>41</v>
      </c>
      <c r="D9" s="43">
        <v>16079.0</v>
      </c>
      <c r="E9" s="44"/>
      <c r="F9" s="45" t="s">
        <v>42</v>
      </c>
      <c r="G9" s="45" t="s">
        <v>43</v>
      </c>
      <c r="H9" s="46">
        <v>50.0</v>
      </c>
      <c r="I9" s="47">
        <v>55.0</v>
      </c>
      <c r="J9" s="48">
        <v>-58.0</v>
      </c>
      <c r="K9" s="49">
        <v>75.0</v>
      </c>
      <c r="L9" s="50">
        <v>-80.0</v>
      </c>
      <c r="M9" s="50">
        <v>80.0</v>
      </c>
      <c r="N9" s="51">
        <f t="shared" ref="N9:N24" si="1">IF(MAX(H9:J9)&lt;0,0,TRUNC(MAX(H9:J9)/1)*1)</f>
        <v>55</v>
      </c>
      <c r="O9" s="51">
        <f t="shared" ref="O9:O24" si="2">IF(MAX(K9:M9)&lt;0,0,TRUNC(MAX(K9:M9)/1)*1)</f>
        <v>80</v>
      </c>
      <c r="P9" s="51">
        <f t="shared" ref="P9:P24" si="3">IF(N9=0,0,IF(O9=0,0,SUM(N9:O9)))</f>
        <v>135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147.483827</v>
      </c>
      <c r="R9" s="53">
        <f t="shared" ref="R9:R24" si="5">IF(Y9=1,Q9*AB9,"")</f>
        <v>344.5222199</v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1.092472793</v>
      </c>
      <c r="V9" s="57">
        <f>R5</f>
        <v>44672</v>
      </c>
      <c r="W9" s="1" t="str">
        <f t="shared" ref="W9:W24" si="7">IF(ISNUMBER(FIND("M",C9)),"m",IF(ISNUMBER(FIND("K",C9)),"k"))</f>
        <v>m</v>
      </c>
      <c r="X9" s="58">
        <f t="shared" ref="X9:X24" si="8">IF(OR(D9="",V9=""),0,(YEAR(V9)-YEAR(D9)))</f>
        <v>78</v>
      </c>
      <c r="Y9" s="59">
        <f t="shared" ref="Y9:Y24" si="9">IF(X9&gt;34,1,0)</f>
        <v>1</v>
      </c>
      <c r="Z9" s="60">
        <f>IF(Y9=1,LOOKUP(X9,'Meltzer-Faber'!A3:A63,'Meltzer-Faber'!B3:B63))</f>
        <v>2.336</v>
      </c>
      <c r="AA9" s="61">
        <f>IF(Y9=1,LOOKUP(X9,'Meltzer-Faber'!A3:A63,'Meltzer-Faber'!C3:C63))</f>
        <v>2.546</v>
      </c>
      <c r="AB9" s="61">
        <f t="shared" ref="AB9:AB24" si="10">IF(W9="m",Z9,IF(W9="k",AA9,""))</f>
        <v>2.336</v>
      </c>
    </row>
    <row r="10" ht="19.5" customHeight="1">
      <c r="A10" s="40" t="s">
        <v>44</v>
      </c>
      <c r="B10" s="41">
        <v>86.1</v>
      </c>
      <c r="C10" s="42" t="s">
        <v>45</v>
      </c>
      <c r="D10" s="43">
        <v>26187.0</v>
      </c>
      <c r="E10" s="44"/>
      <c r="F10" s="45" t="s">
        <v>46</v>
      </c>
      <c r="G10" s="45" t="s">
        <v>43</v>
      </c>
      <c r="H10" s="46">
        <v>-83.0</v>
      </c>
      <c r="I10" s="47">
        <v>83.0</v>
      </c>
      <c r="J10" s="48">
        <v>-90.0</v>
      </c>
      <c r="K10" s="49">
        <v>100.0</v>
      </c>
      <c r="L10" s="50">
        <v>105.0</v>
      </c>
      <c r="M10" s="50">
        <v>-108.0</v>
      </c>
      <c r="N10" s="51">
        <f t="shared" si="1"/>
        <v>83</v>
      </c>
      <c r="O10" s="51">
        <f t="shared" si="2"/>
        <v>105</v>
      </c>
      <c r="P10" s="51">
        <f t="shared" si="3"/>
        <v>188</v>
      </c>
      <c r="Q10" s="53">
        <f t="shared" si="4"/>
        <v>221.8660703</v>
      </c>
      <c r="R10" s="53">
        <f t="shared" si="5"/>
        <v>287.7602931</v>
      </c>
      <c r="S10" s="62"/>
      <c r="T10" s="63"/>
      <c r="U10" s="56">
        <f t="shared" si="6"/>
        <v>1.180138672</v>
      </c>
      <c r="V10" s="57">
        <f>R5</f>
        <v>44672</v>
      </c>
      <c r="W10" s="1" t="str">
        <f t="shared" si="7"/>
        <v>m</v>
      </c>
      <c r="X10" s="58">
        <f t="shared" si="8"/>
        <v>51</v>
      </c>
      <c r="Y10" s="64">
        <f t="shared" si="9"/>
        <v>1</v>
      </c>
      <c r="Z10" s="60">
        <f>IF(Y10=1,LOOKUP(X10,'Meltzer-Faber'!A3:A63,'Meltzer-Faber'!B3:B63))</f>
        <v>1.297</v>
      </c>
      <c r="AA10" s="61">
        <f>IF(Y10=1,LOOKUP(X10,'Meltzer-Faber'!A3:A63,'Meltzer-Faber'!C3:C63))</f>
        <v>1.369</v>
      </c>
      <c r="AB10" s="61">
        <f t="shared" si="10"/>
        <v>1.297</v>
      </c>
    </row>
    <row r="11" ht="19.5" customHeight="1">
      <c r="A11" s="40" t="s">
        <v>47</v>
      </c>
      <c r="B11" s="41">
        <v>94.2</v>
      </c>
      <c r="C11" s="42" t="s">
        <v>45</v>
      </c>
      <c r="D11" s="43">
        <v>26112.0</v>
      </c>
      <c r="E11" s="44"/>
      <c r="F11" s="45" t="s">
        <v>48</v>
      </c>
      <c r="G11" s="45" t="s">
        <v>43</v>
      </c>
      <c r="H11" s="46">
        <v>60.0</v>
      </c>
      <c r="I11" s="47">
        <v>66.0</v>
      </c>
      <c r="J11" s="48">
        <v>70.0</v>
      </c>
      <c r="K11" s="49">
        <v>70.0</v>
      </c>
      <c r="L11" s="50">
        <v>80.0</v>
      </c>
      <c r="M11" s="50">
        <v>85.0</v>
      </c>
      <c r="N11" s="51">
        <f t="shared" si="1"/>
        <v>70</v>
      </c>
      <c r="O11" s="51">
        <f t="shared" si="2"/>
        <v>85</v>
      </c>
      <c r="P11" s="51">
        <f t="shared" si="3"/>
        <v>155</v>
      </c>
      <c r="Q11" s="53">
        <f t="shared" si="4"/>
        <v>175.8929491</v>
      </c>
      <c r="R11" s="53">
        <f t="shared" si="5"/>
        <v>228.133155</v>
      </c>
      <c r="S11" s="62"/>
      <c r="T11" s="63"/>
      <c r="U11" s="56">
        <f t="shared" si="6"/>
        <v>1.13479322</v>
      </c>
      <c r="V11" s="57">
        <f>R5</f>
        <v>44672</v>
      </c>
      <c r="W11" s="1" t="str">
        <f t="shared" si="7"/>
        <v>m</v>
      </c>
      <c r="X11" s="58">
        <f t="shared" si="8"/>
        <v>51</v>
      </c>
      <c r="Y11" s="59">
        <f t="shared" si="9"/>
        <v>1</v>
      </c>
      <c r="Z11" s="60">
        <f>IF(Y11=1,LOOKUP(X11,'Meltzer-Faber'!A3:A63,'Meltzer-Faber'!B3:B63))</f>
        <v>1.297</v>
      </c>
      <c r="AA11" s="61">
        <f>IF(Y11=1,LOOKUP(X11,'Meltzer-Faber'!A3:A63,'Meltzer-Faber'!C3:C63))</f>
        <v>1.369</v>
      </c>
      <c r="AB11" s="61">
        <f t="shared" si="10"/>
        <v>1.297</v>
      </c>
    </row>
    <row r="12" ht="19.5" customHeight="1">
      <c r="A12" s="40" t="s">
        <v>49</v>
      </c>
      <c r="B12" s="41">
        <v>71.0</v>
      </c>
      <c r="C12" s="42" t="s">
        <v>50</v>
      </c>
      <c r="D12" s="43">
        <v>13176.0</v>
      </c>
      <c r="E12" s="44"/>
      <c r="F12" s="45" t="s">
        <v>51</v>
      </c>
      <c r="G12" s="45" t="s">
        <v>43</v>
      </c>
      <c r="H12" s="46">
        <v>17.0</v>
      </c>
      <c r="I12" s="47">
        <v>-20.0</v>
      </c>
      <c r="J12" s="48">
        <v>-20.0</v>
      </c>
      <c r="K12" s="49">
        <v>-27.0</v>
      </c>
      <c r="L12" s="50">
        <v>30.0</v>
      </c>
      <c r="M12" s="50">
        <v>-31.0</v>
      </c>
      <c r="N12" s="51">
        <f t="shared" si="1"/>
        <v>17</v>
      </c>
      <c r="O12" s="51">
        <f t="shared" si="2"/>
        <v>30</v>
      </c>
      <c r="P12" s="51">
        <f t="shared" si="3"/>
        <v>47</v>
      </c>
      <c r="Q12" s="53">
        <f t="shared" si="4"/>
        <v>61.41264635</v>
      </c>
      <c r="R12" s="53">
        <f t="shared" si="5"/>
        <v>205.8551906</v>
      </c>
      <c r="S12" s="62"/>
      <c r="T12" s="63" t="s">
        <v>52</v>
      </c>
      <c r="U12" s="56">
        <f t="shared" si="6"/>
        <v>1.30665205</v>
      </c>
      <c r="V12" s="57">
        <f>R5</f>
        <v>44672</v>
      </c>
      <c r="W12" s="1" t="str">
        <f t="shared" si="7"/>
        <v>m</v>
      </c>
      <c r="X12" s="58">
        <f t="shared" si="8"/>
        <v>86</v>
      </c>
      <c r="Y12" s="59">
        <f t="shared" si="9"/>
        <v>1</v>
      </c>
      <c r="Z12" s="60">
        <f>IF(Y12=1,LOOKUP(X12,'Meltzer-Faber'!A3:A63,'Meltzer-Faber'!B3:B63))</f>
        <v>3.352</v>
      </c>
      <c r="AA12" s="65" t="str">
        <f>IF(Y12=1,LOOKUP(X12,'Meltzer-Faber'!A3:A63,'Meltzer-Faber'!C3:C63))</f>
        <v/>
      </c>
      <c r="AB12" s="61">
        <f t="shared" si="10"/>
        <v>3.352</v>
      </c>
    </row>
    <row r="13" ht="19.5" customHeight="1">
      <c r="A13" s="40" t="s">
        <v>53</v>
      </c>
      <c r="B13" s="41">
        <v>77.0</v>
      </c>
      <c r="C13" s="42" t="s">
        <v>41</v>
      </c>
      <c r="D13" s="43">
        <v>16960.0</v>
      </c>
      <c r="E13" s="44"/>
      <c r="F13" s="45" t="s">
        <v>54</v>
      </c>
      <c r="G13" s="45" t="s">
        <v>43</v>
      </c>
      <c r="H13" s="46">
        <v>35.0</v>
      </c>
      <c r="I13" s="47">
        <v>-38.0</v>
      </c>
      <c r="J13" s="48">
        <v>38.0</v>
      </c>
      <c r="K13" s="49">
        <v>45.0</v>
      </c>
      <c r="L13" s="50">
        <v>-50.0</v>
      </c>
      <c r="M13" s="50">
        <v>-50.0</v>
      </c>
      <c r="N13" s="51">
        <f t="shared" si="1"/>
        <v>38</v>
      </c>
      <c r="O13" s="51">
        <f t="shared" si="2"/>
        <v>45</v>
      </c>
      <c r="P13" s="51">
        <f t="shared" si="3"/>
        <v>83</v>
      </c>
      <c r="Q13" s="53">
        <f t="shared" si="4"/>
        <v>103.5967327</v>
      </c>
      <c r="R13" s="53">
        <f t="shared" si="5"/>
        <v>225.9444741</v>
      </c>
      <c r="S13" s="62"/>
      <c r="T13" s="63" t="s">
        <v>52</v>
      </c>
      <c r="U13" s="56">
        <f t="shared" si="6"/>
        <v>1.248153406</v>
      </c>
      <c r="V13" s="57">
        <f>R5</f>
        <v>44672</v>
      </c>
      <c r="W13" s="1" t="str">
        <f t="shared" si="7"/>
        <v>m</v>
      </c>
      <c r="X13" s="58">
        <f t="shared" si="8"/>
        <v>76</v>
      </c>
      <c r="Y13" s="59">
        <f t="shared" si="9"/>
        <v>1</v>
      </c>
      <c r="Z13" s="60">
        <f>IF(Y13=1,LOOKUP(X13,'Meltzer-Faber'!A3:A63,'Meltzer-Faber'!B3:B63))</f>
        <v>2.181</v>
      </c>
      <c r="AA13" s="61">
        <f>IF(Y13=1,LOOKUP(X13,'Meltzer-Faber'!A3:A63,'Meltzer-Faber'!C3:C63))</f>
        <v>2.391</v>
      </c>
      <c r="AB13" s="61">
        <f t="shared" si="10"/>
        <v>2.181</v>
      </c>
    </row>
    <row r="14" ht="19.5" customHeight="1">
      <c r="A14" s="40" t="s">
        <v>47</v>
      </c>
      <c r="B14" s="41">
        <v>91.6</v>
      </c>
      <c r="C14" s="42" t="s">
        <v>45</v>
      </c>
      <c r="D14" s="43">
        <v>25442.0</v>
      </c>
      <c r="E14" s="44"/>
      <c r="F14" s="66" t="s">
        <v>55</v>
      </c>
      <c r="G14" s="45" t="s">
        <v>43</v>
      </c>
      <c r="H14" s="46">
        <v>62.0</v>
      </c>
      <c r="I14" s="47">
        <v>64.0</v>
      </c>
      <c r="J14" s="48">
        <v>-67.0</v>
      </c>
      <c r="K14" s="49">
        <v>80.0</v>
      </c>
      <c r="L14" s="50">
        <v>82.0</v>
      </c>
      <c r="M14" s="50">
        <v>-84.0</v>
      </c>
      <c r="N14" s="51">
        <f t="shared" si="1"/>
        <v>64</v>
      </c>
      <c r="O14" s="51">
        <f t="shared" si="2"/>
        <v>82</v>
      </c>
      <c r="P14" s="51">
        <f t="shared" si="3"/>
        <v>146</v>
      </c>
      <c r="Q14" s="53">
        <f t="shared" si="4"/>
        <v>167.6180965</v>
      </c>
      <c r="R14" s="53">
        <f t="shared" si="5"/>
        <v>224.2730132</v>
      </c>
      <c r="S14" s="62"/>
      <c r="T14" s="63" t="s">
        <v>52</v>
      </c>
      <c r="U14" s="56">
        <f t="shared" si="6"/>
        <v>1.148069154</v>
      </c>
      <c r="V14" s="57">
        <f>R5</f>
        <v>44672</v>
      </c>
      <c r="W14" s="1" t="str">
        <f t="shared" si="7"/>
        <v>m</v>
      </c>
      <c r="X14" s="58">
        <f t="shared" si="8"/>
        <v>53</v>
      </c>
      <c r="Y14" s="59">
        <f t="shared" si="9"/>
        <v>1</v>
      </c>
      <c r="Z14" s="60">
        <f>IF(Y14=1,LOOKUP(X14,'Meltzer-Faber'!A3:A63,'Meltzer-Faber'!B3:B63))</f>
        <v>1.338</v>
      </c>
      <c r="AA14" s="61">
        <f>IF(Y14=1,LOOKUP(X14,'Meltzer-Faber'!A3:A63,'Meltzer-Faber'!C3:C63))</f>
        <v>1.435</v>
      </c>
      <c r="AB14" s="61">
        <f t="shared" si="10"/>
        <v>1.338</v>
      </c>
    </row>
    <row r="15" ht="19.5" customHeight="1">
      <c r="A15" s="40" t="s">
        <v>56</v>
      </c>
      <c r="B15" s="41">
        <v>62.1</v>
      </c>
      <c r="C15" s="42" t="s">
        <v>57</v>
      </c>
      <c r="D15" s="43">
        <v>39034.0</v>
      </c>
      <c r="E15" s="44"/>
      <c r="F15" s="66" t="s">
        <v>58</v>
      </c>
      <c r="G15" s="45" t="s">
        <v>43</v>
      </c>
      <c r="H15" s="46">
        <v>38.0</v>
      </c>
      <c r="I15" s="47">
        <v>40.0</v>
      </c>
      <c r="J15" s="48">
        <v>-43.0</v>
      </c>
      <c r="K15" s="49">
        <v>-58.0</v>
      </c>
      <c r="L15" s="50">
        <v>-58.0</v>
      </c>
      <c r="M15" s="50">
        <v>58.0</v>
      </c>
      <c r="N15" s="51">
        <f t="shared" si="1"/>
        <v>40</v>
      </c>
      <c r="O15" s="51">
        <f t="shared" si="2"/>
        <v>58</v>
      </c>
      <c r="P15" s="51">
        <f t="shared" si="3"/>
        <v>98</v>
      </c>
      <c r="Q15" s="53">
        <f t="shared" si="4"/>
        <v>139.4157167</v>
      </c>
      <c r="R15" s="53" t="str">
        <f t="shared" si="5"/>
        <v/>
      </c>
      <c r="S15" s="62"/>
      <c r="T15" s="63"/>
      <c r="U15" s="56">
        <f t="shared" si="6"/>
        <v>1.422609354</v>
      </c>
      <c r="V15" s="57">
        <f>R5</f>
        <v>44672</v>
      </c>
      <c r="W15" s="1" t="str">
        <f t="shared" si="7"/>
        <v>m</v>
      </c>
      <c r="X15" s="58">
        <f t="shared" si="8"/>
        <v>16</v>
      </c>
      <c r="Y15" s="59">
        <f t="shared" si="9"/>
        <v>0</v>
      </c>
      <c r="Z15" s="67" t="b">
        <f>IF(Y15=1,LOOKUP(X15,'Meltzer-Faber'!A3:A63,'Meltzer-Faber'!B3:B63))</f>
        <v>0</v>
      </c>
      <c r="AA15" s="65" t="b">
        <f>IF(Y15=1,LOOKUP(X15,'Meltzer-Faber'!A3:A63,'Meltzer-Faber'!C3:C63))</f>
        <v>0</v>
      </c>
      <c r="AB15" s="65" t="b">
        <f t="shared" si="10"/>
        <v>0</v>
      </c>
    </row>
    <row r="16" ht="19.5" customHeight="1">
      <c r="A16" s="40" t="s">
        <v>44</v>
      </c>
      <c r="B16" s="41">
        <v>81.6</v>
      </c>
      <c r="C16" s="42" t="s">
        <v>59</v>
      </c>
      <c r="D16" s="43">
        <v>28515.0</v>
      </c>
      <c r="E16" s="44"/>
      <c r="F16" s="66" t="s">
        <v>60</v>
      </c>
      <c r="G16" s="45" t="s">
        <v>43</v>
      </c>
      <c r="H16" s="46">
        <v>-45.0</v>
      </c>
      <c r="I16" s="47">
        <v>45.0</v>
      </c>
      <c r="J16" s="48">
        <v>-50.0</v>
      </c>
      <c r="K16" s="49">
        <v>50.0</v>
      </c>
      <c r="L16" s="50">
        <v>55.0</v>
      </c>
      <c r="M16" s="50">
        <v>61.0</v>
      </c>
      <c r="N16" s="51">
        <f t="shared" si="1"/>
        <v>45</v>
      </c>
      <c r="O16" s="51">
        <f t="shared" si="2"/>
        <v>61</v>
      </c>
      <c r="P16" s="51">
        <f t="shared" si="3"/>
        <v>106</v>
      </c>
      <c r="Q16" s="53">
        <f t="shared" si="4"/>
        <v>128.3782586</v>
      </c>
      <c r="R16" s="53">
        <f t="shared" si="5"/>
        <v>152.6417495</v>
      </c>
      <c r="S16" s="62"/>
      <c r="T16" s="63"/>
      <c r="U16" s="56">
        <f t="shared" si="6"/>
        <v>1.211115647</v>
      </c>
      <c r="V16" s="57">
        <f>R5</f>
        <v>44672</v>
      </c>
      <c r="W16" s="1" t="str">
        <f t="shared" si="7"/>
        <v>m</v>
      </c>
      <c r="X16" s="58">
        <f t="shared" si="8"/>
        <v>44</v>
      </c>
      <c r="Y16" s="59">
        <f t="shared" si="9"/>
        <v>1</v>
      </c>
      <c r="Z16" s="60">
        <f>IF(Y16=1,LOOKUP(X16,'Meltzer-Faber'!A3:A63,'Meltzer-Faber'!B3:B63))</f>
        <v>1.189</v>
      </c>
      <c r="AA16" s="61">
        <f>IF(Y16=1,LOOKUP(X16,'Meltzer-Faber'!A3:A63,'Meltzer-Faber'!C3:C63))</f>
        <v>1.205</v>
      </c>
      <c r="AB16" s="61">
        <f t="shared" si="10"/>
        <v>1.189</v>
      </c>
    </row>
    <row r="17" ht="19.5" customHeight="1">
      <c r="A17" s="40" t="s">
        <v>47</v>
      </c>
      <c r="B17" s="41">
        <v>92.2</v>
      </c>
      <c r="C17" s="42" t="s">
        <v>61</v>
      </c>
      <c r="D17" s="43">
        <v>17707.0</v>
      </c>
      <c r="E17" s="44"/>
      <c r="F17" s="66" t="s">
        <v>62</v>
      </c>
      <c r="G17" s="45" t="s">
        <v>43</v>
      </c>
      <c r="H17" s="46">
        <v>45.0</v>
      </c>
      <c r="I17" s="47">
        <v>50.0</v>
      </c>
      <c r="J17" s="48">
        <v>53.0</v>
      </c>
      <c r="K17" s="49">
        <v>65.0</v>
      </c>
      <c r="L17" s="50">
        <v>70.0</v>
      </c>
      <c r="M17" s="50">
        <v>-73.0</v>
      </c>
      <c r="N17" s="51">
        <f t="shared" si="1"/>
        <v>53</v>
      </c>
      <c r="O17" s="51">
        <f t="shared" si="2"/>
        <v>70</v>
      </c>
      <c r="P17" s="51">
        <f t="shared" si="3"/>
        <v>123</v>
      </c>
      <c r="Q17" s="53">
        <f t="shared" si="4"/>
        <v>140.823453</v>
      </c>
      <c r="R17" s="53">
        <f t="shared" si="5"/>
        <v>290.0963132</v>
      </c>
      <c r="S17" s="62"/>
      <c r="T17" s="63"/>
      <c r="U17" s="56">
        <f t="shared" si="6"/>
        <v>1.144906122</v>
      </c>
      <c r="V17" s="57">
        <f>R5</f>
        <v>44672</v>
      </c>
      <c r="W17" s="1" t="str">
        <f t="shared" si="7"/>
        <v>m</v>
      </c>
      <c r="X17" s="58">
        <f t="shared" si="8"/>
        <v>74</v>
      </c>
      <c r="Y17" s="59">
        <f t="shared" si="9"/>
        <v>1</v>
      </c>
      <c r="Z17" s="60">
        <f>IF(Y17=1,LOOKUP(X17,'Meltzer-Faber'!A3:A63,'Meltzer-Faber'!B3:B63))</f>
        <v>2.06</v>
      </c>
      <c r="AA17" s="61">
        <f>IF(Y17=1,LOOKUP(X17,'Meltzer-Faber'!A3:A63,'Meltzer-Faber'!C3:C63))</f>
        <v>2.27</v>
      </c>
      <c r="AB17" s="61">
        <f t="shared" si="10"/>
        <v>2.06</v>
      </c>
    </row>
    <row r="18" ht="19.5" customHeight="1">
      <c r="A18" s="68" t="s">
        <v>49</v>
      </c>
      <c r="B18" s="41">
        <v>71.2</v>
      </c>
      <c r="C18" s="42" t="s">
        <v>57</v>
      </c>
      <c r="D18" s="43">
        <v>38807.0</v>
      </c>
      <c r="E18" s="44"/>
      <c r="F18" s="66" t="s">
        <v>63</v>
      </c>
      <c r="G18" s="45" t="s">
        <v>43</v>
      </c>
      <c r="H18" s="46">
        <v>25.0</v>
      </c>
      <c r="I18" s="47">
        <v>27.0</v>
      </c>
      <c r="J18" s="48">
        <v>30.0</v>
      </c>
      <c r="K18" s="49">
        <v>38.0</v>
      </c>
      <c r="L18" s="50">
        <v>40.0</v>
      </c>
      <c r="M18" s="50">
        <v>42.0</v>
      </c>
      <c r="N18" s="51">
        <f t="shared" si="1"/>
        <v>30</v>
      </c>
      <c r="O18" s="51">
        <f t="shared" si="2"/>
        <v>42</v>
      </c>
      <c r="P18" s="51">
        <f t="shared" si="3"/>
        <v>72</v>
      </c>
      <c r="Q18" s="53">
        <f t="shared" si="4"/>
        <v>93.92289591</v>
      </c>
      <c r="R18" s="53" t="str">
        <f t="shared" si="5"/>
        <v/>
      </c>
      <c r="S18" s="62"/>
      <c r="T18" s="63" t="s">
        <v>52</v>
      </c>
      <c r="U18" s="56">
        <f t="shared" si="6"/>
        <v>1.304484665</v>
      </c>
      <c r="V18" s="57">
        <f>R5</f>
        <v>44672</v>
      </c>
      <c r="W18" s="1" t="str">
        <f t="shared" si="7"/>
        <v>m</v>
      </c>
      <c r="X18" s="58">
        <f t="shared" si="8"/>
        <v>16</v>
      </c>
      <c r="Y18" s="59">
        <f t="shared" si="9"/>
        <v>0</v>
      </c>
      <c r="Z18" s="67" t="b">
        <f>IF(Y18=1,LOOKUP(X18,'Meltzer-Faber'!A3:A63,'Meltzer-Faber'!B3:B63))</f>
        <v>0</v>
      </c>
      <c r="AA18" s="65" t="b">
        <f>IF(Y18=1,LOOKUP(X18,'Meltzer-Faber'!A3:A63,'Meltzer-Faber'!C3:C63))</f>
        <v>0</v>
      </c>
      <c r="AB18" s="65" t="b">
        <f t="shared" si="10"/>
        <v>0</v>
      </c>
    </row>
    <row r="19" ht="19.5" customHeight="1">
      <c r="A19" s="40" t="s">
        <v>47</v>
      </c>
      <c r="B19" s="41">
        <v>95.6</v>
      </c>
      <c r="C19" s="42" t="s">
        <v>64</v>
      </c>
      <c r="D19" s="43">
        <v>28927.0</v>
      </c>
      <c r="E19" s="44"/>
      <c r="F19" s="66" t="s">
        <v>65</v>
      </c>
      <c r="G19" s="45" t="s">
        <v>43</v>
      </c>
      <c r="H19" s="46">
        <v>50.0</v>
      </c>
      <c r="I19" s="47">
        <v>55.0</v>
      </c>
      <c r="J19" s="48">
        <v>-60.0</v>
      </c>
      <c r="K19" s="49">
        <v>75.0</v>
      </c>
      <c r="L19" s="50">
        <v>78.0</v>
      </c>
      <c r="M19" s="50">
        <v>-80.0</v>
      </c>
      <c r="N19" s="51">
        <f t="shared" si="1"/>
        <v>55</v>
      </c>
      <c r="O19" s="51">
        <f t="shared" si="2"/>
        <v>78</v>
      </c>
      <c r="P19" s="51">
        <f t="shared" si="3"/>
        <v>133</v>
      </c>
      <c r="Q19" s="53">
        <f t="shared" si="4"/>
        <v>150.0359422</v>
      </c>
      <c r="R19" s="53">
        <f t="shared" si="5"/>
        <v>176.442268</v>
      </c>
      <c r="S19" s="62"/>
      <c r="T19" s="63"/>
      <c r="U19" s="56">
        <f t="shared" si="6"/>
        <v>1.128089791</v>
      </c>
      <c r="V19" s="57">
        <f>R5</f>
        <v>44672</v>
      </c>
      <c r="W19" s="1" t="str">
        <f t="shared" si="7"/>
        <v>m</v>
      </c>
      <c r="X19" s="58">
        <f t="shared" si="8"/>
        <v>43</v>
      </c>
      <c r="Y19" s="59">
        <f t="shared" si="9"/>
        <v>1</v>
      </c>
      <c r="Z19" s="60">
        <f>IF(Y19=1,LOOKUP(X19,'Meltzer-Faber'!A3:A63,'Meltzer-Faber'!B3:B63))</f>
        <v>1.176</v>
      </c>
      <c r="AA19" s="61">
        <f>IF(Y19=1,LOOKUP(X19,'Meltzer-Faber'!A3:A63,'Meltzer-Faber'!C3:C63))</f>
        <v>1.187</v>
      </c>
      <c r="AB19" s="61">
        <f t="shared" si="10"/>
        <v>1.176</v>
      </c>
    </row>
    <row r="20" ht="19.5" customHeight="1">
      <c r="A20" s="69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44672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7" t="b">
        <f>IF(Y20=1,LOOKUP(X20,'Meltzer-Faber'!A3:A63,'Meltzer-Faber'!B3:B63))</f>
        <v>0</v>
      </c>
      <c r="AA20" s="65" t="b">
        <f>IF(Y20=1,LOOKUP(X20,'Meltzer-Faber'!A3:A63,'Meltzer-Faber'!C3:C63))</f>
        <v>0</v>
      </c>
      <c r="AB20" s="65" t="str">
        <f t="shared" si="10"/>
        <v/>
      </c>
    </row>
    <row r="21" ht="19.5" customHeight="1">
      <c r="A21" s="69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44672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7" t="b">
        <f>IF(Y21=1,LOOKUP(X21,'Meltzer-Faber'!A3:A63,'Meltzer-Faber'!B3:B63))</f>
        <v>0</v>
      </c>
      <c r="AA21" s="65" t="b">
        <f>IF(Y21=1,LOOKUP(X21,'Meltzer-Faber'!A3:A63,'Meltzer-Faber'!C3:C63))</f>
        <v>0</v>
      </c>
      <c r="AB21" s="65" t="str">
        <f t="shared" si="10"/>
        <v/>
      </c>
    </row>
    <row r="22" ht="19.5" customHeight="1">
      <c r="A22" s="69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44672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7" t="b">
        <f>IF(Y22=1,LOOKUP(X22,'Meltzer-Faber'!A3:A63,'Meltzer-Faber'!B3:B63))</f>
        <v>0</v>
      </c>
      <c r="AA22" s="65" t="b">
        <f>IF(Y22=1,LOOKUP(X22,'Meltzer-Faber'!A3:A63,'Meltzer-Faber'!C3:C63))</f>
        <v>0</v>
      </c>
      <c r="AB22" s="65" t="str">
        <f t="shared" si="10"/>
        <v/>
      </c>
    </row>
    <row r="23" ht="19.5" customHeight="1">
      <c r="A23" s="69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44672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7" t="b">
        <f>IF(Y23=1,LOOKUP(X23,'Meltzer-Faber'!A3:A63,'Meltzer-Faber'!B3:B63))</f>
        <v>0</v>
      </c>
      <c r="AA23" s="65" t="b">
        <f>IF(Y23=1,LOOKUP(X23,'Meltzer-Faber'!A3:A63,'Meltzer-Faber'!C3:C63))</f>
        <v>0</v>
      </c>
      <c r="AB23" s="65" t="str">
        <f t="shared" si="10"/>
        <v/>
      </c>
    </row>
    <row r="24" ht="19.5" customHeight="1">
      <c r="A24" s="69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>
        <f>R5</f>
        <v>44672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7" t="b">
        <f>IF(Y24=1,LOOKUP(X24,'Meltzer-Faber'!A3:A63,'Meltzer-Faber'!B3:B63))</f>
        <v>0</v>
      </c>
      <c r="AA24" s="65" t="b">
        <f>IF(Y24=1,LOOKUP(X24,'Meltzer-Faber'!A3:A63,'Meltzer-Faber'!C3:C63))</f>
        <v>0</v>
      </c>
      <c r="AB24" s="65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52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66</v>
      </c>
      <c r="C27" s="17" t="s">
        <v>67</v>
      </c>
      <c r="G27" s="88" t="s">
        <v>68</v>
      </c>
      <c r="H27" s="17">
        <v>1.0</v>
      </c>
      <c r="I27" s="17" t="s">
        <v>69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52</v>
      </c>
      <c r="G28" s="89" t="s">
        <v>52</v>
      </c>
      <c r="H28" s="17">
        <v>2.0</v>
      </c>
      <c r="I28" s="90" t="s">
        <v>70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71</v>
      </c>
      <c r="C29" s="17"/>
      <c r="G29" s="91"/>
      <c r="H29" s="17">
        <v>3.0</v>
      </c>
      <c r="I29" s="17" t="s">
        <v>72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52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4" t="s">
        <v>73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74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75</v>
      </c>
      <c r="C34" s="17" t="s">
        <v>76</v>
      </c>
      <c r="G34" s="94" t="s">
        <v>77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78</v>
      </c>
      <c r="B36" s="97"/>
      <c r="C36" s="17" t="s">
        <v>79</v>
      </c>
      <c r="G36" s="94" t="s">
        <v>80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81</v>
      </c>
      <c r="B38" s="97"/>
      <c r="C38" s="98" t="s">
        <v>82</v>
      </c>
      <c r="D38" s="99"/>
      <c r="E38" s="99"/>
      <c r="F38" s="100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83</v>
      </c>
    </row>
    <row r="2" ht="12.75" customHeight="1">
      <c r="A2" s="103" t="s">
        <v>36</v>
      </c>
      <c r="B2" s="104" t="s">
        <v>84</v>
      </c>
      <c r="C2" s="105" t="s">
        <v>85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